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657" documentId="13_ncr:1_{09AB83A8-F969-4E8F-9034-FBDE56616B19}" xr6:coauthVersionLast="47" xr6:coauthVersionMax="47" xr10:uidLastSave="{3E24E41F-DC7F-492B-B902-5B54351E542B}"/>
  <bookViews>
    <workbookView xWindow="2400" yWindow="960" windowWidth="21876" windowHeight="11256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SMT_Internal_Sales_Target" sheetId="6" state="hidden" r:id="rId4"/>
    <sheet name="data validation" sheetId="3" state="hidden" r:id="rId5"/>
  </sheets>
  <externalReferences>
    <externalReference r:id="rId6"/>
  </externalReferences>
  <definedNames>
    <definedName name="_xlnm._FilterDatabase" localSheetId="4" hidden="1">'data validation'!$A$2:$D$2</definedName>
    <definedName name="_xlnm._FilterDatabase" localSheetId="1" hidden="1">list!$AA$10:$AH$27</definedName>
    <definedName name="_xlnm._FilterDatabase" localSheetId="3" hidden="1">SMT_Internal_Sales_Target!$A$1:$G$1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002" i="1" l="1"/>
  <c r="E4003" i="1"/>
  <c r="E4004" i="1"/>
  <c r="AS4002" i="1" l="1"/>
  <c r="AT4002" i="1" s="1"/>
  <c r="AS4003" i="1"/>
  <c r="AT4003" i="1" s="1"/>
  <c r="AS4004" i="1"/>
  <c r="AT4004" i="1" s="1"/>
  <c r="AS4005" i="1"/>
  <c r="AT4005" i="1" s="1"/>
  <c r="AS4006" i="1"/>
  <c r="AT4006" i="1" s="1"/>
  <c r="AS4007" i="1"/>
  <c r="AT4007" i="1" s="1"/>
  <c r="AS4008" i="1"/>
  <c r="AT4008" i="1" s="1"/>
  <c r="AS4009" i="1"/>
  <c r="AT4009" i="1" s="1"/>
  <c r="AS4010" i="1"/>
  <c r="AT4010" i="1" s="1"/>
  <c r="AS4011" i="1"/>
  <c r="AT4011" i="1" s="1"/>
  <c r="AS4012" i="1"/>
  <c r="AT4012" i="1" s="1"/>
  <c r="AS4013" i="1"/>
  <c r="AT4013" i="1" s="1"/>
  <c r="AS4014" i="1"/>
  <c r="AT4014" i="1" s="1"/>
  <c r="AS4015" i="1"/>
  <c r="AT4015" i="1" s="1"/>
  <c r="AS4016" i="1"/>
  <c r="AT4016" i="1" s="1"/>
  <c r="AS4017" i="1"/>
  <c r="AT4017" i="1" s="1"/>
  <c r="AS4018" i="1"/>
  <c r="AT4018" i="1" s="1"/>
  <c r="AS4019" i="1"/>
  <c r="AT4019" i="1" s="1"/>
  <c r="AS4020" i="1"/>
  <c r="AT4020" i="1" s="1"/>
  <c r="AS4021" i="1"/>
  <c r="AT4021" i="1" s="1"/>
  <c r="AS4022" i="1"/>
  <c r="AT4022" i="1" s="1"/>
  <c r="AS4023" i="1"/>
  <c r="AT4023" i="1" s="1"/>
  <c r="AS4024" i="1"/>
  <c r="AT4024" i="1" s="1"/>
  <c r="AS4025" i="1"/>
  <c r="AT4025" i="1" s="1"/>
  <c r="AS4026" i="1"/>
  <c r="AT4026" i="1" s="1"/>
  <c r="AS4027" i="1"/>
  <c r="AT4027" i="1" s="1"/>
  <c r="AS4028" i="1"/>
  <c r="AT4028" i="1" s="1"/>
  <c r="AS4029" i="1"/>
  <c r="AT4029" i="1" s="1"/>
  <c r="AS4030" i="1"/>
  <c r="AT4030" i="1" s="1"/>
  <c r="AS4031" i="1"/>
  <c r="AT4031" i="1" s="1"/>
  <c r="AS4032" i="1"/>
  <c r="AT4032" i="1" s="1"/>
  <c r="AS4033" i="1"/>
  <c r="AT4033" i="1" s="1"/>
  <c r="AS4034" i="1"/>
  <c r="AT4034" i="1" s="1"/>
  <c r="AS4035" i="1"/>
  <c r="AT4035" i="1" s="1"/>
  <c r="AS4036" i="1"/>
  <c r="AT4036" i="1" s="1"/>
  <c r="AS4037" i="1"/>
  <c r="AT4037" i="1" s="1"/>
  <c r="AS4038" i="1"/>
  <c r="AT4038" i="1" s="1"/>
  <c r="AS4039" i="1"/>
  <c r="AT4039" i="1" s="1"/>
  <c r="AS4040" i="1"/>
  <c r="AT4040" i="1" s="1"/>
  <c r="AS4041" i="1"/>
  <c r="AT4041" i="1" s="1"/>
  <c r="AS4042" i="1"/>
  <c r="AT4042" i="1" s="1"/>
  <c r="AS4043" i="1"/>
  <c r="AT4043" i="1" s="1"/>
  <c r="AS4044" i="1"/>
  <c r="AT4044" i="1" s="1"/>
  <c r="AS4045" i="1"/>
  <c r="AT4045" i="1" s="1"/>
  <c r="AS4046" i="1"/>
  <c r="AT4046" i="1" s="1"/>
  <c r="AS4047" i="1"/>
  <c r="AT4047" i="1" s="1"/>
  <c r="AS4048" i="1"/>
  <c r="AT4048" i="1" s="1"/>
  <c r="AS4049" i="1"/>
  <c r="AT4049" i="1" s="1"/>
  <c r="AS4050" i="1"/>
  <c r="AT4050" i="1" s="1"/>
  <c r="AS4051" i="1"/>
  <c r="AT4051" i="1" s="1"/>
  <c r="AS4052" i="1"/>
  <c r="AT4052" i="1" s="1"/>
  <c r="AS4053" i="1"/>
  <c r="AT4053" i="1" s="1"/>
  <c r="AS4054" i="1"/>
  <c r="AT4054" i="1" s="1"/>
  <c r="AS4055" i="1"/>
  <c r="AT4055" i="1" s="1"/>
  <c r="AS4056" i="1"/>
  <c r="AT4056" i="1" s="1"/>
  <c r="AS4057" i="1"/>
  <c r="AT4057" i="1" s="1"/>
  <c r="AS4058" i="1"/>
  <c r="AT4058" i="1" s="1"/>
  <c r="AS4059" i="1"/>
  <c r="AT4059" i="1" s="1"/>
  <c r="AS4060" i="1"/>
  <c r="AT4060" i="1" s="1"/>
  <c r="AS4061" i="1"/>
  <c r="AT4061" i="1" s="1"/>
  <c r="AS4062" i="1"/>
  <c r="AT4062" i="1" s="1"/>
  <c r="AS4063" i="1"/>
  <c r="AT4063" i="1" s="1"/>
  <c r="AS4064" i="1"/>
  <c r="AT4064" i="1" s="1"/>
  <c r="AS4065" i="1"/>
  <c r="AT4065" i="1" s="1"/>
  <c r="AS4066" i="1"/>
  <c r="AT4066" i="1" s="1"/>
  <c r="AS4067" i="1"/>
  <c r="AT4067" i="1" s="1"/>
  <c r="AS4068" i="1"/>
  <c r="AT4068" i="1" s="1"/>
  <c r="AS4069" i="1"/>
  <c r="AT4069" i="1" s="1"/>
  <c r="AS4070" i="1"/>
  <c r="AT4070" i="1" s="1"/>
  <c r="AS4071" i="1"/>
  <c r="AT4071" i="1" s="1"/>
  <c r="AS4072" i="1"/>
  <c r="AT4072" i="1" s="1"/>
  <c r="AS4073" i="1"/>
  <c r="AT4073" i="1" s="1"/>
  <c r="AS4074" i="1"/>
  <c r="AT4074" i="1" s="1"/>
  <c r="AS4075" i="1"/>
  <c r="AT4075" i="1" s="1"/>
  <c r="AS4076" i="1"/>
  <c r="AT4076" i="1" s="1"/>
  <c r="AS4077" i="1"/>
  <c r="AT4077" i="1" s="1"/>
  <c r="AS4078" i="1"/>
  <c r="AT4078" i="1" s="1"/>
  <c r="AS4079" i="1"/>
  <c r="AT4079" i="1" s="1"/>
  <c r="AS4080" i="1"/>
  <c r="AT4080" i="1" s="1"/>
  <c r="AS4081" i="1"/>
  <c r="AT4081" i="1" s="1"/>
  <c r="AS4082" i="1"/>
  <c r="AT4082" i="1" s="1"/>
  <c r="AS4083" i="1"/>
  <c r="AT4083" i="1" s="1"/>
  <c r="AS4084" i="1"/>
  <c r="AT4084" i="1" s="1"/>
  <c r="AS4085" i="1"/>
  <c r="AT4085" i="1" s="1"/>
  <c r="AS4086" i="1"/>
  <c r="AT4086" i="1" s="1"/>
  <c r="AS4087" i="1"/>
  <c r="AT4087" i="1" s="1"/>
  <c r="AS4088" i="1"/>
  <c r="AT4088" i="1" s="1"/>
  <c r="AS4089" i="1"/>
  <c r="AT4089" i="1" s="1"/>
  <c r="AS4090" i="1"/>
  <c r="AT4090" i="1" s="1"/>
  <c r="AS4091" i="1"/>
  <c r="AT4091" i="1" s="1"/>
  <c r="AS4092" i="1"/>
  <c r="AT4092" i="1" s="1"/>
  <c r="AS4093" i="1"/>
  <c r="AT4093" i="1" s="1"/>
  <c r="AS4094" i="1"/>
  <c r="AT4094" i="1" s="1"/>
  <c r="AS4095" i="1"/>
  <c r="AT4095" i="1" s="1"/>
  <c r="AS4096" i="1"/>
  <c r="AT4096" i="1" s="1"/>
  <c r="AS4097" i="1"/>
  <c r="AT4097" i="1" s="1"/>
  <c r="AS4098" i="1"/>
  <c r="AT4098" i="1" s="1"/>
  <c r="AS4099" i="1"/>
  <c r="AT4099" i="1" s="1"/>
  <c r="AS4100" i="1"/>
  <c r="AT4100" i="1" s="1"/>
  <c r="AS4101" i="1"/>
  <c r="AT4101" i="1" s="1"/>
  <c r="AS4102" i="1"/>
  <c r="AT4102" i="1" s="1"/>
  <c r="AS4103" i="1"/>
  <c r="AT4103" i="1" s="1"/>
  <c r="AS4104" i="1"/>
  <c r="AT4104" i="1" s="1"/>
  <c r="AS4105" i="1"/>
  <c r="AT4105" i="1" s="1"/>
  <c r="AS4106" i="1"/>
  <c r="AT4106" i="1" s="1"/>
  <c r="AS4107" i="1"/>
  <c r="AT4107" i="1" s="1"/>
  <c r="AS4108" i="1"/>
  <c r="AT4108" i="1" s="1"/>
  <c r="AS4109" i="1"/>
  <c r="AT4109" i="1" s="1"/>
  <c r="AS4110" i="1"/>
  <c r="AT4110" i="1" s="1"/>
  <c r="AS4111" i="1"/>
  <c r="AT4111" i="1" s="1"/>
  <c r="AS4112" i="1"/>
  <c r="AT4112" i="1" s="1"/>
  <c r="AS4113" i="1"/>
  <c r="AT4113" i="1" s="1"/>
  <c r="AS4114" i="1"/>
  <c r="AT4114" i="1" s="1"/>
  <c r="AS4115" i="1"/>
  <c r="AT4115" i="1" s="1"/>
  <c r="AS4116" i="1"/>
  <c r="AT4116" i="1" s="1"/>
  <c r="AS4117" i="1"/>
  <c r="AT4117" i="1" s="1"/>
  <c r="AS4118" i="1"/>
  <c r="AT4118" i="1" s="1"/>
  <c r="AS4119" i="1"/>
  <c r="AT4119" i="1" s="1"/>
  <c r="AS4120" i="1"/>
  <c r="AT4120" i="1" s="1"/>
  <c r="AS4121" i="1"/>
  <c r="AT4121" i="1" s="1"/>
  <c r="AS4122" i="1"/>
  <c r="AT4122" i="1" s="1"/>
  <c r="AS4123" i="1"/>
  <c r="AT4123" i="1" s="1"/>
  <c r="AS4124" i="1"/>
  <c r="AT4124" i="1" s="1"/>
  <c r="AS4125" i="1"/>
  <c r="AT4125" i="1" s="1"/>
  <c r="AS4126" i="1"/>
  <c r="AT4126" i="1" s="1"/>
  <c r="AS4127" i="1"/>
  <c r="AT4127" i="1" s="1"/>
  <c r="AS4128" i="1"/>
  <c r="AT4128" i="1" s="1"/>
  <c r="AS4129" i="1"/>
  <c r="AT4129" i="1" s="1"/>
  <c r="AS4130" i="1"/>
  <c r="AT4130" i="1" s="1"/>
  <c r="AS4131" i="1"/>
  <c r="AT4131" i="1" s="1"/>
  <c r="AS4132" i="1"/>
  <c r="AT4132" i="1" s="1"/>
  <c r="AS4133" i="1"/>
  <c r="AT4133" i="1" s="1"/>
  <c r="AS4134" i="1"/>
  <c r="AT4134" i="1" s="1"/>
  <c r="AS4135" i="1"/>
  <c r="AT4135" i="1" s="1"/>
  <c r="AS4136" i="1"/>
  <c r="AT4136" i="1" s="1"/>
  <c r="AS4137" i="1"/>
  <c r="AT4137" i="1" s="1"/>
  <c r="AS4138" i="1"/>
  <c r="AT4138" i="1" s="1"/>
  <c r="AS4139" i="1"/>
  <c r="AT4139" i="1" s="1"/>
  <c r="AS4140" i="1"/>
  <c r="AT4140" i="1" s="1"/>
  <c r="AS4141" i="1"/>
  <c r="AT4141" i="1" s="1"/>
  <c r="AS4142" i="1"/>
  <c r="AT4142" i="1" s="1"/>
  <c r="AS4143" i="1"/>
  <c r="AT4143" i="1" s="1"/>
  <c r="AS4144" i="1"/>
  <c r="AT4144" i="1" s="1"/>
  <c r="AS4145" i="1"/>
  <c r="AT4145" i="1" s="1"/>
  <c r="AS4146" i="1"/>
  <c r="AT4146" i="1" s="1"/>
  <c r="AS4147" i="1"/>
  <c r="AT4147" i="1" s="1"/>
  <c r="AS4148" i="1"/>
  <c r="AT4148" i="1" s="1"/>
  <c r="AS4149" i="1"/>
  <c r="AT4149" i="1" s="1"/>
  <c r="AS4150" i="1"/>
  <c r="AT4150" i="1" s="1"/>
  <c r="AS4151" i="1"/>
  <c r="AT4151" i="1" s="1"/>
  <c r="AS4152" i="1"/>
  <c r="AT4152" i="1" s="1"/>
  <c r="AS4153" i="1"/>
  <c r="AT4153" i="1" s="1"/>
  <c r="AS4154" i="1"/>
  <c r="AT4154" i="1" s="1"/>
  <c r="AS4155" i="1"/>
  <c r="AT4155" i="1" s="1"/>
  <c r="AS4156" i="1"/>
  <c r="AT4156" i="1" s="1"/>
  <c r="AS4157" i="1"/>
  <c r="AT4157" i="1" s="1"/>
  <c r="AS4158" i="1"/>
  <c r="AT4158" i="1" s="1"/>
  <c r="AS4159" i="1"/>
  <c r="AT4159" i="1" s="1"/>
  <c r="AS4160" i="1"/>
  <c r="AT4160" i="1" s="1"/>
  <c r="AS4161" i="1"/>
  <c r="AT4161" i="1" s="1"/>
  <c r="AS4162" i="1"/>
  <c r="AT4162" i="1" s="1"/>
  <c r="AS4163" i="1"/>
  <c r="AT4163" i="1" s="1"/>
  <c r="AS4164" i="1"/>
  <c r="AT4164" i="1" s="1"/>
  <c r="AS4165" i="1"/>
  <c r="AT4165" i="1" s="1"/>
  <c r="AS4166" i="1"/>
  <c r="AT4166" i="1" s="1"/>
  <c r="AS4167" i="1"/>
  <c r="AT4167" i="1" s="1"/>
  <c r="AS4168" i="1"/>
  <c r="AT4168" i="1" s="1"/>
  <c r="AS4169" i="1"/>
  <c r="AT4169" i="1" s="1"/>
  <c r="AS4170" i="1"/>
  <c r="AT4170" i="1" s="1"/>
  <c r="AS4171" i="1"/>
  <c r="AT4171" i="1" s="1"/>
  <c r="AS4172" i="1"/>
  <c r="AT4172" i="1" s="1"/>
  <c r="AS4173" i="1"/>
  <c r="AT4173" i="1" s="1"/>
  <c r="AS4174" i="1"/>
  <c r="AT4174" i="1" s="1"/>
  <c r="AS4175" i="1"/>
  <c r="AT4175" i="1" s="1"/>
  <c r="AS4176" i="1"/>
  <c r="AT4176" i="1" s="1"/>
  <c r="AS4177" i="1"/>
  <c r="AT4177" i="1" s="1"/>
  <c r="AS4178" i="1"/>
  <c r="AT4178" i="1" s="1"/>
  <c r="AS4179" i="1"/>
  <c r="AT4179" i="1" s="1"/>
  <c r="AS4180" i="1"/>
  <c r="AT4180" i="1" s="1"/>
  <c r="AS4181" i="1"/>
  <c r="AT4181" i="1" s="1"/>
  <c r="AS4182" i="1"/>
  <c r="AT4182" i="1" s="1"/>
  <c r="AS4183" i="1"/>
  <c r="AT4183" i="1" s="1"/>
  <c r="AS4184" i="1"/>
  <c r="AT4184" i="1" s="1"/>
  <c r="AS4185" i="1"/>
  <c r="AT4185" i="1" s="1"/>
  <c r="AS4186" i="1"/>
  <c r="AT4186" i="1" s="1"/>
  <c r="AS4187" i="1"/>
  <c r="AT4187" i="1" s="1"/>
  <c r="AS4188" i="1"/>
  <c r="AT4188" i="1" s="1"/>
  <c r="AS4189" i="1"/>
  <c r="AT4189" i="1" s="1"/>
  <c r="AS4190" i="1"/>
  <c r="AT4190" i="1" s="1"/>
  <c r="AS4191" i="1"/>
  <c r="AT4191" i="1" s="1"/>
  <c r="AS4192" i="1"/>
  <c r="AT4192" i="1" s="1"/>
  <c r="AS4193" i="1"/>
  <c r="AT4193" i="1" s="1"/>
  <c r="AS4194" i="1"/>
  <c r="AT4194" i="1" s="1"/>
  <c r="AS4195" i="1"/>
  <c r="AT4195" i="1" s="1"/>
  <c r="AS4196" i="1"/>
  <c r="AT4196" i="1" s="1"/>
  <c r="AS4197" i="1"/>
  <c r="AT4197" i="1" s="1"/>
  <c r="AS4198" i="1"/>
  <c r="AT4198" i="1" s="1"/>
  <c r="AS4199" i="1"/>
  <c r="AT4199" i="1" s="1"/>
  <c r="AS4200" i="1"/>
  <c r="AT4200" i="1" s="1"/>
  <c r="AS4201" i="1"/>
  <c r="AT4201" i="1" s="1"/>
  <c r="AS4202" i="1"/>
  <c r="AT4202" i="1" s="1"/>
  <c r="AS4203" i="1"/>
  <c r="AT4203" i="1" s="1"/>
  <c r="AS4204" i="1"/>
  <c r="AT4204" i="1" s="1"/>
  <c r="AS4205" i="1"/>
  <c r="AT4205" i="1" s="1"/>
  <c r="AS4206" i="1"/>
  <c r="AT4206" i="1" s="1"/>
  <c r="AS4207" i="1"/>
  <c r="AT4207" i="1" s="1"/>
  <c r="AS4208" i="1"/>
  <c r="AT4208" i="1" s="1"/>
  <c r="AS4209" i="1"/>
  <c r="AT4209" i="1" s="1"/>
  <c r="AS4210" i="1"/>
  <c r="AT4210" i="1" s="1"/>
  <c r="AS4211" i="1"/>
  <c r="AT4211" i="1" s="1"/>
  <c r="AS4212" i="1"/>
  <c r="AT4212" i="1" s="1"/>
  <c r="AS4213" i="1"/>
  <c r="AT4213" i="1" s="1"/>
  <c r="AS4214" i="1"/>
  <c r="AT4214" i="1" s="1"/>
  <c r="AS4215" i="1"/>
  <c r="AT4215" i="1" s="1"/>
  <c r="AS4216" i="1"/>
  <c r="AT4216" i="1" s="1"/>
  <c r="AS4217" i="1"/>
  <c r="AT4217" i="1" s="1"/>
  <c r="AS4218" i="1"/>
  <c r="AT4218" i="1" s="1"/>
  <c r="AS4219" i="1"/>
  <c r="AT4219" i="1" s="1"/>
  <c r="AS4220" i="1"/>
  <c r="AT4220" i="1" s="1"/>
  <c r="AS4221" i="1"/>
  <c r="AT4221" i="1" s="1"/>
  <c r="AS4222" i="1"/>
  <c r="AT4222" i="1" s="1"/>
  <c r="AS4223" i="1"/>
  <c r="AT4223" i="1" s="1"/>
  <c r="AS4224" i="1"/>
  <c r="AT4224" i="1" s="1"/>
  <c r="AS4225" i="1"/>
  <c r="AT4225" i="1" s="1"/>
  <c r="AS4226" i="1"/>
  <c r="AT4226" i="1" s="1"/>
  <c r="AS4227" i="1"/>
  <c r="AT4227" i="1" s="1"/>
  <c r="AS4228" i="1"/>
  <c r="AT4228" i="1" s="1"/>
  <c r="AS4229" i="1"/>
  <c r="AT4229" i="1" s="1"/>
  <c r="AS4230" i="1"/>
  <c r="AT4230" i="1" s="1"/>
  <c r="AS4231" i="1"/>
  <c r="AT4231" i="1" s="1"/>
  <c r="AS4232" i="1"/>
  <c r="AT4232" i="1" s="1"/>
  <c r="AS4233" i="1"/>
  <c r="AT4233" i="1" s="1"/>
  <c r="AS4234" i="1"/>
  <c r="AT4234" i="1" s="1"/>
  <c r="AS4235" i="1"/>
  <c r="AT4235" i="1" s="1"/>
  <c r="AS4236" i="1"/>
  <c r="AT4236" i="1" s="1"/>
  <c r="AS4237" i="1"/>
  <c r="AT4237" i="1" s="1"/>
  <c r="AS4238" i="1"/>
  <c r="AT4238" i="1" s="1"/>
  <c r="AS4239" i="1"/>
  <c r="AT4239" i="1" s="1"/>
  <c r="AS4240" i="1"/>
  <c r="AT4240" i="1" s="1"/>
  <c r="AS4241" i="1"/>
  <c r="AT4241" i="1" s="1"/>
  <c r="AS4242" i="1"/>
  <c r="AT4242" i="1" s="1"/>
  <c r="AS4243" i="1"/>
  <c r="AT4243" i="1" s="1"/>
  <c r="AS4244" i="1"/>
  <c r="AT4244" i="1" s="1"/>
  <c r="AS4245" i="1"/>
  <c r="AT4245" i="1" s="1"/>
  <c r="AS4246" i="1"/>
  <c r="AT4246" i="1" s="1"/>
  <c r="AS4247" i="1"/>
  <c r="AT4247" i="1" s="1"/>
  <c r="AS4248" i="1"/>
  <c r="AT4248" i="1" s="1"/>
  <c r="AS4249" i="1"/>
  <c r="AT4249" i="1" s="1"/>
  <c r="AS4250" i="1"/>
  <c r="AT4250" i="1" s="1"/>
  <c r="AS4251" i="1"/>
  <c r="AT4251" i="1" s="1"/>
  <c r="AS4252" i="1"/>
  <c r="AT4252" i="1" s="1"/>
  <c r="AS4253" i="1"/>
  <c r="AT4253" i="1" s="1"/>
  <c r="AS4254" i="1"/>
  <c r="AT4254" i="1" s="1"/>
  <c r="AS4255" i="1"/>
  <c r="AT4255" i="1" s="1"/>
  <c r="AS4256" i="1"/>
  <c r="AT4256" i="1" s="1"/>
  <c r="AS4257" i="1"/>
  <c r="AT4257" i="1" s="1"/>
  <c r="AS4258" i="1"/>
  <c r="AT4258" i="1" s="1"/>
  <c r="AS4259" i="1"/>
  <c r="AT4259" i="1" s="1"/>
  <c r="AS4260" i="1"/>
  <c r="AT4260" i="1" s="1"/>
  <c r="AS4261" i="1"/>
  <c r="AT4261" i="1" s="1"/>
  <c r="AS4262" i="1"/>
  <c r="AT4262" i="1" s="1"/>
  <c r="AS4263" i="1"/>
  <c r="AT4263" i="1" s="1"/>
  <c r="AS4264" i="1"/>
  <c r="AT4264" i="1" s="1"/>
  <c r="AS4265" i="1"/>
  <c r="AT4265" i="1" s="1"/>
  <c r="AS4266" i="1"/>
  <c r="AT4266" i="1" s="1"/>
  <c r="AS4267" i="1"/>
  <c r="AT4267" i="1" s="1"/>
  <c r="AS4268" i="1"/>
  <c r="AT4268" i="1" s="1"/>
  <c r="AS4269" i="1"/>
  <c r="AT4269" i="1" s="1"/>
  <c r="AS4270" i="1"/>
  <c r="AT4270" i="1" s="1"/>
  <c r="AS4271" i="1"/>
  <c r="AT4271" i="1" s="1"/>
  <c r="AS4272" i="1"/>
  <c r="AT4272" i="1" s="1"/>
  <c r="AS4273" i="1"/>
  <c r="AT4273" i="1" s="1"/>
  <c r="AS4274" i="1"/>
  <c r="AT4274" i="1" s="1"/>
  <c r="AS4275" i="1"/>
  <c r="AT4275" i="1" s="1"/>
  <c r="AS4276" i="1"/>
  <c r="AT4276" i="1" s="1"/>
  <c r="AS4277" i="1"/>
  <c r="AT4277" i="1" s="1"/>
  <c r="AS4278" i="1"/>
  <c r="AT4278" i="1" s="1"/>
  <c r="AS4279" i="1"/>
  <c r="AT4279" i="1" s="1"/>
  <c r="AS4280" i="1"/>
  <c r="AT4280" i="1" s="1"/>
  <c r="AS4281" i="1"/>
  <c r="AT4281" i="1" s="1"/>
  <c r="AS4282" i="1"/>
  <c r="AT4282" i="1" s="1"/>
  <c r="AS4283" i="1"/>
  <c r="AT4283" i="1" s="1"/>
  <c r="AS4284" i="1"/>
  <c r="AT4284" i="1" s="1"/>
  <c r="AS4285" i="1"/>
  <c r="AT4285" i="1" s="1"/>
  <c r="AS4286" i="1"/>
  <c r="AT4286" i="1" s="1"/>
  <c r="AS4287" i="1"/>
  <c r="AT4287" i="1" s="1"/>
  <c r="AS4288" i="1"/>
  <c r="AT4288" i="1" s="1"/>
  <c r="AS4289" i="1"/>
  <c r="AT4289" i="1" s="1"/>
  <c r="AS4290" i="1"/>
  <c r="AT4290" i="1" s="1"/>
  <c r="AS4291" i="1"/>
  <c r="AT4291" i="1" s="1"/>
  <c r="AS4292" i="1"/>
  <c r="AT4292" i="1" s="1"/>
  <c r="AS4293" i="1"/>
  <c r="AT4293" i="1" s="1"/>
  <c r="AS4294" i="1"/>
  <c r="AT4294" i="1" s="1"/>
  <c r="AS4295" i="1"/>
  <c r="AT4295" i="1" s="1"/>
  <c r="AS4296" i="1"/>
  <c r="AT4296" i="1" s="1"/>
  <c r="AS4297" i="1"/>
  <c r="AT4297" i="1" s="1"/>
  <c r="AS4298" i="1"/>
  <c r="AT4298" i="1" s="1"/>
  <c r="AS4299" i="1"/>
  <c r="AT4299" i="1" s="1"/>
  <c r="AS4300" i="1"/>
  <c r="AT4300" i="1" s="1"/>
  <c r="AS4301" i="1"/>
  <c r="AT4301" i="1" s="1"/>
  <c r="AS4302" i="1"/>
  <c r="AT4302" i="1" s="1"/>
  <c r="AS4303" i="1"/>
  <c r="AT4303" i="1" s="1"/>
  <c r="AS4304" i="1"/>
  <c r="AT4304" i="1" s="1"/>
  <c r="AS4305" i="1"/>
  <c r="AT4305" i="1" s="1"/>
  <c r="AS4306" i="1"/>
  <c r="AT4306" i="1" s="1"/>
  <c r="AS4307" i="1"/>
  <c r="AT4307" i="1" s="1"/>
  <c r="AS4308" i="1"/>
  <c r="AT4308" i="1" s="1"/>
  <c r="AS4309" i="1"/>
  <c r="AT4309" i="1" s="1"/>
  <c r="AS4310" i="1"/>
  <c r="AT4310" i="1" s="1"/>
  <c r="AS4311" i="1"/>
  <c r="AT4311" i="1" s="1"/>
  <c r="AS4312" i="1"/>
  <c r="AT4312" i="1" s="1"/>
  <c r="AS4313" i="1"/>
  <c r="AT4313" i="1" s="1"/>
  <c r="AS4314" i="1"/>
  <c r="AT4314" i="1" s="1"/>
  <c r="AS4315" i="1"/>
  <c r="AT4315" i="1" s="1"/>
  <c r="AS4316" i="1"/>
  <c r="AT4316" i="1" s="1"/>
  <c r="AS4317" i="1"/>
  <c r="AT4317" i="1" s="1"/>
  <c r="AS4318" i="1"/>
  <c r="AT4318" i="1" s="1"/>
  <c r="AS4319" i="1"/>
  <c r="AT4319" i="1" s="1"/>
  <c r="AS4320" i="1"/>
  <c r="AT4320" i="1" s="1"/>
  <c r="AS4321" i="1"/>
  <c r="AT4321" i="1" s="1"/>
  <c r="AS4322" i="1"/>
  <c r="AT4322" i="1" s="1"/>
  <c r="AS4323" i="1"/>
  <c r="AT4323" i="1" s="1"/>
  <c r="AS4324" i="1"/>
  <c r="AT4324" i="1" s="1"/>
  <c r="AS4325" i="1"/>
  <c r="AT4325" i="1" s="1"/>
  <c r="AS4326" i="1"/>
  <c r="AT4326" i="1" s="1"/>
  <c r="AS4327" i="1"/>
  <c r="AT4327" i="1" s="1"/>
  <c r="AS4328" i="1"/>
  <c r="AT4328" i="1" s="1"/>
  <c r="AS4329" i="1"/>
  <c r="AT4329" i="1" s="1"/>
  <c r="AS4330" i="1"/>
  <c r="AT4330" i="1" s="1"/>
  <c r="AS4331" i="1"/>
  <c r="AT4331" i="1" s="1"/>
  <c r="AS4332" i="1"/>
  <c r="AT4332" i="1" s="1"/>
  <c r="AS4333" i="1"/>
  <c r="AT4333" i="1" s="1"/>
  <c r="AS4334" i="1"/>
  <c r="AT4334" i="1" s="1"/>
  <c r="AS4335" i="1"/>
  <c r="AT4335" i="1" s="1"/>
  <c r="AS4336" i="1"/>
  <c r="AT4336" i="1" s="1"/>
  <c r="AS4337" i="1"/>
  <c r="AT4337" i="1" s="1"/>
  <c r="AS4338" i="1"/>
  <c r="AT4338" i="1" s="1"/>
  <c r="AS4339" i="1"/>
  <c r="AT4339" i="1" s="1"/>
  <c r="AS4340" i="1"/>
  <c r="AT4340" i="1" s="1"/>
  <c r="AS4341" i="1"/>
  <c r="AT4341" i="1" s="1"/>
  <c r="AS4342" i="1"/>
  <c r="AT4342" i="1" s="1"/>
  <c r="AS4343" i="1"/>
  <c r="AT4343" i="1" s="1"/>
  <c r="AS4344" i="1"/>
  <c r="AT4344" i="1" s="1"/>
  <c r="AS4345" i="1"/>
  <c r="AT4345" i="1" s="1"/>
  <c r="AS4346" i="1"/>
  <c r="AT4346" i="1" s="1"/>
  <c r="AS4347" i="1"/>
  <c r="AT4347" i="1" s="1"/>
  <c r="AS4348" i="1"/>
  <c r="AT4348" i="1" s="1"/>
  <c r="AS4349" i="1"/>
  <c r="AT4349" i="1" s="1"/>
  <c r="AS4350" i="1"/>
  <c r="AT4350" i="1" s="1"/>
  <c r="AS4351" i="1"/>
  <c r="AT4351" i="1" s="1"/>
  <c r="AS4352" i="1"/>
  <c r="AT4352" i="1" s="1"/>
  <c r="AS4353" i="1"/>
  <c r="AT4353" i="1" s="1"/>
  <c r="AS4354" i="1"/>
  <c r="AT4354" i="1" s="1"/>
  <c r="AS4355" i="1"/>
  <c r="AT4355" i="1" s="1"/>
  <c r="AS4356" i="1"/>
  <c r="AT4356" i="1" s="1"/>
  <c r="AS4357" i="1"/>
  <c r="AT4357" i="1" s="1"/>
  <c r="AS4358" i="1"/>
  <c r="AT4358" i="1" s="1"/>
  <c r="AS4359" i="1"/>
  <c r="AT4359" i="1" s="1"/>
  <c r="AS4360" i="1"/>
  <c r="AT4360" i="1" s="1"/>
  <c r="AS4361" i="1"/>
  <c r="AT4361" i="1" s="1"/>
  <c r="AS4362" i="1"/>
  <c r="AT4362" i="1" s="1"/>
  <c r="AS4363" i="1"/>
  <c r="AT4363" i="1" s="1"/>
  <c r="AS4364" i="1"/>
  <c r="AT4364" i="1" s="1"/>
  <c r="AS4365" i="1"/>
  <c r="AT4365" i="1" s="1"/>
  <c r="AS4366" i="1"/>
  <c r="AT4366" i="1" s="1"/>
  <c r="AS4367" i="1"/>
  <c r="AT4367" i="1" s="1"/>
  <c r="AS4368" i="1"/>
  <c r="AT4368" i="1" s="1"/>
  <c r="AS4369" i="1"/>
  <c r="AT4369" i="1" s="1"/>
  <c r="AS4370" i="1"/>
  <c r="AT4370" i="1" s="1"/>
  <c r="AS4371" i="1"/>
  <c r="AT4371" i="1" s="1"/>
  <c r="AS4372" i="1"/>
  <c r="AT4372" i="1" s="1"/>
  <c r="AS4373" i="1"/>
  <c r="AT4373" i="1" s="1"/>
  <c r="AS4374" i="1"/>
  <c r="AT4374" i="1" s="1"/>
  <c r="AS4375" i="1"/>
  <c r="AT4375" i="1" s="1"/>
  <c r="AS4376" i="1"/>
  <c r="AT4376" i="1" s="1"/>
  <c r="AS4377" i="1"/>
  <c r="AT4377" i="1" s="1"/>
  <c r="AS4378" i="1"/>
  <c r="AT4378" i="1" s="1"/>
  <c r="AS4379" i="1"/>
  <c r="AT4379" i="1" s="1"/>
  <c r="AS4380" i="1"/>
  <c r="AT4380" i="1" s="1"/>
  <c r="AS4381" i="1"/>
  <c r="AT4381" i="1" s="1"/>
  <c r="AS4382" i="1"/>
  <c r="AT4382" i="1" s="1"/>
  <c r="AS4383" i="1"/>
  <c r="AT4383" i="1" s="1"/>
  <c r="AS4384" i="1"/>
  <c r="AT4384" i="1" s="1"/>
  <c r="AS4385" i="1"/>
  <c r="AT4385" i="1" s="1"/>
  <c r="AS4386" i="1"/>
  <c r="AT4386" i="1" s="1"/>
  <c r="AS4387" i="1"/>
  <c r="AT4387" i="1" s="1"/>
  <c r="AS4388" i="1"/>
  <c r="AT4388" i="1" s="1"/>
  <c r="AS4389" i="1"/>
  <c r="AT4389" i="1" s="1"/>
  <c r="AS4390" i="1"/>
  <c r="AT4390" i="1" s="1"/>
  <c r="AS4391" i="1"/>
  <c r="AT4391" i="1" s="1"/>
  <c r="AS4392" i="1"/>
  <c r="AT4392" i="1" s="1"/>
  <c r="AS4393" i="1"/>
  <c r="AT4393" i="1" s="1"/>
  <c r="AS4394" i="1"/>
  <c r="AT4394" i="1" s="1"/>
  <c r="AS4395" i="1"/>
  <c r="AT4395" i="1" s="1"/>
  <c r="AS4396" i="1"/>
  <c r="AT4396" i="1" s="1"/>
  <c r="AS4397" i="1"/>
  <c r="AT4397" i="1" s="1"/>
  <c r="AS4398" i="1"/>
  <c r="AT4398" i="1" s="1"/>
  <c r="AS4399" i="1"/>
  <c r="AT4399" i="1" s="1"/>
  <c r="AS4400" i="1"/>
  <c r="AT4400" i="1" s="1"/>
  <c r="AS4401" i="1"/>
  <c r="AT4401" i="1" s="1"/>
  <c r="AS4402" i="1"/>
  <c r="AT4402" i="1" s="1"/>
  <c r="AS4403" i="1"/>
  <c r="AT4403" i="1" s="1"/>
  <c r="AS4404" i="1"/>
  <c r="AT4404" i="1" s="1"/>
  <c r="AS4405" i="1"/>
  <c r="AT4405" i="1" s="1"/>
  <c r="AS4406" i="1"/>
  <c r="AT4406" i="1" s="1"/>
  <c r="AS4407" i="1"/>
  <c r="AT4407" i="1" s="1"/>
  <c r="AS4408" i="1"/>
  <c r="AT4408" i="1" s="1"/>
  <c r="AS4409" i="1"/>
  <c r="AT4409" i="1" s="1"/>
  <c r="AS4410" i="1"/>
  <c r="AT4410" i="1" s="1"/>
  <c r="AS4411" i="1"/>
  <c r="AT4411" i="1" s="1"/>
  <c r="AS4412" i="1"/>
  <c r="AT4412" i="1" s="1"/>
  <c r="AS4413" i="1"/>
  <c r="AT4413" i="1" s="1"/>
  <c r="AS4414" i="1"/>
  <c r="AT4414" i="1" s="1"/>
  <c r="AS4415" i="1"/>
  <c r="AT4415" i="1" s="1"/>
  <c r="AS4416" i="1"/>
  <c r="AT4416" i="1" s="1"/>
  <c r="AS4417" i="1"/>
  <c r="AT4417" i="1" s="1"/>
  <c r="AS4418" i="1"/>
  <c r="AT4418" i="1" s="1"/>
  <c r="AS4419" i="1"/>
  <c r="AT4419" i="1" s="1"/>
  <c r="AS4420" i="1"/>
  <c r="AT4420" i="1" s="1"/>
  <c r="AS4421" i="1"/>
  <c r="AT4421" i="1" s="1"/>
  <c r="AS4422" i="1"/>
  <c r="AT4422" i="1" s="1"/>
  <c r="AS4423" i="1"/>
  <c r="AT4423" i="1" s="1"/>
  <c r="AS4424" i="1"/>
  <c r="AT4424" i="1" s="1"/>
  <c r="AS4425" i="1"/>
  <c r="AT4425" i="1" s="1"/>
  <c r="AS4426" i="1"/>
  <c r="AT4426" i="1" s="1"/>
  <c r="AS4427" i="1"/>
  <c r="AT4427" i="1" s="1"/>
  <c r="AS4428" i="1"/>
  <c r="AT4428" i="1" s="1"/>
  <c r="AS4429" i="1"/>
  <c r="AT4429" i="1" s="1"/>
  <c r="AS4430" i="1"/>
  <c r="AT4430" i="1" s="1"/>
  <c r="AS4431" i="1"/>
  <c r="AT4431" i="1" s="1"/>
  <c r="AS4432" i="1"/>
  <c r="AT4432" i="1" s="1"/>
  <c r="AS4433" i="1"/>
  <c r="AT4433" i="1" s="1"/>
  <c r="AS4434" i="1"/>
  <c r="AT4434" i="1" s="1"/>
  <c r="AS4435" i="1"/>
  <c r="AT4435" i="1" s="1"/>
  <c r="AS4436" i="1"/>
  <c r="AT4436" i="1" s="1"/>
  <c r="AS4437" i="1"/>
  <c r="AT4437" i="1" s="1"/>
  <c r="AS4438" i="1"/>
  <c r="AT4438" i="1" s="1"/>
  <c r="AS4439" i="1"/>
  <c r="AT4439" i="1" s="1"/>
  <c r="AS4440" i="1"/>
  <c r="AT4440" i="1" s="1"/>
  <c r="AS4441" i="1"/>
  <c r="AT4441" i="1" s="1"/>
  <c r="AS4442" i="1"/>
  <c r="AT4442" i="1" s="1"/>
  <c r="AS4443" i="1"/>
  <c r="AT4443" i="1" s="1"/>
  <c r="AS4444" i="1"/>
  <c r="AT4444" i="1" s="1"/>
  <c r="AS4445" i="1"/>
  <c r="AT4445" i="1" s="1"/>
  <c r="AS4446" i="1"/>
  <c r="AT4446" i="1" s="1"/>
  <c r="AS4447" i="1"/>
  <c r="AT4447" i="1" s="1"/>
  <c r="AS4448" i="1"/>
  <c r="AT4448" i="1" s="1"/>
  <c r="AS4449" i="1"/>
  <c r="AT4449" i="1" s="1"/>
  <c r="AS4450" i="1"/>
  <c r="AT4450" i="1" s="1"/>
  <c r="AS4451" i="1"/>
  <c r="AT4451" i="1" s="1"/>
  <c r="AS4452" i="1"/>
  <c r="AT4452" i="1" s="1"/>
  <c r="AS4453" i="1"/>
  <c r="AT4453" i="1" s="1"/>
  <c r="AS4454" i="1"/>
  <c r="AT4454" i="1"/>
  <c r="AS4455" i="1"/>
  <c r="AT4455" i="1" s="1"/>
  <c r="AS4456" i="1"/>
  <c r="AT4456" i="1" s="1"/>
  <c r="AS4457" i="1"/>
  <c r="AT4457" i="1" s="1"/>
  <c r="AS4458" i="1"/>
  <c r="AT4458" i="1" s="1"/>
  <c r="AS4459" i="1"/>
  <c r="AT4459" i="1" s="1"/>
  <c r="AS4460" i="1"/>
  <c r="AT4460" i="1" s="1"/>
  <c r="AS4461" i="1"/>
  <c r="AT4461" i="1" s="1"/>
  <c r="AS4462" i="1"/>
  <c r="AT4462" i="1" s="1"/>
  <c r="AS4463" i="1"/>
  <c r="AT4463" i="1" s="1"/>
  <c r="AS4464" i="1"/>
  <c r="AT4464" i="1" s="1"/>
  <c r="AS4465" i="1"/>
  <c r="AT4465" i="1" s="1"/>
  <c r="AS4466" i="1"/>
  <c r="AT4466" i="1" s="1"/>
  <c r="AS4467" i="1"/>
  <c r="AT4467" i="1" s="1"/>
  <c r="AS4468" i="1"/>
  <c r="AT4468" i="1" s="1"/>
  <c r="AS4469" i="1"/>
  <c r="AT4469" i="1" s="1"/>
  <c r="AS4470" i="1"/>
  <c r="AT4470" i="1" s="1"/>
  <c r="AS4471" i="1"/>
  <c r="AT4471" i="1" s="1"/>
  <c r="AS4472" i="1"/>
  <c r="AT4472" i="1" s="1"/>
  <c r="AS4473" i="1"/>
  <c r="AT4473" i="1" s="1"/>
  <c r="AS4474" i="1"/>
  <c r="AT4474" i="1" s="1"/>
  <c r="AS4475" i="1"/>
  <c r="AT4475" i="1" s="1"/>
  <c r="AS4476" i="1"/>
  <c r="AT4476" i="1" s="1"/>
  <c r="AS4477" i="1"/>
  <c r="AT4477" i="1" s="1"/>
  <c r="AS4478" i="1"/>
  <c r="AT4478" i="1" s="1"/>
  <c r="AS4479" i="1"/>
  <c r="AT4479" i="1" s="1"/>
  <c r="AS4480" i="1"/>
  <c r="AT4480" i="1" s="1"/>
  <c r="AS4481" i="1"/>
  <c r="AT4481" i="1" s="1"/>
  <c r="AS4482" i="1"/>
  <c r="AT4482" i="1" s="1"/>
  <c r="AS4483" i="1"/>
  <c r="AT4483" i="1" s="1"/>
  <c r="AS4484" i="1"/>
  <c r="AT4484" i="1" s="1"/>
  <c r="AS4485" i="1"/>
  <c r="AT4485" i="1" s="1"/>
  <c r="AS4486" i="1"/>
  <c r="AT4486" i="1" s="1"/>
  <c r="AS4487" i="1"/>
  <c r="AT4487" i="1" s="1"/>
  <c r="AS4488" i="1"/>
  <c r="AT4488" i="1" s="1"/>
  <c r="AS4489" i="1"/>
  <c r="AT4489" i="1" s="1"/>
  <c r="AS4490" i="1"/>
  <c r="AT4490" i="1" s="1"/>
  <c r="AS4491" i="1"/>
  <c r="AT4491" i="1" s="1"/>
  <c r="AS4492" i="1"/>
  <c r="AT4492" i="1" s="1"/>
  <c r="AS4493" i="1"/>
  <c r="AT4493" i="1" s="1"/>
  <c r="AS4494" i="1"/>
  <c r="AT4494" i="1" s="1"/>
  <c r="AS4495" i="1"/>
  <c r="AT4495" i="1" s="1"/>
  <c r="AS4496" i="1"/>
  <c r="AT4496" i="1" s="1"/>
  <c r="AS4497" i="1"/>
  <c r="AT4497" i="1" s="1"/>
  <c r="AS4498" i="1"/>
  <c r="AT4498" i="1" s="1"/>
  <c r="AS4499" i="1"/>
  <c r="AT4499" i="1" s="1"/>
  <c r="AS4500" i="1"/>
  <c r="AT4500" i="1" s="1"/>
  <c r="AS4501" i="1"/>
  <c r="AT4501" i="1" s="1"/>
  <c r="AS4502" i="1"/>
  <c r="AT4502" i="1" s="1"/>
  <c r="AS4503" i="1"/>
  <c r="AT4503" i="1" s="1"/>
  <c r="AS4504" i="1"/>
  <c r="AT4504" i="1" s="1"/>
  <c r="AS4505" i="1"/>
  <c r="AT4505" i="1" s="1"/>
  <c r="AS4506" i="1"/>
  <c r="AT4506" i="1" s="1"/>
  <c r="AS4507" i="1"/>
  <c r="AT4507" i="1" s="1"/>
  <c r="AS4508" i="1"/>
  <c r="AT4508" i="1" s="1"/>
  <c r="AS4509" i="1"/>
  <c r="AT4509" i="1" s="1"/>
  <c r="AS4510" i="1"/>
  <c r="AT4510" i="1" s="1"/>
  <c r="AS4511" i="1"/>
  <c r="AT4511" i="1" s="1"/>
  <c r="AS4512" i="1"/>
  <c r="AT4512" i="1" s="1"/>
  <c r="AS4513" i="1"/>
  <c r="AT4513" i="1" s="1"/>
  <c r="AS4514" i="1"/>
  <c r="AT4514" i="1" s="1"/>
  <c r="AS4515" i="1"/>
  <c r="AT4515" i="1" s="1"/>
  <c r="AS4516" i="1"/>
  <c r="AT4516" i="1" s="1"/>
  <c r="AS4517" i="1"/>
  <c r="AT4517" i="1" s="1"/>
  <c r="AS4518" i="1"/>
  <c r="AT4518" i="1" s="1"/>
  <c r="AS4519" i="1"/>
  <c r="AT4519" i="1" s="1"/>
  <c r="AS4520" i="1"/>
  <c r="AT4520" i="1" s="1"/>
  <c r="AS4521" i="1"/>
  <c r="AT4521" i="1" s="1"/>
  <c r="AS4522" i="1"/>
  <c r="AT4522" i="1" s="1"/>
  <c r="AS4523" i="1"/>
  <c r="AT4523" i="1" s="1"/>
  <c r="AS4524" i="1"/>
  <c r="AT4524" i="1" s="1"/>
  <c r="AS4525" i="1"/>
  <c r="AT4525" i="1" s="1"/>
  <c r="AS4526" i="1"/>
  <c r="AT4526" i="1" s="1"/>
  <c r="AS4527" i="1"/>
  <c r="AT4527" i="1" s="1"/>
  <c r="AS4528" i="1"/>
  <c r="AT4528" i="1" s="1"/>
  <c r="AS4529" i="1"/>
  <c r="AT4529" i="1" s="1"/>
  <c r="AS4530" i="1"/>
  <c r="AT4530" i="1" s="1"/>
  <c r="AS4531" i="1"/>
  <c r="AT4531" i="1" s="1"/>
  <c r="AS4532" i="1"/>
  <c r="AT4532" i="1" s="1"/>
  <c r="AS4533" i="1"/>
  <c r="AT4533" i="1" s="1"/>
  <c r="AS4534" i="1"/>
  <c r="AT4534" i="1" s="1"/>
  <c r="AS4535" i="1"/>
  <c r="AT4535" i="1" s="1"/>
  <c r="AS4536" i="1"/>
  <c r="AT4536" i="1" s="1"/>
  <c r="AS4537" i="1"/>
  <c r="AT4537" i="1" s="1"/>
  <c r="AS4538" i="1"/>
  <c r="AT4538" i="1" s="1"/>
  <c r="AS4539" i="1"/>
  <c r="AT4539" i="1" s="1"/>
  <c r="AS4540" i="1"/>
  <c r="AT4540" i="1" s="1"/>
  <c r="AS4541" i="1"/>
  <c r="AT4541" i="1" s="1"/>
  <c r="AS4542" i="1"/>
  <c r="AT4542" i="1" s="1"/>
  <c r="AS4543" i="1"/>
  <c r="AT4543" i="1" s="1"/>
  <c r="AS4544" i="1"/>
  <c r="AT4544" i="1" s="1"/>
  <c r="AS4545" i="1"/>
  <c r="AT4545" i="1" s="1"/>
  <c r="AS4546" i="1"/>
  <c r="AT4546" i="1" s="1"/>
  <c r="AS4547" i="1"/>
  <c r="AT4547" i="1" s="1"/>
  <c r="AS4548" i="1"/>
  <c r="AT4548" i="1" s="1"/>
  <c r="AS4549" i="1"/>
  <c r="AT4549" i="1" s="1"/>
  <c r="AS4550" i="1"/>
  <c r="AT4550" i="1" s="1"/>
  <c r="AS4551" i="1"/>
  <c r="AT4551" i="1" s="1"/>
  <c r="AS4552" i="1"/>
  <c r="AT4552" i="1" s="1"/>
  <c r="AS4553" i="1"/>
  <c r="AT4553" i="1" s="1"/>
  <c r="AS4554" i="1"/>
  <c r="AT4554" i="1" s="1"/>
  <c r="AS4555" i="1"/>
  <c r="AT4555" i="1" s="1"/>
  <c r="AS4556" i="1"/>
  <c r="AT4556" i="1" s="1"/>
  <c r="AS4557" i="1"/>
  <c r="AT4557" i="1" s="1"/>
  <c r="AS4558" i="1"/>
  <c r="AT4558" i="1" s="1"/>
  <c r="AS4559" i="1"/>
  <c r="AT4559" i="1" s="1"/>
  <c r="AS4560" i="1"/>
  <c r="AT4560" i="1" s="1"/>
  <c r="AS4561" i="1"/>
  <c r="AT4561" i="1" s="1"/>
  <c r="AS4562" i="1"/>
  <c r="AT4562" i="1" s="1"/>
  <c r="AS4563" i="1"/>
  <c r="AT4563" i="1" s="1"/>
  <c r="AS4564" i="1"/>
  <c r="AT4564" i="1" s="1"/>
  <c r="AS4565" i="1"/>
  <c r="AT4565" i="1" s="1"/>
  <c r="AS4566" i="1"/>
  <c r="AT4566" i="1" s="1"/>
  <c r="AS4567" i="1"/>
  <c r="AT4567" i="1" s="1"/>
  <c r="AS4568" i="1"/>
  <c r="AT4568" i="1" s="1"/>
  <c r="AS4569" i="1"/>
  <c r="AT4569" i="1" s="1"/>
  <c r="AS4570" i="1"/>
  <c r="AT4570" i="1" s="1"/>
  <c r="AS4571" i="1"/>
  <c r="AT4571" i="1" s="1"/>
  <c r="AS4572" i="1"/>
  <c r="AT4572" i="1" s="1"/>
  <c r="AS4573" i="1"/>
  <c r="AT4573" i="1" s="1"/>
  <c r="AS4574" i="1"/>
  <c r="AT4574" i="1" s="1"/>
  <c r="AS4575" i="1"/>
  <c r="AT4575" i="1" s="1"/>
  <c r="AS4576" i="1"/>
  <c r="AT4576" i="1" s="1"/>
  <c r="AS4577" i="1"/>
  <c r="AT4577" i="1" s="1"/>
  <c r="AS4578" i="1"/>
  <c r="AT4578" i="1" s="1"/>
  <c r="AS4579" i="1"/>
  <c r="AT4579" i="1" s="1"/>
  <c r="AS4580" i="1"/>
  <c r="AT4580" i="1" s="1"/>
  <c r="AS4581" i="1"/>
  <c r="AT4581" i="1" s="1"/>
  <c r="AS4582" i="1"/>
  <c r="AT4582" i="1" s="1"/>
  <c r="AS4583" i="1"/>
  <c r="AT4583" i="1" s="1"/>
  <c r="AS4584" i="1"/>
  <c r="AT4584" i="1" s="1"/>
  <c r="AS4585" i="1"/>
  <c r="AT4585" i="1" s="1"/>
  <c r="AS4586" i="1"/>
  <c r="AT4586" i="1" s="1"/>
  <c r="AS4587" i="1"/>
  <c r="AT4587" i="1" s="1"/>
  <c r="AS4588" i="1"/>
  <c r="AT4588" i="1" s="1"/>
  <c r="AS4589" i="1"/>
  <c r="AT4589" i="1" s="1"/>
  <c r="AS4590" i="1"/>
  <c r="AT4590" i="1" s="1"/>
  <c r="AS4591" i="1"/>
  <c r="AT4591" i="1" s="1"/>
  <c r="AS4592" i="1"/>
  <c r="AT4592" i="1" s="1"/>
  <c r="AS4593" i="1"/>
  <c r="AT4593" i="1" s="1"/>
  <c r="AS4594" i="1"/>
  <c r="AT4594" i="1" s="1"/>
  <c r="AS4595" i="1"/>
  <c r="AT4595" i="1" s="1"/>
  <c r="AS4596" i="1"/>
  <c r="AT4596" i="1" s="1"/>
  <c r="AS4597" i="1"/>
  <c r="AT4597" i="1" s="1"/>
  <c r="AS4598" i="1"/>
  <c r="AT4598" i="1" s="1"/>
  <c r="AS4599" i="1"/>
  <c r="AT4599" i="1" s="1"/>
  <c r="AS4600" i="1"/>
  <c r="AT4600" i="1" s="1"/>
  <c r="AS4601" i="1"/>
  <c r="AT4601" i="1" s="1"/>
  <c r="AS4602" i="1"/>
  <c r="AT4602" i="1" s="1"/>
  <c r="AS4603" i="1"/>
  <c r="AT4603" i="1" s="1"/>
  <c r="AS4604" i="1"/>
  <c r="AT4604" i="1" s="1"/>
  <c r="AS4605" i="1"/>
  <c r="AT4605" i="1" s="1"/>
  <c r="AS4606" i="1"/>
  <c r="AT4606" i="1" s="1"/>
  <c r="AS4607" i="1"/>
  <c r="AT4607" i="1" s="1"/>
  <c r="AS4608" i="1"/>
  <c r="AT4608" i="1" s="1"/>
  <c r="AS4609" i="1"/>
  <c r="AT4609" i="1" s="1"/>
  <c r="AS4610" i="1"/>
  <c r="AT4610" i="1" s="1"/>
  <c r="AS4611" i="1"/>
  <c r="AT4611" i="1" s="1"/>
  <c r="AS4612" i="1"/>
  <c r="AT4612" i="1" s="1"/>
  <c r="AS4613" i="1"/>
  <c r="AT4613" i="1" s="1"/>
  <c r="AS4614" i="1"/>
  <c r="AT4614" i="1" s="1"/>
  <c r="AS4615" i="1"/>
  <c r="AT4615" i="1" s="1"/>
  <c r="AS4616" i="1"/>
  <c r="AT4616" i="1" s="1"/>
  <c r="AS4617" i="1"/>
  <c r="AT4617" i="1" s="1"/>
  <c r="AS4618" i="1"/>
  <c r="AT4618" i="1" s="1"/>
  <c r="AS4619" i="1"/>
  <c r="AT4619" i="1" s="1"/>
  <c r="AS4620" i="1"/>
  <c r="AT4620" i="1" s="1"/>
  <c r="AS4621" i="1"/>
  <c r="AT4621" i="1" s="1"/>
  <c r="AS4622" i="1"/>
  <c r="AT4622" i="1" s="1"/>
  <c r="AS4623" i="1"/>
  <c r="AT4623" i="1" s="1"/>
  <c r="AS4624" i="1"/>
  <c r="AT4624" i="1" s="1"/>
  <c r="AS4625" i="1"/>
  <c r="AT4625" i="1" s="1"/>
  <c r="AS4626" i="1"/>
  <c r="AT4626" i="1" s="1"/>
  <c r="AS4627" i="1"/>
  <c r="AT4627" i="1" s="1"/>
  <c r="AS4628" i="1"/>
  <c r="AT4628" i="1" s="1"/>
  <c r="AS4629" i="1"/>
  <c r="AT4629" i="1" s="1"/>
  <c r="AS4630" i="1"/>
  <c r="AT4630" i="1" s="1"/>
  <c r="AS4631" i="1"/>
  <c r="AT4631" i="1" s="1"/>
  <c r="AS4632" i="1"/>
  <c r="AT4632" i="1" s="1"/>
  <c r="AS4633" i="1"/>
  <c r="AT4633" i="1" s="1"/>
  <c r="AS4634" i="1"/>
  <c r="AT4634" i="1" s="1"/>
  <c r="AS4635" i="1"/>
  <c r="AT4635" i="1" s="1"/>
  <c r="AS4636" i="1"/>
  <c r="AT4636" i="1" s="1"/>
  <c r="AS4637" i="1"/>
  <c r="AT4637" i="1" s="1"/>
  <c r="AS4638" i="1"/>
  <c r="AT4638" i="1" s="1"/>
  <c r="AS4639" i="1"/>
  <c r="AT4639" i="1" s="1"/>
  <c r="AS4640" i="1"/>
  <c r="AT4640" i="1" s="1"/>
  <c r="AS4641" i="1"/>
  <c r="AT4641" i="1" s="1"/>
  <c r="AS4642" i="1"/>
  <c r="AT4642" i="1" s="1"/>
  <c r="AS4643" i="1"/>
  <c r="AT4643" i="1" s="1"/>
  <c r="AS4644" i="1"/>
  <c r="AT4644" i="1" s="1"/>
  <c r="AS4645" i="1"/>
  <c r="AT4645" i="1" s="1"/>
  <c r="AS4646" i="1"/>
  <c r="AT4646" i="1" s="1"/>
  <c r="AS4647" i="1"/>
  <c r="AT4647" i="1" s="1"/>
  <c r="AS4648" i="1"/>
  <c r="AT4648" i="1" s="1"/>
  <c r="AS4649" i="1"/>
  <c r="AT4649" i="1" s="1"/>
  <c r="AS4650" i="1"/>
  <c r="AT4650" i="1" s="1"/>
  <c r="AS4651" i="1"/>
  <c r="AT4651" i="1" s="1"/>
  <c r="AS4652" i="1"/>
  <c r="AT4652" i="1" s="1"/>
  <c r="AS4653" i="1"/>
  <c r="AT4653" i="1" s="1"/>
  <c r="AS4654" i="1"/>
  <c r="AT4654" i="1" s="1"/>
  <c r="AS4655" i="1"/>
  <c r="AT4655" i="1" s="1"/>
  <c r="AS4656" i="1"/>
  <c r="AT4656" i="1" s="1"/>
  <c r="AS4657" i="1"/>
  <c r="AT4657" i="1" s="1"/>
  <c r="AS4658" i="1"/>
  <c r="AT4658" i="1" s="1"/>
  <c r="AS4659" i="1"/>
  <c r="AT4659" i="1" s="1"/>
  <c r="AS4660" i="1"/>
  <c r="AT4660" i="1" s="1"/>
  <c r="AS4661" i="1"/>
  <c r="AT4661" i="1" s="1"/>
  <c r="AS4662" i="1"/>
  <c r="AT4662" i="1" s="1"/>
  <c r="AS4663" i="1"/>
  <c r="AT4663" i="1" s="1"/>
  <c r="AS4664" i="1"/>
  <c r="AT4664" i="1" s="1"/>
  <c r="AS4665" i="1"/>
  <c r="AT4665" i="1" s="1"/>
  <c r="AS4666" i="1"/>
  <c r="AT4666" i="1" s="1"/>
  <c r="AS4667" i="1"/>
  <c r="AT4667" i="1" s="1"/>
  <c r="AS4668" i="1"/>
  <c r="AT4668" i="1" s="1"/>
  <c r="AS4669" i="1"/>
  <c r="AT4669" i="1" s="1"/>
  <c r="AS4670" i="1"/>
  <c r="AT4670" i="1" s="1"/>
  <c r="AS4671" i="1"/>
  <c r="AT4671" i="1" s="1"/>
  <c r="AS4672" i="1"/>
  <c r="AT4672" i="1" s="1"/>
  <c r="AS4673" i="1"/>
  <c r="AT4673" i="1" s="1"/>
  <c r="AS4674" i="1"/>
  <c r="AT4674" i="1" s="1"/>
  <c r="AS4675" i="1"/>
  <c r="AT4675" i="1" s="1"/>
  <c r="AS4676" i="1"/>
  <c r="AT4676" i="1" s="1"/>
  <c r="AS4677" i="1"/>
  <c r="AT4677" i="1" s="1"/>
  <c r="AS4678" i="1"/>
  <c r="AT4678" i="1" s="1"/>
  <c r="AS4679" i="1"/>
  <c r="AT4679" i="1" s="1"/>
  <c r="AS4680" i="1"/>
  <c r="AT4680" i="1" s="1"/>
  <c r="AS4681" i="1"/>
  <c r="AT4681" i="1" s="1"/>
  <c r="AS4682" i="1"/>
  <c r="AT4682" i="1" s="1"/>
  <c r="AS4683" i="1"/>
  <c r="AT4683" i="1" s="1"/>
  <c r="AS4684" i="1"/>
  <c r="AT4684" i="1" s="1"/>
  <c r="AS4685" i="1"/>
  <c r="AT4685" i="1" s="1"/>
  <c r="AS4686" i="1"/>
  <c r="AT4686" i="1" s="1"/>
  <c r="AS4687" i="1"/>
  <c r="AT4687" i="1" s="1"/>
  <c r="AS4688" i="1"/>
  <c r="AT4688" i="1" s="1"/>
  <c r="AS4689" i="1"/>
  <c r="AT4689" i="1" s="1"/>
  <c r="AS4690" i="1"/>
  <c r="AT4690" i="1" s="1"/>
  <c r="AS4691" i="1"/>
  <c r="AT4691" i="1" s="1"/>
  <c r="AS4692" i="1"/>
  <c r="AT4692" i="1" s="1"/>
  <c r="AS4693" i="1"/>
  <c r="AT4693" i="1" s="1"/>
  <c r="AS4694" i="1"/>
  <c r="AT4694" i="1" s="1"/>
  <c r="AS4695" i="1"/>
  <c r="AT4695" i="1" s="1"/>
  <c r="AS4696" i="1"/>
  <c r="AT4696" i="1" s="1"/>
  <c r="AS4697" i="1"/>
  <c r="AT4697" i="1" s="1"/>
  <c r="AS4698" i="1"/>
  <c r="AT4698" i="1" s="1"/>
  <c r="AS4699" i="1"/>
  <c r="AT4699" i="1" s="1"/>
  <c r="AS4700" i="1"/>
  <c r="AT4700" i="1" s="1"/>
  <c r="AS4701" i="1"/>
  <c r="AT4701" i="1" s="1"/>
  <c r="AS4702" i="1"/>
  <c r="AT4702" i="1" s="1"/>
  <c r="AS4703" i="1"/>
  <c r="AT4703" i="1" s="1"/>
  <c r="AS4704" i="1"/>
  <c r="AT4704" i="1" s="1"/>
  <c r="AS4705" i="1"/>
  <c r="AT4705" i="1" s="1"/>
  <c r="AS4706" i="1"/>
  <c r="AT4706" i="1" s="1"/>
  <c r="AS4707" i="1"/>
  <c r="AT4707" i="1" s="1"/>
  <c r="AS4708" i="1"/>
  <c r="AT4708" i="1" s="1"/>
  <c r="AS4709" i="1"/>
  <c r="AT4709" i="1" s="1"/>
  <c r="AS4710" i="1"/>
  <c r="AT4710" i="1" s="1"/>
  <c r="AS4711" i="1"/>
  <c r="AT4711" i="1" s="1"/>
  <c r="AS4712" i="1"/>
  <c r="AT4712" i="1" s="1"/>
  <c r="AS4713" i="1"/>
  <c r="AT4713" i="1" s="1"/>
  <c r="AS4714" i="1"/>
  <c r="AT4714" i="1" s="1"/>
  <c r="AS4715" i="1"/>
  <c r="AT4715" i="1" s="1"/>
  <c r="AS4716" i="1"/>
  <c r="AT4716" i="1" s="1"/>
  <c r="AS4717" i="1"/>
  <c r="AT4717" i="1" s="1"/>
  <c r="AS4718" i="1"/>
  <c r="AT4718" i="1" s="1"/>
  <c r="AS4719" i="1"/>
  <c r="AT4719" i="1" s="1"/>
  <c r="AS4720" i="1"/>
  <c r="AT4720" i="1" s="1"/>
  <c r="AS4721" i="1"/>
  <c r="AT4721" i="1" s="1"/>
  <c r="AS4722" i="1"/>
  <c r="AT4722" i="1" s="1"/>
  <c r="AS4723" i="1"/>
  <c r="AT4723" i="1" s="1"/>
  <c r="AS4724" i="1"/>
  <c r="AT4724" i="1" s="1"/>
  <c r="AS4725" i="1"/>
  <c r="AT4725" i="1" s="1"/>
  <c r="AS4726" i="1"/>
  <c r="AT4726" i="1" s="1"/>
  <c r="AS4727" i="1"/>
  <c r="AT4727" i="1" s="1"/>
  <c r="AS4728" i="1"/>
  <c r="AT4728" i="1" s="1"/>
  <c r="AS4729" i="1"/>
  <c r="AT4729" i="1" s="1"/>
  <c r="AS4730" i="1"/>
  <c r="AT4730" i="1" s="1"/>
  <c r="AS4731" i="1"/>
  <c r="AT4731" i="1" s="1"/>
  <c r="AS4732" i="1"/>
  <c r="AT4732" i="1" s="1"/>
  <c r="AS4733" i="1"/>
  <c r="AT4733" i="1" s="1"/>
  <c r="AS4734" i="1"/>
  <c r="AT4734" i="1" s="1"/>
  <c r="AS4735" i="1"/>
  <c r="AT4735" i="1" s="1"/>
  <c r="AS4736" i="1"/>
  <c r="AT4736" i="1" s="1"/>
  <c r="AS4737" i="1"/>
  <c r="AT4737" i="1" s="1"/>
  <c r="AS4738" i="1"/>
  <c r="AT4738" i="1" s="1"/>
  <c r="AS4739" i="1"/>
  <c r="AT4739" i="1" s="1"/>
  <c r="AS4740" i="1"/>
  <c r="AT4740" i="1" s="1"/>
  <c r="AS4741" i="1"/>
  <c r="AT4741" i="1" s="1"/>
  <c r="AS4742" i="1"/>
  <c r="AT4742" i="1" s="1"/>
  <c r="AS4743" i="1"/>
  <c r="AT4743" i="1" s="1"/>
  <c r="AS4744" i="1"/>
  <c r="AT4744" i="1" s="1"/>
  <c r="AS4745" i="1"/>
  <c r="AT4745" i="1" s="1"/>
  <c r="AS4746" i="1"/>
  <c r="AT4746" i="1" s="1"/>
  <c r="AS4747" i="1"/>
  <c r="AT4747" i="1" s="1"/>
  <c r="AS4748" i="1"/>
  <c r="AT4748" i="1" s="1"/>
  <c r="AS4749" i="1"/>
  <c r="AT4749" i="1" s="1"/>
  <c r="AS4750" i="1"/>
  <c r="AT4750" i="1" s="1"/>
  <c r="AS4751" i="1"/>
  <c r="AT4751" i="1" s="1"/>
  <c r="AS4752" i="1"/>
  <c r="AT4752" i="1" s="1"/>
  <c r="AS4753" i="1"/>
  <c r="AT4753" i="1" s="1"/>
  <c r="AS4754" i="1"/>
  <c r="AT4754" i="1" s="1"/>
  <c r="AS4755" i="1"/>
  <c r="AT4755" i="1" s="1"/>
  <c r="AS4756" i="1"/>
  <c r="AT4756" i="1" s="1"/>
  <c r="AS4757" i="1"/>
  <c r="AT4757" i="1" s="1"/>
  <c r="AS4758" i="1"/>
  <c r="AT4758" i="1" s="1"/>
  <c r="AS4759" i="1"/>
  <c r="AT4759" i="1" s="1"/>
  <c r="AS4760" i="1"/>
  <c r="AT4760" i="1" s="1"/>
  <c r="AS4761" i="1"/>
  <c r="AT4761" i="1" s="1"/>
  <c r="AS4762" i="1"/>
  <c r="AT4762" i="1" s="1"/>
  <c r="AS4763" i="1"/>
  <c r="AT4763" i="1" s="1"/>
  <c r="AS4764" i="1"/>
  <c r="AT4764" i="1" s="1"/>
  <c r="AS4765" i="1"/>
  <c r="AT4765" i="1" s="1"/>
  <c r="AS4766" i="1"/>
  <c r="AT4766" i="1" s="1"/>
  <c r="AS4767" i="1"/>
  <c r="AT4767" i="1" s="1"/>
  <c r="AS4768" i="1"/>
  <c r="AT4768" i="1" s="1"/>
  <c r="AS4769" i="1"/>
  <c r="AT4769" i="1" s="1"/>
  <c r="AS4770" i="1"/>
  <c r="AT4770" i="1" s="1"/>
  <c r="AS4771" i="1"/>
  <c r="AT4771" i="1" s="1"/>
  <c r="AS4772" i="1"/>
  <c r="AT4772" i="1" s="1"/>
  <c r="AS4773" i="1"/>
  <c r="AT4773" i="1" s="1"/>
  <c r="AS4774" i="1"/>
  <c r="AT4774" i="1" s="1"/>
  <c r="AS4775" i="1"/>
  <c r="AT4775" i="1" s="1"/>
  <c r="AS4776" i="1"/>
  <c r="AT4776" i="1" s="1"/>
  <c r="AS4777" i="1"/>
  <c r="AT4777" i="1" s="1"/>
  <c r="AS4778" i="1"/>
  <c r="AT4778" i="1" s="1"/>
  <c r="AS4779" i="1"/>
  <c r="AT4779" i="1" s="1"/>
  <c r="AS4780" i="1"/>
  <c r="AT4780" i="1" s="1"/>
  <c r="AS4781" i="1"/>
  <c r="AT4781" i="1" s="1"/>
  <c r="AS4782" i="1"/>
  <c r="AT4782" i="1" s="1"/>
  <c r="AS4783" i="1"/>
  <c r="AT4783" i="1" s="1"/>
  <c r="AS4784" i="1"/>
  <c r="AT4784" i="1" s="1"/>
  <c r="AS4785" i="1"/>
  <c r="AT4785" i="1" s="1"/>
  <c r="AS4786" i="1"/>
  <c r="AT4786" i="1" s="1"/>
  <c r="AS4787" i="1"/>
  <c r="AT4787" i="1" s="1"/>
  <c r="AS4788" i="1"/>
  <c r="AT4788" i="1" s="1"/>
  <c r="AS4789" i="1"/>
  <c r="AT4789" i="1" s="1"/>
  <c r="AS4790" i="1"/>
  <c r="AT4790" i="1" s="1"/>
  <c r="AS4791" i="1"/>
  <c r="AT4791" i="1" s="1"/>
  <c r="AS4792" i="1"/>
  <c r="AT4792" i="1" s="1"/>
  <c r="AS4793" i="1"/>
  <c r="AT4793" i="1" s="1"/>
  <c r="AS4794" i="1"/>
  <c r="AT4794" i="1" s="1"/>
  <c r="AS4795" i="1"/>
  <c r="AT4795" i="1" s="1"/>
  <c r="AS4796" i="1"/>
  <c r="AT4796" i="1" s="1"/>
  <c r="AS4797" i="1"/>
  <c r="AT4797" i="1" s="1"/>
  <c r="AS4798" i="1"/>
  <c r="AT4798" i="1" s="1"/>
  <c r="AS4799" i="1"/>
  <c r="AT4799" i="1" s="1"/>
  <c r="AS4800" i="1"/>
  <c r="AT4800" i="1" s="1"/>
  <c r="AS4801" i="1"/>
  <c r="AT4801" i="1" s="1"/>
  <c r="AS4802" i="1"/>
  <c r="AT4802" i="1" s="1"/>
  <c r="AS4803" i="1"/>
  <c r="AT4803" i="1" s="1"/>
  <c r="AS4804" i="1"/>
  <c r="AT4804" i="1" s="1"/>
  <c r="AS4805" i="1"/>
  <c r="AT4805" i="1" s="1"/>
  <c r="AS4806" i="1"/>
  <c r="AT4806" i="1" s="1"/>
  <c r="AS4807" i="1"/>
  <c r="AT4807" i="1" s="1"/>
  <c r="AS4808" i="1"/>
  <c r="AT4808" i="1" s="1"/>
  <c r="AS4809" i="1"/>
  <c r="AT4809" i="1" s="1"/>
  <c r="AS4810" i="1"/>
  <c r="AT4810" i="1" s="1"/>
  <c r="AS4811" i="1"/>
  <c r="AT4811" i="1" s="1"/>
  <c r="AS4812" i="1"/>
  <c r="AT4812" i="1" s="1"/>
  <c r="AS4813" i="1"/>
  <c r="AT4813" i="1" s="1"/>
  <c r="AS4814" i="1"/>
  <c r="AT4814" i="1" s="1"/>
  <c r="AS4815" i="1"/>
  <c r="AT4815" i="1" s="1"/>
  <c r="AS4816" i="1"/>
  <c r="AT4816" i="1" s="1"/>
  <c r="AS4817" i="1"/>
  <c r="AT4817" i="1" s="1"/>
  <c r="AS4818" i="1"/>
  <c r="AT4818" i="1" s="1"/>
  <c r="AS4819" i="1"/>
  <c r="AT4819" i="1" s="1"/>
  <c r="AS4820" i="1"/>
  <c r="AT4820" i="1" s="1"/>
  <c r="AS4821" i="1"/>
  <c r="AT4821" i="1" s="1"/>
  <c r="AS4822" i="1"/>
  <c r="AT4822" i="1" s="1"/>
  <c r="AS4823" i="1"/>
  <c r="AT4823" i="1" s="1"/>
  <c r="AS4824" i="1"/>
  <c r="AT4824" i="1" s="1"/>
  <c r="AS4825" i="1"/>
  <c r="AT4825" i="1" s="1"/>
  <c r="AS4826" i="1"/>
  <c r="AT4826" i="1" s="1"/>
  <c r="AS4827" i="1"/>
  <c r="AT4827" i="1" s="1"/>
  <c r="AS4828" i="1"/>
  <c r="AT4828" i="1" s="1"/>
  <c r="AS4829" i="1"/>
  <c r="AT4829" i="1" s="1"/>
  <c r="AS4830" i="1"/>
  <c r="AT4830" i="1" s="1"/>
  <c r="AS4831" i="1"/>
  <c r="AT4831" i="1" s="1"/>
  <c r="AS4832" i="1"/>
  <c r="AT4832" i="1" s="1"/>
  <c r="AS4833" i="1"/>
  <c r="AT4833" i="1" s="1"/>
  <c r="AS4834" i="1"/>
  <c r="AT4834" i="1" s="1"/>
  <c r="AS4835" i="1"/>
  <c r="AT4835" i="1" s="1"/>
  <c r="AS4836" i="1"/>
  <c r="AT4836" i="1" s="1"/>
  <c r="AS4837" i="1"/>
  <c r="AT4837" i="1" s="1"/>
  <c r="AS4838" i="1"/>
  <c r="AT4838" i="1" s="1"/>
  <c r="AS4839" i="1"/>
  <c r="AT4839" i="1" s="1"/>
  <c r="AS4840" i="1"/>
  <c r="AT4840" i="1" s="1"/>
  <c r="AS4841" i="1"/>
  <c r="AT4841" i="1" s="1"/>
  <c r="AS4842" i="1"/>
  <c r="AT4842" i="1" s="1"/>
  <c r="AS4843" i="1"/>
  <c r="AT4843" i="1" s="1"/>
  <c r="AS4844" i="1"/>
  <c r="AT4844" i="1" s="1"/>
  <c r="AS4845" i="1"/>
  <c r="AT4845" i="1" s="1"/>
  <c r="AS4846" i="1"/>
  <c r="AT4846" i="1" s="1"/>
  <c r="AS4847" i="1"/>
  <c r="AT4847" i="1" s="1"/>
  <c r="AS4848" i="1"/>
  <c r="AT4848" i="1" s="1"/>
  <c r="AS4849" i="1"/>
  <c r="AT4849" i="1" s="1"/>
  <c r="AS4850" i="1"/>
  <c r="AT4850" i="1" s="1"/>
  <c r="AS4851" i="1"/>
  <c r="AT4851" i="1" s="1"/>
  <c r="AS4852" i="1"/>
  <c r="AT4852" i="1" s="1"/>
  <c r="AS4853" i="1"/>
  <c r="AT4853" i="1" s="1"/>
  <c r="AS4854" i="1"/>
  <c r="AT4854" i="1" s="1"/>
  <c r="AS4855" i="1"/>
  <c r="AT4855" i="1" s="1"/>
  <c r="AS4856" i="1"/>
  <c r="AT4856" i="1" s="1"/>
  <c r="AS4857" i="1"/>
  <c r="AT4857" i="1" s="1"/>
  <c r="AS4858" i="1"/>
  <c r="AT4858" i="1" s="1"/>
  <c r="AS4859" i="1"/>
  <c r="AT4859" i="1" s="1"/>
  <c r="AS4860" i="1"/>
  <c r="AT4860" i="1" s="1"/>
  <c r="AS4861" i="1"/>
  <c r="AT4861" i="1" s="1"/>
  <c r="AS4862" i="1"/>
  <c r="AT4862" i="1" s="1"/>
  <c r="AS4863" i="1"/>
  <c r="AT4863" i="1" s="1"/>
  <c r="AS4864" i="1"/>
  <c r="AT4864" i="1" s="1"/>
  <c r="AS4865" i="1"/>
  <c r="AT4865" i="1" s="1"/>
  <c r="AS4866" i="1"/>
  <c r="AT4866" i="1" s="1"/>
  <c r="AS4867" i="1"/>
  <c r="AT4867" i="1" s="1"/>
  <c r="AS4868" i="1"/>
  <c r="AT4868" i="1" s="1"/>
  <c r="AS4869" i="1"/>
  <c r="AT4869" i="1" s="1"/>
  <c r="AS4870" i="1"/>
  <c r="AT4870" i="1" s="1"/>
  <c r="AS4871" i="1"/>
  <c r="AT4871" i="1" s="1"/>
  <c r="AS4872" i="1"/>
  <c r="AT4872" i="1" s="1"/>
  <c r="AS4873" i="1"/>
  <c r="AT4873" i="1" s="1"/>
  <c r="AS4874" i="1"/>
  <c r="AT4874" i="1" s="1"/>
  <c r="AS4875" i="1"/>
  <c r="AT4875" i="1" s="1"/>
  <c r="AS4876" i="1"/>
  <c r="AT4876" i="1" s="1"/>
  <c r="AS4877" i="1"/>
  <c r="AT4877" i="1" s="1"/>
  <c r="AS4878" i="1"/>
  <c r="AT4878" i="1" s="1"/>
  <c r="AS4879" i="1"/>
  <c r="AT4879" i="1" s="1"/>
  <c r="AS4880" i="1"/>
  <c r="AT4880" i="1" s="1"/>
  <c r="AS4881" i="1"/>
  <c r="AT4881" i="1" s="1"/>
  <c r="AS4882" i="1"/>
  <c r="AT4882" i="1" s="1"/>
  <c r="AS4883" i="1"/>
  <c r="AT4883" i="1" s="1"/>
  <c r="AS4884" i="1"/>
  <c r="AT4884" i="1" s="1"/>
  <c r="AS4885" i="1"/>
  <c r="AT4885" i="1" s="1"/>
  <c r="AS4886" i="1"/>
  <c r="AT4886" i="1" s="1"/>
  <c r="AS4887" i="1"/>
  <c r="AT4887" i="1" s="1"/>
  <c r="AS4888" i="1"/>
  <c r="AT4888" i="1" s="1"/>
  <c r="AS4889" i="1"/>
  <c r="AT4889" i="1" s="1"/>
  <c r="AS4890" i="1"/>
  <c r="AT4890" i="1" s="1"/>
  <c r="AS4891" i="1"/>
  <c r="AT4891" i="1" s="1"/>
  <c r="AS4892" i="1"/>
  <c r="AT4892" i="1" s="1"/>
  <c r="AS4893" i="1"/>
  <c r="AT4893" i="1" s="1"/>
  <c r="AS4894" i="1"/>
  <c r="AT4894" i="1" s="1"/>
  <c r="AS4895" i="1"/>
  <c r="AT4895" i="1" s="1"/>
  <c r="AS4896" i="1"/>
  <c r="AT4896" i="1" s="1"/>
  <c r="AS4897" i="1"/>
  <c r="AT4897" i="1" s="1"/>
  <c r="AS4898" i="1"/>
  <c r="AT4898" i="1" s="1"/>
  <c r="AS4899" i="1"/>
  <c r="AT4899" i="1" s="1"/>
  <c r="AS4900" i="1"/>
  <c r="AT4900" i="1" s="1"/>
  <c r="AS4901" i="1"/>
  <c r="AT4901" i="1" s="1"/>
  <c r="AS4902" i="1"/>
  <c r="AT4902" i="1" s="1"/>
  <c r="AS4903" i="1"/>
  <c r="AT4903" i="1" s="1"/>
  <c r="AS4904" i="1"/>
  <c r="AT4904" i="1" s="1"/>
  <c r="AS4905" i="1"/>
  <c r="AT4905" i="1" s="1"/>
  <c r="AS4906" i="1"/>
  <c r="AT4906" i="1" s="1"/>
  <c r="AS4907" i="1"/>
  <c r="AT4907" i="1" s="1"/>
  <c r="AS4908" i="1"/>
  <c r="AT4908" i="1" s="1"/>
  <c r="AS4909" i="1"/>
  <c r="AT4909" i="1" s="1"/>
  <c r="AS4910" i="1"/>
  <c r="AT4910" i="1" s="1"/>
  <c r="AS4911" i="1"/>
  <c r="AT4911" i="1" s="1"/>
  <c r="AS4912" i="1"/>
  <c r="AT4912" i="1" s="1"/>
  <c r="AS4913" i="1"/>
  <c r="AT4913" i="1" s="1"/>
  <c r="AS4914" i="1"/>
  <c r="AT4914" i="1" s="1"/>
  <c r="AS4915" i="1"/>
  <c r="AT4915" i="1" s="1"/>
  <c r="AS4916" i="1"/>
  <c r="AT4916" i="1" s="1"/>
  <c r="AS4917" i="1"/>
  <c r="AT4917" i="1" s="1"/>
  <c r="AS4918" i="1"/>
  <c r="AT4918" i="1" s="1"/>
  <c r="AS4919" i="1"/>
  <c r="AT4919" i="1" s="1"/>
  <c r="AS4920" i="1"/>
  <c r="AT4920" i="1" s="1"/>
  <c r="AS4921" i="1"/>
  <c r="AT4921" i="1" s="1"/>
  <c r="AS4922" i="1"/>
  <c r="AT4922" i="1" s="1"/>
  <c r="AS4923" i="1"/>
  <c r="AT4923" i="1" s="1"/>
  <c r="AS4924" i="1"/>
  <c r="AT4924" i="1" s="1"/>
  <c r="AS4925" i="1"/>
  <c r="AT4925" i="1" s="1"/>
  <c r="AS4926" i="1"/>
  <c r="AT4926" i="1" s="1"/>
  <c r="AS4927" i="1"/>
  <c r="AT4927" i="1" s="1"/>
  <c r="AS4928" i="1"/>
  <c r="AT4928" i="1" s="1"/>
  <c r="AS4929" i="1"/>
  <c r="AT4929" i="1" s="1"/>
  <c r="AS4930" i="1"/>
  <c r="AT4930" i="1" s="1"/>
  <c r="AS4931" i="1"/>
  <c r="AT4931" i="1" s="1"/>
  <c r="AS4932" i="1"/>
  <c r="AT4932" i="1" s="1"/>
  <c r="AS4933" i="1"/>
  <c r="AT4933" i="1" s="1"/>
  <c r="AS4934" i="1"/>
  <c r="AT4934" i="1" s="1"/>
  <c r="AS4935" i="1"/>
  <c r="AT4935" i="1" s="1"/>
  <c r="AS4936" i="1"/>
  <c r="AT4936" i="1" s="1"/>
  <c r="AS4937" i="1"/>
  <c r="AT4937" i="1" s="1"/>
  <c r="AS4938" i="1"/>
  <c r="AT4938" i="1" s="1"/>
  <c r="AS4939" i="1"/>
  <c r="AT4939" i="1" s="1"/>
  <c r="AS4940" i="1"/>
  <c r="AT4940" i="1" s="1"/>
  <c r="AS4941" i="1"/>
  <c r="AT4941" i="1" s="1"/>
  <c r="AS4942" i="1"/>
  <c r="AT4942" i="1" s="1"/>
  <c r="AS4943" i="1"/>
  <c r="AT4943" i="1" s="1"/>
  <c r="AS4944" i="1"/>
  <c r="AT4944" i="1" s="1"/>
  <c r="AS4945" i="1"/>
  <c r="AT4945" i="1" s="1"/>
  <c r="AS4946" i="1"/>
  <c r="AT4946" i="1" s="1"/>
  <c r="AS4947" i="1"/>
  <c r="AT4947" i="1" s="1"/>
  <c r="AS4948" i="1"/>
  <c r="AT4948" i="1" s="1"/>
  <c r="AS4949" i="1"/>
  <c r="AT4949" i="1" s="1"/>
  <c r="AS4950" i="1"/>
  <c r="AT4950" i="1" s="1"/>
  <c r="AS4951" i="1"/>
  <c r="AT4951" i="1" s="1"/>
  <c r="AS4952" i="1"/>
  <c r="AT4952" i="1" s="1"/>
  <c r="AS4953" i="1"/>
  <c r="AT4953" i="1" s="1"/>
  <c r="AS4954" i="1"/>
  <c r="AT4954" i="1" s="1"/>
  <c r="AS4955" i="1"/>
  <c r="AT4955" i="1" s="1"/>
  <c r="AS4956" i="1"/>
  <c r="AT4956" i="1" s="1"/>
  <c r="AS4957" i="1"/>
  <c r="AT4957" i="1" s="1"/>
  <c r="AS4958" i="1"/>
  <c r="AT4958" i="1" s="1"/>
  <c r="AS4959" i="1"/>
  <c r="AT4959" i="1" s="1"/>
  <c r="AS4960" i="1"/>
  <c r="AT4960" i="1" s="1"/>
  <c r="AS4961" i="1"/>
  <c r="AT4961" i="1" s="1"/>
  <c r="AS4962" i="1"/>
  <c r="AT4962" i="1" s="1"/>
  <c r="AS4963" i="1"/>
  <c r="AT4963" i="1" s="1"/>
  <c r="AS4964" i="1"/>
  <c r="AT4964" i="1" s="1"/>
  <c r="AS4965" i="1"/>
  <c r="AT4965" i="1" s="1"/>
  <c r="AS4966" i="1"/>
  <c r="AT4966" i="1" s="1"/>
  <c r="AS4967" i="1"/>
  <c r="AT4967" i="1" s="1"/>
  <c r="AS4968" i="1"/>
  <c r="AT4968" i="1" s="1"/>
  <c r="AS4969" i="1"/>
  <c r="AT4969" i="1" s="1"/>
  <c r="AS4970" i="1"/>
  <c r="AT4970" i="1" s="1"/>
  <c r="AS4971" i="1"/>
  <c r="AT4971" i="1" s="1"/>
  <c r="AS4972" i="1"/>
  <c r="AT4972" i="1" s="1"/>
  <c r="AS4973" i="1"/>
  <c r="AT4973" i="1" s="1"/>
  <c r="AS4974" i="1"/>
  <c r="AT4974" i="1" s="1"/>
  <c r="AS4975" i="1"/>
  <c r="AT4975" i="1" s="1"/>
  <c r="AS4976" i="1"/>
  <c r="AT4976" i="1" s="1"/>
  <c r="AS4977" i="1"/>
  <c r="AT4977" i="1" s="1"/>
  <c r="AS4978" i="1"/>
  <c r="AT4978" i="1" s="1"/>
  <c r="AS4979" i="1"/>
  <c r="AT4979" i="1" s="1"/>
  <c r="AS4980" i="1"/>
  <c r="AT4980" i="1" s="1"/>
  <c r="AS4981" i="1"/>
  <c r="AT4981" i="1" s="1"/>
  <c r="AS4982" i="1"/>
  <c r="AT4982" i="1" s="1"/>
  <c r="AS4983" i="1"/>
  <c r="AT4983" i="1" s="1"/>
  <c r="AS4984" i="1"/>
  <c r="AT4984" i="1" s="1"/>
  <c r="AS4985" i="1"/>
  <c r="AT4985" i="1" s="1"/>
  <c r="AS4986" i="1"/>
  <c r="AT4986" i="1" s="1"/>
  <c r="AS4987" i="1"/>
  <c r="AT4987" i="1" s="1"/>
  <c r="AS4988" i="1"/>
  <c r="AT4988" i="1" s="1"/>
  <c r="AS4989" i="1"/>
  <c r="AT4989" i="1" s="1"/>
  <c r="AS4990" i="1"/>
  <c r="AT4990" i="1" s="1"/>
  <c r="AS4991" i="1"/>
  <c r="AT4991" i="1" s="1"/>
  <c r="AS4992" i="1"/>
  <c r="AT4992" i="1" s="1"/>
  <c r="AS4993" i="1"/>
  <c r="AT4993" i="1" s="1"/>
  <c r="AS4994" i="1"/>
  <c r="AT4994" i="1" s="1"/>
  <c r="AS4995" i="1"/>
  <c r="AT4995" i="1" s="1"/>
  <c r="AS4996" i="1"/>
  <c r="AT4996" i="1" s="1"/>
  <c r="AS4997" i="1"/>
  <c r="AT4997" i="1" s="1"/>
  <c r="AS4998" i="1"/>
  <c r="AT4998" i="1" s="1"/>
  <c r="AS4999" i="1"/>
  <c r="AT4999" i="1" s="1"/>
  <c r="AS5000" i="1"/>
  <c r="AT5000" i="1" s="1"/>
  <c r="AP4002" i="1"/>
  <c r="AQ4002" i="1"/>
  <c r="AR4002" i="1"/>
  <c r="AP4003" i="1"/>
  <c r="AQ4003" i="1"/>
  <c r="AR4003" i="1"/>
  <c r="AP4004" i="1"/>
  <c r="AQ4004" i="1"/>
  <c r="AR4004" i="1"/>
  <c r="AP4005" i="1"/>
  <c r="AQ4005" i="1"/>
  <c r="AR4005" i="1"/>
  <c r="AP4006" i="1"/>
  <c r="AQ4006" i="1"/>
  <c r="AR4006" i="1"/>
  <c r="AP4007" i="1"/>
  <c r="AQ4007" i="1"/>
  <c r="AR4007" i="1"/>
  <c r="AP4008" i="1"/>
  <c r="AQ4008" i="1"/>
  <c r="AR4008" i="1"/>
  <c r="AP4009" i="1"/>
  <c r="AQ4009" i="1"/>
  <c r="AR4009" i="1"/>
  <c r="AP4010" i="1"/>
  <c r="AQ4010" i="1"/>
  <c r="AR4010" i="1"/>
  <c r="AP4011" i="1"/>
  <c r="AQ4011" i="1"/>
  <c r="AR4011" i="1"/>
  <c r="AP4012" i="1"/>
  <c r="AQ4012" i="1"/>
  <c r="AR4012" i="1"/>
  <c r="AP4013" i="1"/>
  <c r="AQ4013" i="1"/>
  <c r="AR4013" i="1"/>
  <c r="AP4014" i="1"/>
  <c r="AQ4014" i="1"/>
  <c r="AR4014" i="1"/>
  <c r="AP4015" i="1"/>
  <c r="AQ4015" i="1"/>
  <c r="AR4015" i="1"/>
  <c r="AP4016" i="1"/>
  <c r="AQ4016" i="1"/>
  <c r="AR4016" i="1"/>
  <c r="AP4017" i="1"/>
  <c r="AQ4017" i="1"/>
  <c r="AR4017" i="1"/>
  <c r="AP4018" i="1"/>
  <c r="AQ4018" i="1"/>
  <c r="AR4018" i="1"/>
  <c r="AP4019" i="1"/>
  <c r="AQ4019" i="1"/>
  <c r="AR4019" i="1"/>
  <c r="AP4020" i="1"/>
  <c r="AQ4020" i="1"/>
  <c r="AR4020" i="1"/>
  <c r="AP4021" i="1"/>
  <c r="AQ4021" i="1"/>
  <c r="AR4021" i="1"/>
  <c r="AP4022" i="1"/>
  <c r="AQ4022" i="1"/>
  <c r="AR4022" i="1"/>
  <c r="AP4023" i="1"/>
  <c r="AQ4023" i="1"/>
  <c r="AR4023" i="1"/>
  <c r="AP4024" i="1"/>
  <c r="AQ4024" i="1"/>
  <c r="AR4024" i="1"/>
  <c r="AP4025" i="1"/>
  <c r="AQ4025" i="1"/>
  <c r="AR4025" i="1"/>
  <c r="AP4026" i="1"/>
  <c r="AQ4026" i="1"/>
  <c r="AR4026" i="1"/>
  <c r="AP4027" i="1"/>
  <c r="AQ4027" i="1"/>
  <c r="AR4027" i="1"/>
  <c r="AP4028" i="1"/>
  <c r="AQ4028" i="1"/>
  <c r="AR4028" i="1"/>
  <c r="AP4029" i="1"/>
  <c r="AQ4029" i="1"/>
  <c r="AR4029" i="1"/>
  <c r="AP4030" i="1"/>
  <c r="AQ4030" i="1"/>
  <c r="AR4030" i="1"/>
  <c r="AP4031" i="1"/>
  <c r="AQ4031" i="1"/>
  <c r="AR4031" i="1"/>
  <c r="AP4032" i="1"/>
  <c r="AQ4032" i="1"/>
  <c r="AR4032" i="1"/>
  <c r="AP4033" i="1"/>
  <c r="AQ4033" i="1"/>
  <c r="AR4033" i="1"/>
  <c r="AP4034" i="1"/>
  <c r="AQ4034" i="1"/>
  <c r="AR4034" i="1"/>
  <c r="AP4035" i="1"/>
  <c r="AQ4035" i="1"/>
  <c r="AR4035" i="1"/>
  <c r="AP4036" i="1"/>
  <c r="AQ4036" i="1"/>
  <c r="AR4036" i="1"/>
  <c r="AP4037" i="1"/>
  <c r="AQ4037" i="1"/>
  <c r="AR4037" i="1"/>
  <c r="AP4038" i="1"/>
  <c r="AQ4038" i="1"/>
  <c r="AR4038" i="1"/>
  <c r="AP4039" i="1"/>
  <c r="AQ4039" i="1"/>
  <c r="AR4039" i="1"/>
  <c r="AP4040" i="1"/>
  <c r="AQ4040" i="1"/>
  <c r="AR4040" i="1"/>
  <c r="AP4041" i="1"/>
  <c r="AQ4041" i="1"/>
  <c r="AR4041" i="1"/>
  <c r="AP4042" i="1"/>
  <c r="AQ4042" i="1"/>
  <c r="AR4042" i="1"/>
  <c r="AP4043" i="1"/>
  <c r="AQ4043" i="1"/>
  <c r="AR4043" i="1"/>
  <c r="AP4044" i="1"/>
  <c r="AQ4044" i="1"/>
  <c r="AR4044" i="1"/>
  <c r="AP4045" i="1"/>
  <c r="AQ4045" i="1"/>
  <c r="AR4045" i="1"/>
  <c r="AP4046" i="1"/>
  <c r="AQ4046" i="1"/>
  <c r="AR4046" i="1"/>
  <c r="AP4047" i="1"/>
  <c r="AQ4047" i="1"/>
  <c r="AR4047" i="1"/>
  <c r="AP4048" i="1"/>
  <c r="AQ4048" i="1"/>
  <c r="AR4048" i="1"/>
  <c r="AP4049" i="1"/>
  <c r="AQ4049" i="1"/>
  <c r="AR4049" i="1"/>
  <c r="AP4050" i="1"/>
  <c r="AQ4050" i="1"/>
  <c r="AR4050" i="1"/>
  <c r="AP4051" i="1"/>
  <c r="AQ4051" i="1"/>
  <c r="AR4051" i="1"/>
  <c r="AP4052" i="1"/>
  <c r="AQ4052" i="1"/>
  <c r="AR4052" i="1"/>
  <c r="AP4053" i="1"/>
  <c r="AQ4053" i="1"/>
  <c r="AR4053" i="1"/>
  <c r="AP4054" i="1"/>
  <c r="AQ4054" i="1"/>
  <c r="AR4054" i="1"/>
  <c r="AP4055" i="1"/>
  <c r="AQ4055" i="1"/>
  <c r="AR4055" i="1"/>
  <c r="AP4056" i="1"/>
  <c r="AQ4056" i="1"/>
  <c r="AR4056" i="1"/>
  <c r="AP4057" i="1"/>
  <c r="AQ4057" i="1"/>
  <c r="AR4057" i="1"/>
  <c r="AP4058" i="1"/>
  <c r="AQ4058" i="1"/>
  <c r="AR4058" i="1"/>
  <c r="AP4059" i="1"/>
  <c r="AQ4059" i="1"/>
  <c r="AR4059" i="1"/>
  <c r="AP4060" i="1"/>
  <c r="AQ4060" i="1"/>
  <c r="AR4060" i="1"/>
  <c r="AP4061" i="1"/>
  <c r="AQ4061" i="1"/>
  <c r="AR4061" i="1"/>
  <c r="AP4062" i="1"/>
  <c r="AQ4062" i="1"/>
  <c r="AR4062" i="1"/>
  <c r="AP4063" i="1"/>
  <c r="AQ4063" i="1"/>
  <c r="AR4063" i="1"/>
  <c r="AP4064" i="1"/>
  <c r="AQ4064" i="1"/>
  <c r="AR4064" i="1"/>
  <c r="AP4065" i="1"/>
  <c r="AQ4065" i="1"/>
  <c r="AR4065" i="1"/>
  <c r="AP4066" i="1"/>
  <c r="AQ4066" i="1"/>
  <c r="AR4066" i="1"/>
  <c r="AP4067" i="1"/>
  <c r="AQ4067" i="1"/>
  <c r="AR4067" i="1"/>
  <c r="AP4068" i="1"/>
  <c r="AQ4068" i="1"/>
  <c r="AR4068" i="1"/>
  <c r="AP4069" i="1"/>
  <c r="AQ4069" i="1"/>
  <c r="AR4069" i="1"/>
  <c r="AP4070" i="1"/>
  <c r="AQ4070" i="1"/>
  <c r="AR4070" i="1"/>
  <c r="AP4071" i="1"/>
  <c r="AQ4071" i="1"/>
  <c r="AR4071" i="1"/>
  <c r="AP4072" i="1"/>
  <c r="AQ4072" i="1"/>
  <c r="AR4072" i="1"/>
  <c r="AP4073" i="1"/>
  <c r="AQ4073" i="1"/>
  <c r="AR4073" i="1"/>
  <c r="AP4074" i="1"/>
  <c r="AQ4074" i="1"/>
  <c r="AR4074" i="1"/>
  <c r="AP4075" i="1"/>
  <c r="AQ4075" i="1"/>
  <c r="AR4075" i="1"/>
  <c r="AP4076" i="1"/>
  <c r="AQ4076" i="1"/>
  <c r="AR4076" i="1"/>
  <c r="AP4077" i="1"/>
  <c r="AQ4077" i="1"/>
  <c r="AR4077" i="1"/>
  <c r="AP4078" i="1"/>
  <c r="AQ4078" i="1"/>
  <c r="AR4078" i="1"/>
  <c r="AP4079" i="1"/>
  <c r="AQ4079" i="1"/>
  <c r="AR4079" i="1"/>
  <c r="AP4080" i="1"/>
  <c r="AQ4080" i="1"/>
  <c r="AR4080" i="1"/>
  <c r="AP4081" i="1"/>
  <c r="AQ4081" i="1"/>
  <c r="AR4081" i="1"/>
  <c r="AP4082" i="1"/>
  <c r="AQ4082" i="1"/>
  <c r="AR4082" i="1"/>
  <c r="AP4083" i="1"/>
  <c r="AQ4083" i="1"/>
  <c r="AR4083" i="1"/>
  <c r="AP4084" i="1"/>
  <c r="AQ4084" i="1"/>
  <c r="AR4084" i="1"/>
  <c r="AP4085" i="1"/>
  <c r="AQ4085" i="1"/>
  <c r="AR4085" i="1"/>
  <c r="AP4086" i="1"/>
  <c r="AQ4086" i="1"/>
  <c r="AR4086" i="1"/>
  <c r="AP4087" i="1"/>
  <c r="AQ4087" i="1"/>
  <c r="AR4087" i="1"/>
  <c r="AP4088" i="1"/>
  <c r="AQ4088" i="1"/>
  <c r="AR4088" i="1"/>
  <c r="AP4089" i="1"/>
  <c r="AQ4089" i="1"/>
  <c r="AR4089" i="1"/>
  <c r="AP4090" i="1"/>
  <c r="AQ4090" i="1"/>
  <c r="AR4090" i="1"/>
  <c r="AP4091" i="1"/>
  <c r="AQ4091" i="1"/>
  <c r="AR4091" i="1"/>
  <c r="AP4092" i="1"/>
  <c r="AQ4092" i="1"/>
  <c r="AR4092" i="1"/>
  <c r="AP4093" i="1"/>
  <c r="AQ4093" i="1"/>
  <c r="AR4093" i="1"/>
  <c r="AP4094" i="1"/>
  <c r="AQ4094" i="1"/>
  <c r="AR4094" i="1"/>
  <c r="AP4095" i="1"/>
  <c r="AQ4095" i="1"/>
  <c r="AR4095" i="1"/>
  <c r="AP4096" i="1"/>
  <c r="AQ4096" i="1"/>
  <c r="AR4096" i="1"/>
  <c r="AP4097" i="1"/>
  <c r="AQ4097" i="1"/>
  <c r="AR4097" i="1"/>
  <c r="AP4098" i="1"/>
  <c r="AQ4098" i="1"/>
  <c r="AR4098" i="1"/>
  <c r="AP4099" i="1"/>
  <c r="AQ4099" i="1"/>
  <c r="AR4099" i="1"/>
  <c r="AP4100" i="1"/>
  <c r="AQ4100" i="1"/>
  <c r="AR4100" i="1"/>
  <c r="AP4101" i="1"/>
  <c r="AQ4101" i="1"/>
  <c r="AR4101" i="1"/>
  <c r="AP4102" i="1"/>
  <c r="AQ4102" i="1"/>
  <c r="AR4102" i="1"/>
  <c r="AP4103" i="1"/>
  <c r="AQ4103" i="1"/>
  <c r="AR4103" i="1"/>
  <c r="AP4104" i="1"/>
  <c r="AQ4104" i="1"/>
  <c r="AR4104" i="1"/>
  <c r="AP4105" i="1"/>
  <c r="AQ4105" i="1"/>
  <c r="AR4105" i="1"/>
  <c r="AP4106" i="1"/>
  <c r="AQ4106" i="1"/>
  <c r="AR4106" i="1"/>
  <c r="AP4107" i="1"/>
  <c r="AQ4107" i="1"/>
  <c r="AR4107" i="1"/>
  <c r="AP4108" i="1"/>
  <c r="AQ4108" i="1"/>
  <c r="AR4108" i="1"/>
  <c r="AP4109" i="1"/>
  <c r="AQ4109" i="1"/>
  <c r="AR4109" i="1"/>
  <c r="AP4110" i="1"/>
  <c r="AQ4110" i="1"/>
  <c r="AR4110" i="1"/>
  <c r="AP4111" i="1"/>
  <c r="AQ4111" i="1"/>
  <c r="AR4111" i="1"/>
  <c r="AP4112" i="1"/>
  <c r="AQ4112" i="1"/>
  <c r="AR4112" i="1"/>
  <c r="AP4113" i="1"/>
  <c r="AQ4113" i="1"/>
  <c r="AR4113" i="1"/>
  <c r="AP4114" i="1"/>
  <c r="AQ4114" i="1"/>
  <c r="AR4114" i="1"/>
  <c r="AP4115" i="1"/>
  <c r="AQ4115" i="1"/>
  <c r="AR4115" i="1"/>
  <c r="AP4116" i="1"/>
  <c r="AQ4116" i="1"/>
  <c r="AR4116" i="1"/>
  <c r="AP4117" i="1"/>
  <c r="AQ4117" i="1"/>
  <c r="AR4117" i="1"/>
  <c r="AP4118" i="1"/>
  <c r="AQ4118" i="1"/>
  <c r="AR4118" i="1"/>
  <c r="AP4119" i="1"/>
  <c r="AQ4119" i="1"/>
  <c r="AR4119" i="1"/>
  <c r="AP4120" i="1"/>
  <c r="AQ4120" i="1"/>
  <c r="AR4120" i="1"/>
  <c r="AP4121" i="1"/>
  <c r="AQ4121" i="1"/>
  <c r="AR4121" i="1"/>
  <c r="AP4122" i="1"/>
  <c r="AQ4122" i="1"/>
  <c r="AR4122" i="1"/>
  <c r="AP4123" i="1"/>
  <c r="AQ4123" i="1"/>
  <c r="AR4123" i="1"/>
  <c r="AP4124" i="1"/>
  <c r="AQ4124" i="1"/>
  <c r="AR4124" i="1"/>
  <c r="AP4125" i="1"/>
  <c r="AQ4125" i="1"/>
  <c r="AR4125" i="1"/>
  <c r="AP4126" i="1"/>
  <c r="AQ4126" i="1"/>
  <c r="AR4126" i="1"/>
  <c r="AP4127" i="1"/>
  <c r="AQ4127" i="1"/>
  <c r="AR4127" i="1"/>
  <c r="AP4128" i="1"/>
  <c r="AQ4128" i="1"/>
  <c r="AR4128" i="1"/>
  <c r="AP4129" i="1"/>
  <c r="AQ4129" i="1"/>
  <c r="AR4129" i="1"/>
  <c r="AP4130" i="1"/>
  <c r="AQ4130" i="1"/>
  <c r="AR4130" i="1"/>
  <c r="AP4131" i="1"/>
  <c r="AQ4131" i="1"/>
  <c r="AR4131" i="1"/>
  <c r="AP4132" i="1"/>
  <c r="AQ4132" i="1"/>
  <c r="AR4132" i="1"/>
  <c r="AP4133" i="1"/>
  <c r="AQ4133" i="1"/>
  <c r="AR4133" i="1"/>
  <c r="AP4134" i="1"/>
  <c r="AQ4134" i="1"/>
  <c r="AR4134" i="1"/>
  <c r="AP4135" i="1"/>
  <c r="AQ4135" i="1"/>
  <c r="AR4135" i="1"/>
  <c r="AP4136" i="1"/>
  <c r="AQ4136" i="1"/>
  <c r="AR4136" i="1"/>
  <c r="AP4137" i="1"/>
  <c r="AQ4137" i="1"/>
  <c r="AR4137" i="1"/>
  <c r="AP4138" i="1"/>
  <c r="AQ4138" i="1"/>
  <c r="AR4138" i="1"/>
  <c r="AP4139" i="1"/>
  <c r="AQ4139" i="1"/>
  <c r="AR4139" i="1"/>
  <c r="AP4140" i="1"/>
  <c r="AQ4140" i="1"/>
  <c r="AR4140" i="1"/>
  <c r="AP4141" i="1"/>
  <c r="AQ4141" i="1"/>
  <c r="AR4141" i="1"/>
  <c r="AP4142" i="1"/>
  <c r="AQ4142" i="1"/>
  <c r="AR4142" i="1"/>
  <c r="AP4143" i="1"/>
  <c r="AQ4143" i="1"/>
  <c r="AR4143" i="1"/>
  <c r="AP4144" i="1"/>
  <c r="AQ4144" i="1"/>
  <c r="AR4144" i="1"/>
  <c r="AP4145" i="1"/>
  <c r="AQ4145" i="1"/>
  <c r="AR4145" i="1"/>
  <c r="AP4146" i="1"/>
  <c r="AQ4146" i="1"/>
  <c r="AR4146" i="1"/>
  <c r="AP4147" i="1"/>
  <c r="AQ4147" i="1"/>
  <c r="AR4147" i="1"/>
  <c r="AP4148" i="1"/>
  <c r="AQ4148" i="1"/>
  <c r="AR4148" i="1"/>
  <c r="AP4149" i="1"/>
  <c r="AQ4149" i="1"/>
  <c r="AR4149" i="1"/>
  <c r="AP4150" i="1"/>
  <c r="AQ4150" i="1"/>
  <c r="AR4150" i="1"/>
  <c r="AP4151" i="1"/>
  <c r="AQ4151" i="1"/>
  <c r="AR4151" i="1"/>
  <c r="AP4152" i="1"/>
  <c r="AQ4152" i="1"/>
  <c r="AR4152" i="1"/>
  <c r="AP4153" i="1"/>
  <c r="AQ4153" i="1"/>
  <c r="AR4153" i="1"/>
  <c r="AP4154" i="1"/>
  <c r="AQ4154" i="1"/>
  <c r="AR4154" i="1"/>
  <c r="AP4155" i="1"/>
  <c r="AQ4155" i="1"/>
  <c r="AR4155" i="1"/>
  <c r="AP4156" i="1"/>
  <c r="AQ4156" i="1"/>
  <c r="AR4156" i="1"/>
  <c r="AP4157" i="1"/>
  <c r="AQ4157" i="1"/>
  <c r="AR4157" i="1"/>
  <c r="AP4158" i="1"/>
  <c r="AQ4158" i="1"/>
  <c r="AR4158" i="1"/>
  <c r="AP4159" i="1"/>
  <c r="AQ4159" i="1"/>
  <c r="AR4159" i="1"/>
  <c r="AP4160" i="1"/>
  <c r="AQ4160" i="1"/>
  <c r="AR4160" i="1"/>
  <c r="AP4161" i="1"/>
  <c r="AQ4161" i="1"/>
  <c r="AR4161" i="1"/>
  <c r="AP4162" i="1"/>
  <c r="AQ4162" i="1"/>
  <c r="AR4162" i="1"/>
  <c r="AP4163" i="1"/>
  <c r="AQ4163" i="1"/>
  <c r="AR4163" i="1"/>
  <c r="AP4164" i="1"/>
  <c r="AQ4164" i="1"/>
  <c r="AR4164" i="1"/>
  <c r="AP4165" i="1"/>
  <c r="AQ4165" i="1"/>
  <c r="AR4165" i="1"/>
  <c r="AP4166" i="1"/>
  <c r="AQ4166" i="1"/>
  <c r="AR4166" i="1"/>
  <c r="AP4167" i="1"/>
  <c r="AQ4167" i="1"/>
  <c r="AR4167" i="1"/>
  <c r="AP4168" i="1"/>
  <c r="AQ4168" i="1"/>
  <c r="AR4168" i="1"/>
  <c r="AP4169" i="1"/>
  <c r="AQ4169" i="1"/>
  <c r="AR4169" i="1"/>
  <c r="AP4170" i="1"/>
  <c r="AQ4170" i="1"/>
  <c r="AR4170" i="1"/>
  <c r="AP4171" i="1"/>
  <c r="AQ4171" i="1"/>
  <c r="AR4171" i="1"/>
  <c r="AP4172" i="1"/>
  <c r="AQ4172" i="1"/>
  <c r="AR4172" i="1"/>
  <c r="AP4173" i="1"/>
  <c r="AQ4173" i="1"/>
  <c r="AR4173" i="1"/>
  <c r="AP4174" i="1"/>
  <c r="AQ4174" i="1"/>
  <c r="AR4174" i="1"/>
  <c r="AP4175" i="1"/>
  <c r="AQ4175" i="1"/>
  <c r="AR4175" i="1"/>
  <c r="AP4176" i="1"/>
  <c r="AQ4176" i="1"/>
  <c r="AR4176" i="1"/>
  <c r="AP4177" i="1"/>
  <c r="AQ4177" i="1"/>
  <c r="AR4177" i="1"/>
  <c r="AP4178" i="1"/>
  <c r="AQ4178" i="1"/>
  <c r="AR4178" i="1"/>
  <c r="AP4179" i="1"/>
  <c r="AQ4179" i="1"/>
  <c r="AR4179" i="1"/>
  <c r="AP4180" i="1"/>
  <c r="AQ4180" i="1"/>
  <c r="AR4180" i="1"/>
  <c r="AP4181" i="1"/>
  <c r="AQ4181" i="1"/>
  <c r="AR4181" i="1"/>
  <c r="AP4182" i="1"/>
  <c r="AQ4182" i="1"/>
  <c r="AR4182" i="1"/>
  <c r="AP4183" i="1"/>
  <c r="AQ4183" i="1"/>
  <c r="AR4183" i="1"/>
  <c r="AP4184" i="1"/>
  <c r="AQ4184" i="1"/>
  <c r="AR4184" i="1"/>
  <c r="AP4185" i="1"/>
  <c r="AQ4185" i="1"/>
  <c r="AR4185" i="1"/>
  <c r="AP4186" i="1"/>
  <c r="AQ4186" i="1"/>
  <c r="AR4186" i="1"/>
  <c r="AP4187" i="1"/>
  <c r="AQ4187" i="1"/>
  <c r="AR4187" i="1"/>
  <c r="AP4188" i="1"/>
  <c r="AQ4188" i="1"/>
  <c r="AR4188" i="1"/>
  <c r="AP4189" i="1"/>
  <c r="AQ4189" i="1"/>
  <c r="AR4189" i="1"/>
  <c r="AP4190" i="1"/>
  <c r="AQ4190" i="1"/>
  <c r="AR4190" i="1"/>
  <c r="AP4191" i="1"/>
  <c r="AQ4191" i="1"/>
  <c r="AR4191" i="1"/>
  <c r="AP4192" i="1"/>
  <c r="AQ4192" i="1"/>
  <c r="AR4192" i="1"/>
  <c r="AP4193" i="1"/>
  <c r="AQ4193" i="1"/>
  <c r="AR4193" i="1"/>
  <c r="AP4194" i="1"/>
  <c r="AQ4194" i="1"/>
  <c r="AR4194" i="1"/>
  <c r="AP4195" i="1"/>
  <c r="AQ4195" i="1"/>
  <c r="AR4195" i="1"/>
  <c r="AP4196" i="1"/>
  <c r="AQ4196" i="1"/>
  <c r="AR4196" i="1"/>
  <c r="AP4197" i="1"/>
  <c r="AQ4197" i="1"/>
  <c r="AR4197" i="1"/>
  <c r="AP4198" i="1"/>
  <c r="AQ4198" i="1"/>
  <c r="AR4198" i="1"/>
  <c r="AP4199" i="1"/>
  <c r="AQ4199" i="1"/>
  <c r="AR4199" i="1"/>
  <c r="AP4200" i="1"/>
  <c r="AQ4200" i="1"/>
  <c r="AR4200" i="1"/>
  <c r="AP4201" i="1"/>
  <c r="AQ4201" i="1"/>
  <c r="AR4201" i="1"/>
  <c r="AP4202" i="1"/>
  <c r="AQ4202" i="1"/>
  <c r="AR4202" i="1"/>
  <c r="AP4203" i="1"/>
  <c r="AQ4203" i="1"/>
  <c r="AR4203" i="1"/>
  <c r="AP4204" i="1"/>
  <c r="AQ4204" i="1"/>
  <c r="AR4204" i="1"/>
  <c r="AP4205" i="1"/>
  <c r="AQ4205" i="1"/>
  <c r="AR4205" i="1"/>
  <c r="AP4206" i="1"/>
  <c r="AQ4206" i="1"/>
  <c r="AR4206" i="1"/>
  <c r="AP4207" i="1"/>
  <c r="AQ4207" i="1"/>
  <c r="AR4207" i="1"/>
  <c r="AP4208" i="1"/>
  <c r="AQ4208" i="1"/>
  <c r="AR4208" i="1"/>
  <c r="AP4209" i="1"/>
  <c r="AQ4209" i="1"/>
  <c r="AR4209" i="1"/>
  <c r="AP4210" i="1"/>
  <c r="AQ4210" i="1"/>
  <c r="AR4210" i="1"/>
  <c r="AP4211" i="1"/>
  <c r="AQ4211" i="1"/>
  <c r="AR4211" i="1"/>
  <c r="AP4212" i="1"/>
  <c r="AQ4212" i="1"/>
  <c r="AR4212" i="1"/>
  <c r="AP4213" i="1"/>
  <c r="AQ4213" i="1"/>
  <c r="AR4213" i="1"/>
  <c r="AP4214" i="1"/>
  <c r="AQ4214" i="1"/>
  <c r="AR4214" i="1"/>
  <c r="AP4215" i="1"/>
  <c r="AQ4215" i="1"/>
  <c r="AR4215" i="1"/>
  <c r="AP4216" i="1"/>
  <c r="AQ4216" i="1"/>
  <c r="AR4216" i="1"/>
  <c r="AP4217" i="1"/>
  <c r="AQ4217" i="1"/>
  <c r="AR4217" i="1"/>
  <c r="AP4218" i="1"/>
  <c r="AQ4218" i="1"/>
  <c r="AR4218" i="1"/>
  <c r="AP4219" i="1"/>
  <c r="AQ4219" i="1"/>
  <c r="AR4219" i="1"/>
  <c r="AP4220" i="1"/>
  <c r="AQ4220" i="1"/>
  <c r="AR4220" i="1"/>
  <c r="AP4221" i="1"/>
  <c r="AQ4221" i="1"/>
  <c r="AR4221" i="1"/>
  <c r="AP4222" i="1"/>
  <c r="AQ4222" i="1"/>
  <c r="AR4222" i="1"/>
  <c r="AP4223" i="1"/>
  <c r="AQ4223" i="1"/>
  <c r="AR4223" i="1"/>
  <c r="AP4224" i="1"/>
  <c r="AQ4224" i="1"/>
  <c r="AR4224" i="1"/>
  <c r="AP4225" i="1"/>
  <c r="AQ4225" i="1"/>
  <c r="AR4225" i="1"/>
  <c r="AP4226" i="1"/>
  <c r="AQ4226" i="1"/>
  <c r="AR4226" i="1"/>
  <c r="AP4227" i="1"/>
  <c r="AQ4227" i="1"/>
  <c r="AR4227" i="1"/>
  <c r="AP4228" i="1"/>
  <c r="AQ4228" i="1"/>
  <c r="AR4228" i="1"/>
  <c r="AP4229" i="1"/>
  <c r="AQ4229" i="1"/>
  <c r="AR4229" i="1"/>
  <c r="AP4230" i="1"/>
  <c r="AQ4230" i="1"/>
  <c r="AR4230" i="1"/>
  <c r="AP4231" i="1"/>
  <c r="AQ4231" i="1"/>
  <c r="AR4231" i="1"/>
  <c r="AP4232" i="1"/>
  <c r="AQ4232" i="1"/>
  <c r="AR4232" i="1"/>
  <c r="AP4233" i="1"/>
  <c r="AQ4233" i="1"/>
  <c r="AR4233" i="1"/>
  <c r="AP4234" i="1"/>
  <c r="AQ4234" i="1"/>
  <c r="AR4234" i="1"/>
  <c r="AP4235" i="1"/>
  <c r="AQ4235" i="1"/>
  <c r="AR4235" i="1"/>
  <c r="AP4236" i="1"/>
  <c r="AQ4236" i="1"/>
  <c r="AR4236" i="1"/>
  <c r="AP4237" i="1"/>
  <c r="AQ4237" i="1"/>
  <c r="AR4237" i="1"/>
  <c r="AP4238" i="1"/>
  <c r="AQ4238" i="1"/>
  <c r="AR4238" i="1"/>
  <c r="AP4239" i="1"/>
  <c r="AQ4239" i="1"/>
  <c r="AR4239" i="1"/>
  <c r="AP4240" i="1"/>
  <c r="AQ4240" i="1"/>
  <c r="AR4240" i="1"/>
  <c r="AP4241" i="1"/>
  <c r="AQ4241" i="1"/>
  <c r="AR4241" i="1"/>
  <c r="AP4242" i="1"/>
  <c r="AQ4242" i="1"/>
  <c r="AR4242" i="1"/>
  <c r="AP4243" i="1"/>
  <c r="AQ4243" i="1"/>
  <c r="AR4243" i="1"/>
  <c r="AP4244" i="1"/>
  <c r="AQ4244" i="1"/>
  <c r="AR4244" i="1"/>
  <c r="AP4245" i="1"/>
  <c r="AQ4245" i="1"/>
  <c r="AR4245" i="1"/>
  <c r="AP4246" i="1"/>
  <c r="AQ4246" i="1"/>
  <c r="AR4246" i="1"/>
  <c r="AP4247" i="1"/>
  <c r="AQ4247" i="1"/>
  <c r="AR4247" i="1"/>
  <c r="AP4248" i="1"/>
  <c r="AQ4248" i="1"/>
  <c r="AR4248" i="1"/>
  <c r="AP4249" i="1"/>
  <c r="AQ4249" i="1"/>
  <c r="AR4249" i="1"/>
  <c r="AP4250" i="1"/>
  <c r="AQ4250" i="1"/>
  <c r="AR4250" i="1"/>
  <c r="AP4251" i="1"/>
  <c r="AQ4251" i="1"/>
  <c r="AR4251" i="1"/>
  <c r="AP4252" i="1"/>
  <c r="AQ4252" i="1"/>
  <c r="AR4252" i="1"/>
  <c r="AP4253" i="1"/>
  <c r="AQ4253" i="1"/>
  <c r="AR4253" i="1"/>
  <c r="AP4254" i="1"/>
  <c r="AQ4254" i="1"/>
  <c r="AR4254" i="1"/>
  <c r="AP4255" i="1"/>
  <c r="AQ4255" i="1"/>
  <c r="AR4255" i="1"/>
  <c r="AP4256" i="1"/>
  <c r="AQ4256" i="1"/>
  <c r="AR4256" i="1"/>
  <c r="AP4257" i="1"/>
  <c r="AQ4257" i="1"/>
  <c r="AR4257" i="1"/>
  <c r="AP4258" i="1"/>
  <c r="AQ4258" i="1"/>
  <c r="AR4258" i="1"/>
  <c r="AP4259" i="1"/>
  <c r="AQ4259" i="1"/>
  <c r="AR4259" i="1"/>
  <c r="AP4260" i="1"/>
  <c r="AQ4260" i="1"/>
  <c r="AR4260" i="1"/>
  <c r="AP4261" i="1"/>
  <c r="AQ4261" i="1"/>
  <c r="AR4261" i="1"/>
  <c r="AP4262" i="1"/>
  <c r="AQ4262" i="1"/>
  <c r="AR4262" i="1"/>
  <c r="AP4263" i="1"/>
  <c r="AQ4263" i="1"/>
  <c r="AR4263" i="1"/>
  <c r="AP4264" i="1"/>
  <c r="AQ4264" i="1"/>
  <c r="AR4264" i="1"/>
  <c r="AP4265" i="1"/>
  <c r="AQ4265" i="1"/>
  <c r="AR4265" i="1"/>
  <c r="AP4266" i="1"/>
  <c r="AQ4266" i="1"/>
  <c r="AR4266" i="1"/>
  <c r="AP4267" i="1"/>
  <c r="AQ4267" i="1"/>
  <c r="AR4267" i="1"/>
  <c r="AP4268" i="1"/>
  <c r="AQ4268" i="1"/>
  <c r="AR4268" i="1"/>
  <c r="AP4269" i="1"/>
  <c r="AQ4269" i="1"/>
  <c r="AR4269" i="1"/>
  <c r="AP4270" i="1"/>
  <c r="AQ4270" i="1"/>
  <c r="AR4270" i="1"/>
  <c r="AP4271" i="1"/>
  <c r="AQ4271" i="1"/>
  <c r="AR4271" i="1"/>
  <c r="AP4272" i="1"/>
  <c r="AQ4272" i="1"/>
  <c r="AR4272" i="1"/>
  <c r="AP4273" i="1"/>
  <c r="AQ4273" i="1"/>
  <c r="AR4273" i="1"/>
  <c r="AP4274" i="1"/>
  <c r="AQ4274" i="1"/>
  <c r="AR4274" i="1"/>
  <c r="AP4275" i="1"/>
  <c r="AQ4275" i="1"/>
  <c r="AR4275" i="1"/>
  <c r="AP4276" i="1"/>
  <c r="AQ4276" i="1"/>
  <c r="AR4276" i="1"/>
  <c r="AP4277" i="1"/>
  <c r="AQ4277" i="1"/>
  <c r="AR4277" i="1"/>
  <c r="AP4278" i="1"/>
  <c r="AQ4278" i="1"/>
  <c r="AR4278" i="1"/>
  <c r="AP4279" i="1"/>
  <c r="AQ4279" i="1"/>
  <c r="AR4279" i="1"/>
  <c r="AP4280" i="1"/>
  <c r="AQ4280" i="1"/>
  <c r="AR4280" i="1"/>
  <c r="AP4281" i="1"/>
  <c r="AQ4281" i="1"/>
  <c r="AR4281" i="1"/>
  <c r="AP4282" i="1"/>
  <c r="AQ4282" i="1"/>
  <c r="AR4282" i="1"/>
  <c r="AP4283" i="1"/>
  <c r="AQ4283" i="1"/>
  <c r="AR4283" i="1"/>
  <c r="AP4284" i="1"/>
  <c r="AQ4284" i="1"/>
  <c r="AR4284" i="1"/>
  <c r="AP4285" i="1"/>
  <c r="AQ4285" i="1"/>
  <c r="AR4285" i="1"/>
  <c r="AP4286" i="1"/>
  <c r="AQ4286" i="1"/>
  <c r="AR4286" i="1"/>
  <c r="AP4287" i="1"/>
  <c r="AQ4287" i="1"/>
  <c r="AR4287" i="1"/>
  <c r="AP4288" i="1"/>
  <c r="AQ4288" i="1"/>
  <c r="AR4288" i="1"/>
  <c r="AP4289" i="1"/>
  <c r="AQ4289" i="1"/>
  <c r="AR4289" i="1"/>
  <c r="AP4290" i="1"/>
  <c r="AQ4290" i="1"/>
  <c r="AR4290" i="1"/>
  <c r="AP4291" i="1"/>
  <c r="AQ4291" i="1"/>
  <c r="AR4291" i="1"/>
  <c r="AP4292" i="1"/>
  <c r="AQ4292" i="1"/>
  <c r="AR4292" i="1"/>
  <c r="AP4293" i="1"/>
  <c r="AQ4293" i="1"/>
  <c r="AR4293" i="1"/>
  <c r="AP4294" i="1"/>
  <c r="AQ4294" i="1"/>
  <c r="AR4294" i="1"/>
  <c r="AP4295" i="1"/>
  <c r="AQ4295" i="1"/>
  <c r="AR4295" i="1"/>
  <c r="AP4296" i="1"/>
  <c r="AQ4296" i="1"/>
  <c r="AR4296" i="1"/>
  <c r="AP4297" i="1"/>
  <c r="AQ4297" i="1"/>
  <c r="AR4297" i="1"/>
  <c r="AP4298" i="1"/>
  <c r="AQ4298" i="1"/>
  <c r="AR4298" i="1"/>
  <c r="AP4299" i="1"/>
  <c r="AQ4299" i="1"/>
  <c r="AR4299" i="1"/>
  <c r="AP4300" i="1"/>
  <c r="AQ4300" i="1"/>
  <c r="AR4300" i="1"/>
  <c r="AP4301" i="1"/>
  <c r="AQ4301" i="1"/>
  <c r="AR4301" i="1"/>
  <c r="AP4302" i="1"/>
  <c r="AQ4302" i="1"/>
  <c r="AR4302" i="1"/>
  <c r="AP4303" i="1"/>
  <c r="AQ4303" i="1"/>
  <c r="AR4303" i="1"/>
  <c r="AP4304" i="1"/>
  <c r="AQ4304" i="1"/>
  <c r="AR4304" i="1"/>
  <c r="AP4305" i="1"/>
  <c r="AQ4305" i="1"/>
  <c r="AR4305" i="1"/>
  <c r="AP4306" i="1"/>
  <c r="AQ4306" i="1"/>
  <c r="AR4306" i="1"/>
  <c r="AP4307" i="1"/>
  <c r="AQ4307" i="1"/>
  <c r="AR4307" i="1"/>
  <c r="AP4308" i="1"/>
  <c r="AQ4308" i="1"/>
  <c r="AR4308" i="1"/>
  <c r="AP4309" i="1"/>
  <c r="AQ4309" i="1"/>
  <c r="AR4309" i="1"/>
  <c r="AP4310" i="1"/>
  <c r="AQ4310" i="1"/>
  <c r="AR4310" i="1"/>
  <c r="AP4311" i="1"/>
  <c r="AQ4311" i="1"/>
  <c r="AR4311" i="1"/>
  <c r="AP4312" i="1"/>
  <c r="AQ4312" i="1"/>
  <c r="AR4312" i="1"/>
  <c r="AP4313" i="1"/>
  <c r="AQ4313" i="1"/>
  <c r="AR4313" i="1"/>
  <c r="AP4314" i="1"/>
  <c r="AQ4314" i="1"/>
  <c r="AR4314" i="1"/>
  <c r="AP4315" i="1"/>
  <c r="AQ4315" i="1"/>
  <c r="AR4315" i="1"/>
  <c r="AP4316" i="1"/>
  <c r="AQ4316" i="1"/>
  <c r="AR4316" i="1"/>
  <c r="AP4317" i="1"/>
  <c r="AQ4317" i="1"/>
  <c r="AR4317" i="1"/>
  <c r="AP4318" i="1"/>
  <c r="AQ4318" i="1"/>
  <c r="AR4318" i="1"/>
  <c r="AP4319" i="1"/>
  <c r="AQ4319" i="1"/>
  <c r="AR4319" i="1"/>
  <c r="AP4320" i="1"/>
  <c r="AQ4320" i="1"/>
  <c r="AR4320" i="1"/>
  <c r="AP4321" i="1"/>
  <c r="AQ4321" i="1"/>
  <c r="AR4321" i="1"/>
  <c r="AP4322" i="1"/>
  <c r="AQ4322" i="1"/>
  <c r="AR4322" i="1"/>
  <c r="AP4323" i="1"/>
  <c r="AQ4323" i="1"/>
  <c r="AR4323" i="1"/>
  <c r="AP4324" i="1"/>
  <c r="AQ4324" i="1"/>
  <c r="AR4324" i="1"/>
  <c r="AP4325" i="1"/>
  <c r="AQ4325" i="1"/>
  <c r="AR4325" i="1"/>
  <c r="AP4326" i="1"/>
  <c r="AQ4326" i="1"/>
  <c r="AR4326" i="1"/>
  <c r="AP4327" i="1"/>
  <c r="AQ4327" i="1"/>
  <c r="AR4327" i="1"/>
  <c r="AP4328" i="1"/>
  <c r="AQ4328" i="1"/>
  <c r="AR4328" i="1"/>
  <c r="AP4329" i="1"/>
  <c r="AQ4329" i="1"/>
  <c r="AR4329" i="1"/>
  <c r="AP4330" i="1"/>
  <c r="AQ4330" i="1"/>
  <c r="AR4330" i="1"/>
  <c r="AP4331" i="1"/>
  <c r="AQ4331" i="1"/>
  <c r="AR4331" i="1"/>
  <c r="AP4332" i="1"/>
  <c r="AQ4332" i="1"/>
  <c r="AR4332" i="1"/>
  <c r="AP4333" i="1"/>
  <c r="AQ4333" i="1"/>
  <c r="AR4333" i="1"/>
  <c r="AP4334" i="1"/>
  <c r="AQ4334" i="1"/>
  <c r="AR4334" i="1"/>
  <c r="AP4335" i="1"/>
  <c r="AQ4335" i="1"/>
  <c r="AR4335" i="1"/>
  <c r="AP4336" i="1"/>
  <c r="AQ4336" i="1"/>
  <c r="AR4336" i="1"/>
  <c r="AP4337" i="1"/>
  <c r="AQ4337" i="1"/>
  <c r="AR4337" i="1"/>
  <c r="AP4338" i="1"/>
  <c r="AQ4338" i="1"/>
  <c r="AR4338" i="1"/>
  <c r="AP4339" i="1"/>
  <c r="AQ4339" i="1"/>
  <c r="AR4339" i="1"/>
  <c r="AP4340" i="1"/>
  <c r="AQ4340" i="1"/>
  <c r="AR4340" i="1"/>
  <c r="AP4341" i="1"/>
  <c r="AQ4341" i="1"/>
  <c r="AR4341" i="1"/>
  <c r="AP4342" i="1"/>
  <c r="AQ4342" i="1"/>
  <c r="AR4342" i="1"/>
  <c r="AP4343" i="1"/>
  <c r="AQ4343" i="1"/>
  <c r="AR4343" i="1"/>
  <c r="AP4344" i="1"/>
  <c r="AQ4344" i="1"/>
  <c r="AR4344" i="1"/>
  <c r="AP4345" i="1"/>
  <c r="AQ4345" i="1"/>
  <c r="AR4345" i="1"/>
  <c r="AP4346" i="1"/>
  <c r="AQ4346" i="1"/>
  <c r="AR4346" i="1"/>
  <c r="AP4347" i="1"/>
  <c r="AQ4347" i="1"/>
  <c r="AR4347" i="1"/>
  <c r="AP4348" i="1"/>
  <c r="AQ4348" i="1"/>
  <c r="AR4348" i="1"/>
  <c r="AP4349" i="1"/>
  <c r="AQ4349" i="1"/>
  <c r="AR4349" i="1"/>
  <c r="AP4350" i="1"/>
  <c r="AQ4350" i="1"/>
  <c r="AR4350" i="1"/>
  <c r="AP4351" i="1"/>
  <c r="AQ4351" i="1"/>
  <c r="AR4351" i="1"/>
  <c r="AP4352" i="1"/>
  <c r="AQ4352" i="1"/>
  <c r="AR4352" i="1"/>
  <c r="AP4353" i="1"/>
  <c r="AQ4353" i="1"/>
  <c r="AR4353" i="1"/>
  <c r="AP4354" i="1"/>
  <c r="AQ4354" i="1"/>
  <c r="AR4354" i="1"/>
  <c r="AP4355" i="1"/>
  <c r="AQ4355" i="1"/>
  <c r="AR4355" i="1"/>
  <c r="AP4356" i="1"/>
  <c r="AQ4356" i="1"/>
  <c r="AR4356" i="1"/>
  <c r="AP4357" i="1"/>
  <c r="AQ4357" i="1"/>
  <c r="AR4357" i="1"/>
  <c r="AP4358" i="1"/>
  <c r="AQ4358" i="1"/>
  <c r="AR4358" i="1"/>
  <c r="AP4359" i="1"/>
  <c r="AQ4359" i="1"/>
  <c r="AR4359" i="1"/>
  <c r="AP4360" i="1"/>
  <c r="AQ4360" i="1"/>
  <c r="AR4360" i="1"/>
  <c r="AP4361" i="1"/>
  <c r="AQ4361" i="1"/>
  <c r="AR4361" i="1"/>
  <c r="AP4362" i="1"/>
  <c r="AQ4362" i="1"/>
  <c r="AR4362" i="1"/>
  <c r="AP4363" i="1"/>
  <c r="AQ4363" i="1"/>
  <c r="AR4363" i="1"/>
  <c r="AP4364" i="1"/>
  <c r="AQ4364" i="1"/>
  <c r="AR4364" i="1"/>
  <c r="AP4365" i="1"/>
  <c r="AQ4365" i="1"/>
  <c r="AR4365" i="1"/>
  <c r="AP4366" i="1"/>
  <c r="AQ4366" i="1"/>
  <c r="AR4366" i="1"/>
  <c r="AP4367" i="1"/>
  <c r="AQ4367" i="1"/>
  <c r="AR4367" i="1"/>
  <c r="AP4368" i="1"/>
  <c r="AQ4368" i="1"/>
  <c r="AR4368" i="1"/>
  <c r="AP4369" i="1"/>
  <c r="AQ4369" i="1"/>
  <c r="AR4369" i="1"/>
  <c r="AP4370" i="1"/>
  <c r="AQ4370" i="1"/>
  <c r="AR4370" i="1"/>
  <c r="AP4371" i="1"/>
  <c r="AQ4371" i="1"/>
  <c r="AR4371" i="1"/>
  <c r="AP4372" i="1"/>
  <c r="AQ4372" i="1"/>
  <c r="AR4372" i="1"/>
  <c r="AP4373" i="1"/>
  <c r="AQ4373" i="1"/>
  <c r="AR4373" i="1"/>
  <c r="AP4374" i="1"/>
  <c r="AQ4374" i="1"/>
  <c r="AR4374" i="1"/>
  <c r="AP4375" i="1"/>
  <c r="AQ4375" i="1"/>
  <c r="AR4375" i="1"/>
  <c r="AP4376" i="1"/>
  <c r="AQ4376" i="1"/>
  <c r="AR4376" i="1"/>
  <c r="AP4377" i="1"/>
  <c r="AQ4377" i="1"/>
  <c r="AR4377" i="1"/>
  <c r="AP4378" i="1"/>
  <c r="AQ4378" i="1"/>
  <c r="AR4378" i="1"/>
  <c r="AP4379" i="1"/>
  <c r="AQ4379" i="1"/>
  <c r="AR4379" i="1"/>
  <c r="AP4380" i="1"/>
  <c r="AQ4380" i="1"/>
  <c r="AR4380" i="1"/>
  <c r="AP4381" i="1"/>
  <c r="AQ4381" i="1"/>
  <c r="AR4381" i="1"/>
  <c r="AP4382" i="1"/>
  <c r="AQ4382" i="1"/>
  <c r="AR4382" i="1"/>
  <c r="AP4383" i="1"/>
  <c r="AQ4383" i="1"/>
  <c r="AR4383" i="1"/>
  <c r="AP4384" i="1"/>
  <c r="AQ4384" i="1"/>
  <c r="AR4384" i="1"/>
  <c r="AP4385" i="1"/>
  <c r="AQ4385" i="1"/>
  <c r="AR4385" i="1"/>
  <c r="AP4386" i="1"/>
  <c r="AQ4386" i="1"/>
  <c r="AR4386" i="1"/>
  <c r="AP4387" i="1"/>
  <c r="AQ4387" i="1"/>
  <c r="AR4387" i="1"/>
  <c r="AP4388" i="1"/>
  <c r="AQ4388" i="1"/>
  <c r="AR4388" i="1"/>
  <c r="AP4389" i="1"/>
  <c r="AQ4389" i="1"/>
  <c r="AR4389" i="1"/>
  <c r="AP4390" i="1"/>
  <c r="AQ4390" i="1"/>
  <c r="AR4390" i="1"/>
  <c r="AP4391" i="1"/>
  <c r="AQ4391" i="1"/>
  <c r="AR4391" i="1"/>
  <c r="AP4392" i="1"/>
  <c r="AQ4392" i="1"/>
  <c r="AR4392" i="1"/>
  <c r="AP4393" i="1"/>
  <c r="AQ4393" i="1"/>
  <c r="AR4393" i="1"/>
  <c r="AP4394" i="1"/>
  <c r="AQ4394" i="1"/>
  <c r="AR4394" i="1"/>
  <c r="AP4395" i="1"/>
  <c r="AQ4395" i="1"/>
  <c r="AR4395" i="1"/>
  <c r="AP4396" i="1"/>
  <c r="AQ4396" i="1"/>
  <c r="AR4396" i="1"/>
  <c r="AP4397" i="1"/>
  <c r="AQ4397" i="1"/>
  <c r="AR4397" i="1"/>
  <c r="AP4398" i="1"/>
  <c r="AQ4398" i="1"/>
  <c r="AR4398" i="1"/>
  <c r="AP4399" i="1"/>
  <c r="AQ4399" i="1"/>
  <c r="AR4399" i="1"/>
  <c r="AP4400" i="1"/>
  <c r="AQ4400" i="1"/>
  <c r="AR4400" i="1"/>
  <c r="AP4401" i="1"/>
  <c r="AQ4401" i="1"/>
  <c r="AR4401" i="1"/>
  <c r="AP4402" i="1"/>
  <c r="AQ4402" i="1"/>
  <c r="AR4402" i="1"/>
  <c r="AP4403" i="1"/>
  <c r="AQ4403" i="1"/>
  <c r="AR4403" i="1"/>
  <c r="AP4404" i="1"/>
  <c r="AQ4404" i="1"/>
  <c r="AR4404" i="1"/>
  <c r="AP4405" i="1"/>
  <c r="AQ4405" i="1"/>
  <c r="AR4405" i="1"/>
  <c r="AP4406" i="1"/>
  <c r="AQ4406" i="1"/>
  <c r="AR4406" i="1"/>
  <c r="AP4407" i="1"/>
  <c r="AQ4407" i="1"/>
  <c r="AR4407" i="1"/>
  <c r="AP4408" i="1"/>
  <c r="AQ4408" i="1"/>
  <c r="AR4408" i="1"/>
  <c r="AP4409" i="1"/>
  <c r="AQ4409" i="1"/>
  <c r="AR4409" i="1"/>
  <c r="AP4410" i="1"/>
  <c r="AQ4410" i="1"/>
  <c r="AR4410" i="1"/>
  <c r="AP4411" i="1"/>
  <c r="AQ4411" i="1"/>
  <c r="AR4411" i="1"/>
  <c r="AP4412" i="1"/>
  <c r="AQ4412" i="1"/>
  <c r="AR4412" i="1"/>
  <c r="AP4413" i="1"/>
  <c r="AQ4413" i="1"/>
  <c r="AR4413" i="1"/>
  <c r="AP4414" i="1"/>
  <c r="AQ4414" i="1"/>
  <c r="AR4414" i="1"/>
  <c r="AP4415" i="1"/>
  <c r="AQ4415" i="1"/>
  <c r="AR4415" i="1"/>
  <c r="AP4416" i="1"/>
  <c r="AQ4416" i="1"/>
  <c r="AR4416" i="1"/>
  <c r="AP4417" i="1"/>
  <c r="AQ4417" i="1"/>
  <c r="AR4417" i="1"/>
  <c r="AP4418" i="1"/>
  <c r="AQ4418" i="1"/>
  <c r="AR4418" i="1"/>
  <c r="AP4419" i="1"/>
  <c r="AQ4419" i="1"/>
  <c r="AR4419" i="1"/>
  <c r="AP4420" i="1"/>
  <c r="AQ4420" i="1"/>
  <c r="AR4420" i="1"/>
  <c r="AP4421" i="1"/>
  <c r="AQ4421" i="1"/>
  <c r="AR4421" i="1"/>
  <c r="AP4422" i="1"/>
  <c r="AQ4422" i="1"/>
  <c r="AR4422" i="1"/>
  <c r="AP4423" i="1"/>
  <c r="AQ4423" i="1"/>
  <c r="AR4423" i="1"/>
  <c r="AP4424" i="1"/>
  <c r="AQ4424" i="1"/>
  <c r="AR4424" i="1"/>
  <c r="AP4425" i="1"/>
  <c r="AQ4425" i="1"/>
  <c r="AR4425" i="1"/>
  <c r="AP4426" i="1"/>
  <c r="AQ4426" i="1"/>
  <c r="AR4426" i="1"/>
  <c r="AP4427" i="1"/>
  <c r="AQ4427" i="1"/>
  <c r="AR4427" i="1"/>
  <c r="AP4428" i="1"/>
  <c r="AQ4428" i="1"/>
  <c r="AR4428" i="1"/>
  <c r="AP4429" i="1"/>
  <c r="AQ4429" i="1"/>
  <c r="AR4429" i="1"/>
  <c r="AP4430" i="1"/>
  <c r="AQ4430" i="1"/>
  <c r="AR4430" i="1"/>
  <c r="AP4431" i="1"/>
  <c r="AQ4431" i="1"/>
  <c r="AR4431" i="1"/>
  <c r="AP4432" i="1"/>
  <c r="AQ4432" i="1"/>
  <c r="AR4432" i="1"/>
  <c r="AP4433" i="1"/>
  <c r="AQ4433" i="1"/>
  <c r="AR4433" i="1"/>
  <c r="AP4434" i="1"/>
  <c r="AQ4434" i="1"/>
  <c r="AR4434" i="1"/>
  <c r="AP4435" i="1"/>
  <c r="AQ4435" i="1"/>
  <c r="AR4435" i="1"/>
  <c r="AP4436" i="1"/>
  <c r="AQ4436" i="1"/>
  <c r="AR4436" i="1"/>
  <c r="AP4437" i="1"/>
  <c r="AQ4437" i="1"/>
  <c r="AR4437" i="1"/>
  <c r="AP4438" i="1"/>
  <c r="AQ4438" i="1"/>
  <c r="AR4438" i="1"/>
  <c r="AP4439" i="1"/>
  <c r="AQ4439" i="1"/>
  <c r="AR4439" i="1"/>
  <c r="AP4440" i="1"/>
  <c r="AQ4440" i="1"/>
  <c r="AR4440" i="1"/>
  <c r="AP4441" i="1"/>
  <c r="AQ4441" i="1"/>
  <c r="AR4441" i="1"/>
  <c r="AP4442" i="1"/>
  <c r="AQ4442" i="1"/>
  <c r="AR4442" i="1"/>
  <c r="AP4443" i="1"/>
  <c r="AQ4443" i="1"/>
  <c r="AR4443" i="1"/>
  <c r="AP4444" i="1"/>
  <c r="AQ4444" i="1"/>
  <c r="AR4444" i="1"/>
  <c r="AP4445" i="1"/>
  <c r="AQ4445" i="1"/>
  <c r="AR4445" i="1"/>
  <c r="AP4446" i="1"/>
  <c r="AQ4446" i="1"/>
  <c r="AR4446" i="1"/>
  <c r="AP4447" i="1"/>
  <c r="AQ4447" i="1"/>
  <c r="AR4447" i="1"/>
  <c r="AP4448" i="1"/>
  <c r="AQ4448" i="1"/>
  <c r="AR4448" i="1"/>
  <c r="AP4449" i="1"/>
  <c r="AQ4449" i="1"/>
  <c r="AR4449" i="1"/>
  <c r="AP4450" i="1"/>
  <c r="AQ4450" i="1"/>
  <c r="AR4450" i="1"/>
  <c r="AP4451" i="1"/>
  <c r="AQ4451" i="1"/>
  <c r="AR4451" i="1"/>
  <c r="AP4452" i="1"/>
  <c r="AQ4452" i="1"/>
  <c r="AR4452" i="1"/>
  <c r="AP4453" i="1"/>
  <c r="AQ4453" i="1"/>
  <c r="AR4453" i="1"/>
  <c r="AP4454" i="1"/>
  <c r="AQ4454" i="1"/>
  <c r="AR4454" i="1"/>
  <c r="AP4455" i="1"/>
  <c r="AQ4455" i="1"/>
  <c r="AR4455" i="1"/>
  <c r="AP4456" i="1"/>
  <c r="AQ4456" i="1"/>
  <c r="AR4456" i="1"/>
  <c r="AP4457" i="1"/>
  <c r="AQ4457" i="1"/>
  <c r="AR4457" i="1"/>
  <c r="AP4458" i="1"/>
  <c r="AQ4458" i="1"/>
  <c r="AR4458" i="1"/>
  <c r="AP4459" i="1"/>
  <c r="AQ4459" i="1"/>
  <c r="AR4459" i="1"/>
  <c r="AP4460" i="1"/>
  <c r="AQ4460" i="1"/>
  <c r="AR4460" i="1"/>
  <c r="AP4461" i="1"/>
  <c r="AQ4461" i="1"/>
  <c r="AR4461" i="1"/>
  <c r="AP4462" i="1"/>
  <c r="AQ4462" i="1"/>
  <c r="AR4462" i="1"/>
  <c r="AP4463" i="1"/>
  <c r="AQ4463" i="1"/>
  <c r="AR4463" i="1"/>
  <c r="AP4464" i="1"/>
  <c r="AQ4464" i="1"/>
  <c r="AR4464" i="1"/>
  <c r="AP4465" i="1"/>
  <c r="AQ4465" i="1"/>
  <c r="AR4465" i="1"/>
  <c r="AP4466" i="1"/>
  <c r="AQ4466" i="1"/>
  <c r="AR4466" i="1"/>
  <c r="AP4467" i="1"/>
  <c r="AQ4467" i="1"/>
  <c r="AR4467" i="1"/>
  <c r="AP4468" i="1"/>
  <c r="AQ4468" i="1"/>
  <c r="AR4468" i="1"/>
  <c r="AP4469" i="1"/>
  <c r="AQ4469" i="1"/>
  <c r="AR4469" i="1"/>
  <c r="AP4470" i="1"/>
  <c r="AQ4470" i="1"/>
  <c r="AR4470" i="1"/>
  <c r="AP4471" i="1"/>
  <c r="AQ4471" i="1"/>
  <c r="AR4471" i="1"/>
  <c r="AP4472" i="1"/>
  <c r="AQ4472" i="1"/>
  <c r="AR4472" i="1"/>
  <c r="AP4473" i="1"/>
  <c r="AQ4473" i="1"/>
  <c r="AR4473" i="1"/>
  <c r="AP4474" i="1"/>
  <c r="AQ4474" i="1"/>
  <c r="AR4474" i="1"/>
  <c r="AP4475" i="1"/>
  <c r="AQ4475" i="1"/>
  <c r="AR4475" i="1"/>
  <c r="AP4476" i="1"/>
  <c r="AQ4476" i="1"/>
  <c r="AR4476" i="1"/>
  <c r="AP4477" i="1"/>
  <c r="AQ4477" i="1"/>
  <c r="AR4477" i="1"/>
  <c r="AP4478" i="1"/>
  <c r="AQ4478" i="1"/>
  <c r="AR4478" i="1"/>
  <c r="AP4479" i="1"/>
  <c r="AQ4479" i="1"/>
  <c r="AR4479" i="1"/>
  <c r="AP4480" i="1"/>
  <c r="AQ4480" i="1"/>
  <c r="AR4480" i="1"/>
  <c r="AP4481" i="1"/>
  <c r="AQ4481" i="1"/>
  <c r="AR4481" i="1"/>
  <c r="AP4482" i="1"/>
  <c r="AQ4482" i="1"/>
  <c r="AR4482" i="1"/>
  <c r="AP4483" i="1"/>
  <c r="AQ4483" i="1"/>
  <c r="AR4483" i="1"/>
  <c r="AP4484" i="1"/>
  <c r="AQ4484" i="1"/>
  <c r="AR4484" i="1"/>
  <c r="AP4485" i="1"/>
  <c r="AQ4485" i="1"/>
  <c r="AR4485" i="1"/>
  <c r="AP4486" i="1"/>
  <c r="AQ4486" i="1"/>
  <c r="AR4486" i="1"/>
  <c r="AP4487" i="1"/>
  <c r="AQ4487" i="1"/>
  <c r="AR4487" i="1"/>
  <c r="AP4488" i="1"/>
  <c r="AQ4488" i="1"/>
  <c r="AR4488" i="1"/>
  <c r="AP4489" i="1"/>
  <c r="AQ4489" i="1"/>
  <c r="AR4489" i="1"/>
  <c r="AP4490" i="1"/>
  <c r="AQ4490" i="1"/>
  <c r="AR4490" i="1"/>
  <c r="AP4491" i="1"/>
  <c r="AQ4491" i="1"/>
  <c r="AR4491" i="1"/>
  <c r="AP4492" i="1"/>
  <c r="AQ4492" i="1"/>
  <c r="AR4492" i="1"/>
  <c r="AP4493" i="1"/>
  <c r="AQ4493" i="1"/>
  <c r="AR4493" i="1"/>
  <c r="AP4494" i="1"/>
  <c r="AQ4494" i="1"/>
  <c r="AR4494" i="1"/>
  <c r="AP4495" i="1"/>
  <c r="AQ4495" i="1"/>
  <c r="AR4495" i="1"/>
  <c r="AP4496" i="1"/>
  <c r="AQ4496" i="1"/>
  <c r="AR4496" i="1"/>
  <c r="AP4497" i="1"/>
  <c r="AQ4497" i="1"/>
  <c r="AR4497" i="1"/>
  <c r="AP4498" i="1"/>
  <c r="AQ4498" i="1"/>
  <c r="AR4498" i="1"/>
  <c r="AP4499" i="1"/>
  <c r="AQ4499" i="1"/>
  <c r="AR4499" i="1"/>
  <c r="AP4500" i="1"/>
  <c r="AQ4500" i="1"/>
  <c r="AR4500" i="1"/>
  <c r="AP4501" i="1"/>
  <c r="AQ4501" i="1"/>
  <c r="AR4501" i="1"/>
  <c r="AP4502" i="1"/>
  <c r="AQ4502" i="1"/>
  <c r="AR4502" i="1"/>
  <c r="AP4503" i="1"/>
  <c r="AQ4503" i="1"/>
  <c r="AR4503" i="1"/>
  <c r="AP4504" i="1"/>
  <c r="AQ4504" i="1"/>
  <c r="AR4504" i="1"/>
  <c r="AP4505" i="1"/>
  <c r="AQ4505" i="1"/>
  <c r="AR4505" i="1"/>
  <c r="AP4506" i="1"/>
  <c r="AQ4506" i="1"/>
  <c r="AR4506" i="1"/>
  <c r="AP4507" i="1"/>
  <c r="AQ4507" i="1"/>
  <c r="AR4507" i="1"/>
  <c r="AP4508" i="1"/>
  <c r="AQ4508" i="1"/>
  <c r="AR4508" i="1"/>
  <c r="AP4509" i="1"/>
  <c r="AQ4509" i="1"/>
  <c r="AR4509" i="1"/>
  <c r="AP4510" i="1"/>
  <c r="AQ4510" i="1"/>
  <c r="AR4510" i="1"/>
  <c r="AP4511" i="1"/>
  <c r="AQ4511" i="1"/>
  <c r="AR4511" i="1"/>
  <c r="AP4512" i="1"/>
  <c r="AQ4512" i="1"/>
  <c r="AR4512" i="1"/>
  <c r="AP4513" i="1"/>
  <c r="AQ4513" i="1"/>
  <c r="AR4513" i="1"/>
  <c r="AP4514" i="1"/>
  <c r="AQ4514" i="1"/>
  <c r="AR4514" i="1"/>
  <c r="AP4515" i="1"/>
  <c r="AQ4515" i="1"/>
  <c r="AR4515" i="1"/>
  <c r="AP4516" i="1"/>
  <c r="AQ4516" i="1"/>
  <c r="AR4516" i="1"/>
  <c r="AP4517" i="1"/>
  <c r="AQ4517" i="1"/>
  <c r="AR4517" i="1"/>
  <c r="AP4518" i="1"/>
  <c r="AQ4518" i="1"/>
  <c r="AR4518" i="1"/>
  <c r="AP4519" i="1"/>
  <c r="AQ4519" i="1"/>
  <c r="AR4519" i="1"/>
  <c r="AP4520" i="1"/>
  <c r="AQ4520" i="1"/>
  <c r="AR4520" i="1"/>
  <c r="AP4521" i="1"/>
  <c r="AQ4521" i="1"/>
  <c r="AR4521" i="1"/>
  <c r="AP4522" i="1"/>
  <c r="AQ4522" i="1"/>
  <c r="AR4522" i="1"/>
  <c r="AP4523" i="1"/>
  <c r="AQ4523" i="1"/>
  <c r="AR4523" i="1"/>
  <c r="AP4524" i="1"/>
  <c r="AQ4524" i="1"/>
  <c r="AR4524" i="1"/>
  <c r="AP4525" i="1"/>
  <c r="AQ4525" i="1"/>
  <c r="AR4525" i="1"/>
  <c r="AP4526" i="1"/>
  <c r="AQ4526" i="1"/>
  <c r="AR4526" i="1"/>
  <c r="AP4527" i="1"/>
  <c r="AQ4527" i="1"/>
  <c r="AR4527" i="1"/>
  <c r="AP4528" i="1"/>
  <c r="AQ4528" i="1"/>
  <c r="AR4528" i="1"/>
  <c r="AP4529" i="1"/>
  <c r="AQ4529" i="1"/>
  <c r="AR4529" i="1"/>
  <c r="AP4530" i="1"/>
  <c r="AQ4530" i="1"/>
  <c r="AR4530" i="1"/>
  <c r="AP4531" i="1"/>
  <c r="AQ4531" i="1"/>
  <c r="AR4531" i="1"/>
  <c r="AP4532" i="1"/>
  <c r="AQ4532" i="1"/>
  <c r="AR4532" i="1"/>
  <c r="AP4533" i="1"/>
  <c r="AQ4533" i="1"/>
  <c r="AR4533" i="1"/>
  <c r="AP4534" i="1"/>
  <c r="AQ4534" i="1"/>
  <c r="AR4534" i="1"/>
  <c r="AP4535" i="1"/>
  <c r="AQ4535" i="1"/>
  <c r="AR4535" i="1"/>
  <c r="AP4536" i="1"/>
  <c r="AQ4536" i="1"/>
  <c r="AR4536" i="1"/>
  <c r="AP4537" i="1"/>
  <c r="AQ4537" i="1"/>
  <c r="AR4537" i="1"/>
  <c r="AP4538" i="1"/>
  <c r="AQ4538" i="1"/>
  <c r="AR4538" i="1"/>
  <c r="AP4539" i="1"/>
  <c r="AQ4539" i="1"/>
  <c r="AR4539" i="1"/>
  <c r="AP4540" i="1"/>
  <c r="AQ4540" i="1"/>
  <c r="AR4540" i="1"/>
  <c r="AP4541" i="1"/>
  <c r="AQ4541" i="1"/>
  <c r="AR4541" i="1"/>
  <c r="AP4542" i="1"/>
  <c r="AQ4542" i="1"/>
  <c r="AR4542" i="1"/>
  <c r="AP4543" i="1"/>
  <c r="AQ4543" i="1"/>
  <c r="AR4543" i="1"/>
  <c r="AP4544" i="1"/>
  <c r="AQ4544" i="1"/>
  <c r="AR4544" i="1"/>
  <c r="AP4545" i="1"/>
  <c r="AQ4545" i="1"/>
  <c r="AR4545" i="1"/>
  <c r="AP4546" i="1"/>
  <c r="AQ4546" i="1"/>
  <c r="AR4546" i="1"/>
  <c r="AP4547" i="1"/>
  <c r="AQ4547" i="1"/>
  <c r="AR4547" i="1"/>
  <c r="AP4548" i="1"/>
  <c r="AQ4548" i="1"/>
  <c r="AR4548" i="1"/>
  <c r="AP4549" i="1"/>
  <c r="AQ4549" i="1"/>
  <c r="AR4549" i="1"/>
  <c r="AP4550" i="1"/>
  <c r="AQ4550" i="1"/>
  <c r="AR4550" i="1"/>
  <c r="AP4551" i="1"/>
  <c r="AQ4551" i="1"/>
  <c r="AR4551" i="1"/>
  <c r="AP4552" i="1"/>
  <c r="AQ4552" i="1"/>
  <c r="AR4552" i="1"/>
  <c r="AP4553" i="1"/>
  <c r="AQ4553" i="1"/>
  <c r="AR4553" i="1"/>
  <c r="AP4554" i="1"/>
  <c r="AQ4554" i="1"/>
  <c r="AR4554" i="1"/>
  <c r="AP4555" i="1"/>
  <c r="AQ4555" i="1"/>
  <c r="AR4555" i="1"/>
  <c r="AP4556" i="1"/>
  <c r="AQ4556" i="1"/>
  <c r="AR4556" i="1"/>
  <c r="AP4557" i="1"/>
  <c r="AQ4557" i="1"/>
  <c r="AR4557" i="1"/>
  <c r="AP4558" i="1"/>
  <c r="AQ4558" i="1"/>
  <c r="AR4558" i="1"/>
  <c r="AP4559" i="1"/>
  <c r="AQ4559" i="1"/>
  <c r="AR4559" i="1"/>
  <c r="AP4560" i="1"/>
  <c r="AQ4560" i="1"/>
  <c r="AR4560" i="1"/>
  <c r="AP4561" i="1"/>
  <c r="AQ4561" i="1"/>
  <c r="AR4561" i="1"/>
  <c r="AP4562" i="1"/>
  <c r="AQ4562" i="1"/>
  <c r="AR4562" i="1"/>
  <c r="AP4563" i="1"/>
  <c r="AQ4563" i="1"/>
  <c r="AR4563" i="1"/>
  <c r="AP4564" i="1"/>
  <c r="AQ4564" i="1"/>
  <c r="AR4564" i="1"/>
  <c r="AP4565" i="1"/>
  <c r="AQ4565" i="1"/>
  <c r="AR4565" i="1"/>
  <c r="AP4566" i="1"/>
  <c r="AQ4566" i="1"/>
  <c r="AR4566" i="1"/>
  <c r="AP4567" i="1"/>
  <c r="AQ4567" i="1"/>
  <c r="AR4567" i="1"/>
  <c r="AP4568" i="1"/>
  <c r="AQ4568" i="1"/>
  <c r="AR4568" i="1"/>
  <c r="AP4569" i="1"/>
  <c r="AQ4569" i="1"/>
  <c r="AR4569" i="1"/>
  <c r="AP4570" i="1"/>
  <c r="AQ4570" i="1"/>
  <c r="AR4570" i="1"/>
  <c r="AP4571" i="1"/>
  <c r="AQ4571" i="1"/>
  <c r="AR4571" i="1"/>
  <c r="AP4572" i="1"/>
  <c r="AQ4572" i="1"/>
  <c r="AR4572" i="1"/>
  <c r="AP4573" i="1"/>
  <c r="AQ4573" i="1"/>
  <c r="AR4573" i="1"/>
  <c r="AP4574" i="1"/>
  <c r="AQ4574" i="1"/>
  <c r="AR4574" i="1"/>
  <c r="AP4575" i="1"/>
  <c r="AQ4575" i="1"/>
  <c r="AR4575" i="1"/>
  <c r="AP4576" i="1"/>
  <c r="AQ4576" i="1"/>
  <c r="AR4576" i="1"/>
  <c r="AP4577" i="1"/>
  <c r="AQ4577" i="1"/>
  <c r="AR4577" i="1"/>
  <c r="AP4578" i="1"/>
  <c r="AQ4578" i="1"/>
  <c r="AR4578" i="1"/>
  <c r="AP4579" i="1"/>
  <c r="AQ4579" i="1"/>
  <c r="AR4579" i="1"/>
  <c r="AP4580" i="1"/>
  <c r="AQ4580" i="1"/>
  <c r="AR4580" i="1"/>
  <c r="AP4581" i="1"/>
  <c r="AQ4581" i="1"/>
  <c r="AR4581" i="1"/>
  <c r="AP4582" i="1"/>
  <c r="AQ4582" i="1"/>
  <c r="AR4582" i="1"/>
  <c r="AP4583" i="1"/>
  <c r="AQ4583" i="1"/>
  <c r="AR4583" i="1"/>
  <c r="AP4584" i="1"/>
  <c r="AQ4584" i="1"/>
  <c r="AR4584" i="1"/>
  <c r="AP4585" i="1"/>
  <c r="AQ4585" i="1"/>
  <c r="AR4585" i="1"/>
  <c r="AP4586" i="1"/>
  <c r="AQ4586" i="1"/>
  <c r="AR4586" i="1"/>
  <c r="AP4587" i="1"/>
  <c r="AQ4587" i="1"/>
  <c r="AR4587" i="1"/>
  <c r="AP4588" i="1"/>
  <c r="AQ4588" i="1"/>
  <c r="AR4588" i="1"/>
  <c r="AP4589" i="1"/>
  <c r="AQ4589" i="1"/>
  <c r="AR4589" i="1"/>
  <c r="AP4590" i="1"/>
  <c r="AQ4590" i="1"/>
  <c r="AR4590" i="1"/>
  <c r="AP4591" i="1"/>
  <c r="AQ4591" i="1"/>
  <c r="AR4591" i="1"/>
  <c r="AP4592" i="1"/>
  <c r="AQ4592" i="1"/>
  <c r="AR4592" i="1"/>
  <c r="AP4593" i="1"/>
  <c r="AQ4593" i="1"/>
  <c r="AR4593" i="1"/>
  <c r="AP4594" i="1"/>
  <c r="AQ4594" i="1"/>
  <c r="AR4594" i="1"/>
  <c r="AP4595" i="1"/>
  <c r="AQ4595" i="1"/>
  <c r="AR4595" i="1"/>
  <c r="AP4596" i="1"/>
  <c r="AQ4596" i="1"/>
  <c r="AR4596" i="1"/>
  <c r="AP4597" i="1"/>
  <c r="AQ4597" i="1"/>
  <c r="AR4597" i="1"/>
  <c r="AP4598" i="1"/>
  <c r="AQ4598" i="1"/>
  <c r="AR4598" i="1"/>
  <c r="AP4599" i="1"/>
  <c r="AQ4599" i="1"/>
  <c r="AR4599" i="1"/>
  <c r="AP4600" i="1"/>
  <c r="AQ4600" i="1"/>
  <c r="AR4600" i="1"/>
  <c r="AP4601" i="1"/>
  <c r="AQ4601" i="1"/>
  <c r="AR4601" i="1"/>
  <c r="AP4602" i="1"/>
  <c r="AQ4602" i="1"/>
  <c r="AR4602" i="1"/>
  <c r="AP4603" i="1"/>
  <c r="AQ4603" i="1"/>
  <c r="AR4603" i="1"/>
  <c r="AP4604" i="1"/>
  <c r="AQ4604" i="1"/>
  <c r="AR4604" i="1"/>
  <c r="AP4605" i="1"/>
  <c r="AQ4605" i="1"/>
  <c r="AR4605" i="1"/>
  <c r="AP4606" i="1"/>
  <c r="AQ4606" i="1"/>
  <c r="AR4606" i="1"/>
  <c r="AP4607" i="1"/>
  <c r="AQ4607" i="1"/>
  <c r="AR4607" i="1"/>
  <c r="AP4608" i="1"/>
  <c r="AQ4608" i="1"/>
  <c r="AR4608" i="1"/>
  <c r="AP4609" i="1"/>
  <c r="AQ4609" i="1"/>
  <c r="AR4609" i="1"/>
  <c r="AP4610" i="1"/>
  <c r="AQ4610" i="1"/>
  <c r="AR4610" i="1"/>
  <c r="AP4611" i="1"/>
  <c r="AQ4611" i="1"/>
  <c r="AR4611" i="1"/>
  <c r="AP4612" i="1"/>
  <c r="AQ4612" i="1"/>
  <c r="AR4612" i="1"/>
  <c r="AP4613" i="1"/>
  <c r="AQ4613" i="1"/>
  <c r="AR4613" i="1"/>
  <c r="AP4614" i="1"/>
  <c r="AQ4614" i="1"/>
  <c r="AR4614" i="1"/>
  <c r="AP4615" i="1"/>
  <c r="AQ4615" i="1"/>
  <c r="AR4615" i="1"/>
  <c r="AP4616" i="1"/>
  <c r="AQ4616" i="1"/>
  <c r="AR4616" i="1"/>
  <c r="AP4617" i="1"/>
  <c r="AQ4617" i="1"/>
  <c r="AR4617" i="1"/>
  <c r="AP4618" i="1"/>
  <c r="AQ4618" i="1"/>
  <c r="AR4618" i="1"/>
  <c r="AP4619" i="1"/>
  <c r="AQ4619" i="1"/>
  <c r="AR4619" i="1"/>
  <c r="AP4620" i="1"/>
  <c r="AQ4620" i="1"/>
  <c r="AR4620" i="1"/>
  <c r="AP4621" i="1"/>
  <c r="AQ4621" i="1"/>
  <c r="AR4621" i="1"/>
  <c r="AP4622" i="1"/>
  <c r="AQ4622" i="1"/>
  <c r="AR4622" i="1"/>
  <c r="AP4623" i="1"/>
  <c r="AQ4623" i="1"/>
  <c r="AR4623" i="1"/>
  <c r="AP4624" i="1"/>
  <c r="AQ4624" i="1"/>
  <c r="AR4624" i="1"/>
  <c r="AP4625" i="1"/>
  <c r="AQ4625" i="1"/>
  <c r="AR4625" i="1"/>
  <c r="AP4626" i="1"/>
  <c r="AQ4626" i="1"/>
  <c r="AR4626" i="1"/>
  <c r="AP4627" i="1"/>
  <c r="AQ4627" i="1"/>
  <c r="AR4627" i="1"/>
  <c r="AP4628" i="1"/>
  <c r="AQ4628" i="1"/>
  <c r="AR4628" i="1"/>
  <c r="AP4629" i="1"/>
  <c r="AQ4629" i="1"/>
  <c r="AR4629" i="1"/>
  <c r="AP4630" i="1"/>
  <c r="AQ4630" i="1"/>
  <c r="AR4630" i="1"/>
  <c r="AP4631" i="1"/>
  <c r="AQ4631" i="1"/>
  <c r="AR4631" i="1"/>
  <c r="AP4632" i="1"/>
  <c r="AQ4632" i="1"/>
  <c r="AR4632" i="1"/>
  <c r="AP4633" i="1"/>
  <c r="AQ4633" i="1"/>
  <c r="AR4633" i="1"/>
  <c r="AP4634" i="1"/>
  <c r="AQ4634" i="1"/>
  <c r="AR4634" i="1"/>
  <c r="AP4635" i="1"/>
  <c r="AQ4635" i="1"/>
  <c r="AR4635" i="1"/>
  <c r="AP4636" i="1"/>
  <c r="AQ4636" i="1"/>
  <c r="AR4636" i="1"/>
  <c r="AP4637" i="1"/>
  <c r="AQ4637" i="1"/>
  <c r="AR4637" i="1"/>
  <c r="AP4638" i="1"/>
  <c r="AQ4638" i="1"/>
  <c r="AR4638" i="1"/>
  <c r="AP4639" i="1"/>
  <c r="AQ4639" i="1"/>
  <c r="AR4639" i="1"/>
  <c r="AP4640" i="1"/>
  <c r="AQ4640" i="1"/>
  <c r="AR4640" i="1"/>
  <c r="AP4641" i="1"/>
  <c r="AQ4641" i="1"/>
  <c r="AR4641" i="1"/>
  <c r="AP4642" i="1"/>
  <c r="AQ4642" i="1"/>
  <c r="AR4642" i="1"/>
  <c r="AP4643" i="1"/>
  <c r="AQ4643" i="1"/>
  <c r="AR4643" i="1"/>
  <c r="AP4644" i="1"/>
  <c r="AQ4644" i="1"/>
  <c r="AR4644" i="1"/>
  <c r="AP4645" i="1"/>
  <c r="AQ4645" i="1"/>
  <c r="AR4645" i="1"/>
  <c r="AP4646" i="1"/>
  <c r="AQ4646" i="1"/>
  <c r="AR4646" i="1"/>
  <c r="AP4647" i="1"/>
  <c r="AQ4647" i="1"/>
  <c r="AR4647" i="1"/>
  <c r="AP4648" i="1"/>
  <c r="AQ4648" i="1"/>
  <c r="AR4648" i="1"/>
  <c r="AP4649" i="1"/>
  <c r="AQ4649" i="1"/>
  <c r="AR4649" i="1"/>
  <c r="AP4650" i="1"/>
  <c r="AQ4650" i="1"/>
  <c r="AR4650" i="1"/>
  <c r="AP4651" i="1"/>
  <c r="AQ4651" i="1"/>
  <c r="AR4651" i="1"/>
  <c r="AP4652" i="1"/>
  <c r="AQ4652" i="1"/>
  <c r="AR4652" i="1"/>
  <c r="AP4653" i="1"/>
  <c r="AQ4653" i="1"/>
  <c r="AR4653" i="1"/>
  <c r="AP4654" i="1"/>
  <c r="AQ4654" i="1"/>
  <c r="AR4654" i="1"/>
  <c r="AP4655" i="1"/>
  <c r="AQ4655" i="1"/>
  <c r="AR4655" i="1"/>
  <c r="AP4656" i="1"/>
  <c r="AQ4656" i="1"/>
  <c r="AR4656" i="1"/>
  <c r="AP4657" i="1"/>
  <c r="AQ4657" i="1"/>
  <c r="AR4657" i="1"/>
  <c r="AP4658" i="1"/>
  <c r="AQ4658" i="1"/>
  <c r="AR4658" i="1"/>
  <c r="AP4659" i="1"/>
  <c r="AQ4659" i="1"/>
  <c r="AR4659" i="1"/>
  <c r="AP4660" i="1"/>
  <c r="AQ4660" i="1"/>
  <c r="AR4660" i="1"/>
  <c r="AP4661" i="1"/>
  <c r="AQ4661" i="1"/>
  <c r="AR4661" i="1"/>
  <c r="AP4662" i="1"/>
  <c r="AQ4662" i="1"/>
  <c r="AR4662" i="1"/>
  <c r="AP4663" i="1"/>
  <c r="AQ4663" i="1"/>
  <c r="AR4663" i="1"/>
  <c r="AP4664" i="1"/>
  <c r="AQ4664" i="1"/>
  <c r="AR4664" i="1"/>
  <c r="AP4665" i="1"/>
  <c r="AQ4665" i="1"/>
  <c r="AR4665" i="1"/>
  <c r="AP4666" i="1"/>
  <c r="AQ4666" i="1"/>
  <c r="AR4666" i="1"/>
  <c r="AP4667" i="1"/>
  <c r="AQ4667" i="1"/>
  <c r="AR4667" i="1"/>
  <c r="AP4668" i="1"/>
  <c r="AQ4668" i="1"/>
  <c r="AR4668" i="1"/>
  <c r="AP4669" i="1"/>
  <c r="AQ4669" i="1"/>
  <c r="AR4669" i="1"/>
  <c r="AP4670" i="1"/>
  <c r="AQ4670" i="1"/>
  <c r="AR4670" i="1"/>
  <c r="AP4671" i="1"/>
  <c r="AQ4671" i="1"/>
  <c r="AR4671" i="1"/>
  <c r="AP4672" i="1"/>
  <c r="AQ4672" i="1"/>
  <c r="AR4672" i="1"/>
  <c r="AP4673" i="1"/>
  <c r="AQ4673" i="1"/>
  <c r="AR4673" i="1"/>
  <c r="AP4674" i="1"/>
  <c r="AQ4674" i="1"/>
  <c r="AR4674" i="1"/>
  <c r="AP4675" i="1"/>
  <c r="AQ4675" i="1"/>
  <c r="AR4675" i="1"/>
  <c r="AP4676" i="1"/>
  <c r="AQ4676" i="1"/>
  <c r="AR4676" i="1"/>
  <c r="AP4677" i="1"/>
  <c r="AQ4677" i="1"/>
  <c r="AR4677" i="1"/>
  <c r="AP4678" i="1"/>
  <c r="AQ4678" i="1"/>
  <c r="AR4678" i="1"/>
  <c r="AP4679" i="1"/>
  <c r="AQ4679" i="1"/>
  <c r="AR4679" i="1"/>
  <c r="AP4680" i="1"/>
  <c r="AQ4680" i="1"/>
  <c r="AR4680" i="1"/>
  <c r="AP4681" i="1"/>
  <c r="AQ4681" i="1"/>
  <c r="AR4681" i="1"/>
  <c r="AP4682" i="1"/>
  <c r="AQ4682" i="1"/>
  <c r="AR4682" i="1"/>
  <c r="AP4683" i="1"/>
  <c r="AQ4683" i="1"/>
  <c r="AR4683" i="1"/>
  <c r="AP4684" i="1"/>
  <c r="AQ4684" i="1"/>
  <c r="AR4684" i="1"/>
  <c r="AP4685" i="1"/>
  <c r="AQ4685" i="1"/>
  <c r="AR4685" i="1"/>
  <c r="AP4686" i="1"/>
  <c r="AQ4686" i="1"/>
  <c r="AR4686" i="1"/>
  <c r="AP4687" i="1"/>
  <c r="AQ4687" i="1"/>
  <c r="AR4687" i="1"/>
  <c r="AP4688" i="1"/>
  <c r="AQ4688" i="1"/>
  <c r="AR4688" i="1"/>
  <c r="AP4689" i="1"/>
  <c r="AQ4689" i="1"/>
  <c r="AR4689" i="1"/>
  <c r="AP4690" i="1"/>
  <c r="AQ4690" i="1"/>
  <c r="AR4690" i="1"/>
  <c r="AP4691" i="1"/>
  <c r="AQ4691" i="1"/>
  <c r="AR4691" i="1"/>
  <c r="AP4692" i="1"/>
  <c r="AQ4692" i="1"/>
  <c r="AR4692" i="1"/>
  <c r="AP4693" i="1"/>
  <c r="AQ4693" i="1"/>
  <c r="AR4693" i="1"/>
  <c r="AP4694" i="1"/>
  <c r="AQ4694" i="1"/>
  <c r="AR4694" i="1"/>
  <c r="AP4695" i="1"/>
  <c r="AQ4695" i="1"/>
  <c r="AR4695" i="1"/>
  <c r="AP4696" i="1"/>
  <c r="AQ4696" i="1"/>
  <c r="AR4696" i="1"/>
  <c r="AP4697" i="1"/>
  <c r="AQ4697" i="1"/>
  <c r="AR4697" i="1"/>
  <c r="AP4698" i="1"/>
  <c r="AQ4698" i="1"/>
  <c r="AR4698" i="1"/>
  <c r="AP4699" i="1"/>
  <c r="AQ4699" i="1"/>
  <c r="AR4699" i="1"/>
  <c r="AP4700" i="1"/>
  <c r="AQ4700" i="1"/>
  <c r="AR4700" i="1"/>
  <c r="AP4701" i="1"/>
  <c r="AQ4701" i="1"/>
  <c r="AR4701" i="1"/>
  <c r="AP4702" i="1"/>
  <c r="AQ4702" i="1"/>
  <c r="AR4702" i="1"/>
  <c r="AP4703" i="1"/>
  <c r="AQ4703" i="1"/>
  <c r="AR4703" i="1"/>
  <c r="AP4704" i="1"/>
  <c r="AQ4704" i="1"/>
  <c r="AR4704" i="1"/>
  <c r="AP4705" i="1"/>
  <c r="AQ4705" i="1"/>
  <c r="AR4705" i="1"/>
  <c r="AP4706" i="1"/>
  <c r="AQ4706" i="1"/>
  <c r="AR4706" i="1"/>
  <c r="AP4707" i="1"/>
  <c r="AQ4707" i="1"/>
  <c r="AR4707" i="1"/>
  <c r="AP4708" i="1"/>
  <c r="AQ4708" i="1"/>
  <c r="AR4708" i="1"/>
  <c r="AP4709" i="1"/>
  <c r="AQ4709" i="1"/>
  <c r="AR4709" i="1"/>
  <c r="AP4710" i="1"/>
  <c r="AQ4710" i="1"/>
  <c r="AR4710" i="1"/>
  <c r="AP4711" i="1"/>
  <c r="AQ4711" i="1"/>
  <c r="AR4711" i="1"/>
  <c r="AP4712" i="1"/>
  <c r="AQ4712" i="1"/>
  <c r="AR4712" i="1"/>
  <c r="AP4713" i="1"/>
  <c r="AQ4713" i="1"/>
  <c r="AR4713" i="1"/>
  <c r="AP4714" i="1"/>
  <c r="AQ4714" i="1"/>
  <c r="AR4714" i="1"/>
  <c r="AP4715" i="1"/>
  <c r="AQ4715" i="1"/>
  <c r="AR4715" i="1"/>
  <c r="AP4716" i="1"/>
  <c r="AQ4716" i="1"/>
  <c r="AR4716" i="1"/>
  <c r="AP4717" i="1"/>
  <c r="AQ4717" i="1"/>
  <c r="AR4717" i="1"/>
  <c r="AP4718" i="1"/>
  <c r="AQ4718" i="1"/>
  <c r="AR4718" i="1"/>
  <c r="AP4719" i="1"/>
  <c r="AQ4719" i="1"/>
  <c r="AR4719" i="1"/>
  <c r="AP4720" i="1"/>
  <c r="AQ4720" i="1"/>
  <c r="AR4720" i="1"/>
  <c r="AP4721" i="1"/>
  <c r="AQ4721" i="1"/>
  <c r="AR4721" i="1"/>
  <c r="AP4722" i="1"/>
  <c r="AQ4722" i="1"/>
  <c r="AR4722" i="1"/>
  <c r="AP4723" i="1"/>
  <c r="AQ4723" i="1"/>
  <c r="AR4723" i="1"/>
  <c r="AP4724" i="1"/>
  <c r="AQ4724" i="1"/>
  <c r="AR4724" i="1"/>
  <c r="AP4725" i="1"/>
  <c r="AQ4725" i="1"/>
  <c r="AR4725" i="1"/>
  <c r="AP4726" i="1"/>
  <c r="AQ4726" i="1"/>
  <c r="AR4726" i="1"/>
  <c r="AP4727" i="1"/>
  <c r="AQ4727" i="1"/>
  <c r="AR4727" i="1"/>
  <c r="AP4728" i="1"/>
  <c r="AQ4728" i="1"/>
  <c r="AR4728" i="1"/>
  <c r="AP4729" i="1"/>
  <c r="AQ4729" i="1"/>
  <c r="AR4729" i="1"/>
  <c r="AP4730" i="1"/>
  <c r="AQ4730" i="1"/>
  <c r="AR4730" i="1"/>
  <c r="AP4731" i="1"/>
  <c r="AQ4731" i="1"/>
  <c r="AR4731" i="1"/>
  <c r="AP4732" i="1"/>
  <c r="AQ4732" i="1"/>
  <c r="AR4732" i="1"/>
  <c r="AP4733" i="1"/>
  <c r="AQ4733" i="1"/>
  <c r="AR4733" i="1"/>
  <c r="AP4734" i="1"/>
  <c r="AQ4734" i="1"/>
  <c r="AR4734" i="1"/>
  <c r="AP4735" i="1"/>
  <c r="AQ4735" i="1"/>
  <c r="AR4735" i="1"/>
  <c r="AP4736" i="1"/>
  <c r="AQ4736" i="1"/>
  <c r="AR4736" i="1"/>
  <c r="AP4737" i="1"/>
  <c r="AQ4737" i="1"/>
  <c r="AR4737" i="1"/>
  <c r="AP4738" i="1"/>
  <c r="AQ4738" i="1"/>
  <c r="AR4738" i="1"/>
  <c r="AP4739" i="1"/>
  <c r="AQ4739" i="1"/>
  <c r="AR4739" i="1"/>
  <c r="AP4740" i="1"/>
  <c r="AQ4740" i="1"/>
  <c r="AR4740" i="1"/>
  <c r="AP4741" i="1"/>
  <c r="AQ4741" i="1"/>
  <c r="AR4741" i="1"/>
  <c r="AP4742" i="1"/>
  <c r="AQ4742" i="1"/>
  <c r="AR4742" i="1"/>
  <c r="AP4743" i="1"/>
  <c r="AQ4743" i="1"/>
  <c r="AR4743" i="1"/>
  <c r="AP4744" i="1"/>
  <c r="AQ4744" i="1"/>
  <c r="AR4744" i="1"/>
  <c r="AP4745" i="1"/>
  <c r="AQ4745" i="1"/>
  <c r="AR4745" i="1"/>
  <c r="AP4746" i="1"/>
  <c r="AQ4746" i="1"/>
  <c r="AR4746" i="1"/>
  <c r="AP4747" i="1"/>
  <c r="AQ4747" i="1"/>
  <c r="AR4747" i="1"/>
  <c r="AP4748" i="1"/>
  <c r="AQ4748" i="1"/>
  <c r="AR4748" i="1"/>
  <c r="AP4749" i="1"/>
  <c r="AQ4749" i="1"/>
  <c r="AR4749" i="1"/>
  <c r="AP4750" i="1"/>
  <c r="AQ4750" i="1"/>
  <c r="AR4750" i="1"/>
  <c r="AP4751" i="1"/>
  <c r="AQ4751" i="1"/>
  <c r="AR4751" i="1"/>
  <c r="AP4752" i="1"/>
  <c r="AQ4752" i="1"/>
  <c r="AR4752" i="1"/>
  <c r="AP4753" i="1"/>
  <c r="AQ4753" i="1"/>
  <c r="AR4753" i="1"/>
  <c r="AP4754" i="1"/>
  <c r="AQ4754" i="1"/>
  <c r="AR4754" i="1"/>
  <c r="AP4755" i="1"/>
  <c r="AQ4755" i="1"/>
  <c r="AR4755" i="1"/>
  <c r="AP4756" i="1"/>
  <c r="AQ4756" i="1"/>
  <c r="AR4756" i="1"/>
  <c r="AP4757" i="1"/>
  <c r="AQ4757" i="1"/>
  <c r="AR4757" i="1"/>
  <c r="AP4758" i="1"/>
  <c r="AQ4758" i="1"/>
  <c r="AR4758" i="1"/>
  <c r="AP4759" i="1"/>
  <c r="AQ4759" i="1"/>
  <c r="AR4759" i="1"/>
  <c r="AP4760" i="1"/>
  <c r="AQ4760" i="1"/>
  <c r="AR4760" i="1"/>
  <c r="AP4761" i="1"/>
  <c r="AQ4761" i="1"/>
  <c r="AR4761" i="1"/>
  <c r="AP4762" i="1"/>
  <c r="AQ4762" i="1"/>
  <c r="AR4762" i="1"/>
  <c r="AP4763" i="1"/>
  <c r="AQ4763" i="1"/>
  <c r="AR4763" i="1"/>
  <c r="AP4764" i="1"/>
  <c r="AQ4764" i="1"/>
  <c r="AR4764" i="1"/>
  <c r="AP4765" i="1"/>
  <c r="AQ4765" i="1"/>
  <c r="AR4765" i="1"/>
  <c r="AP4766" i="1"/>
  <c r="AQ4766" i="1"/>
  <c r="AR4766" i="1"/>
  <c r="AP4767" i="1"/>
  <c r="AQ4767" i="1"/>
  <c r="AR4767" i="1"/>
  <c r="AP4768" i="1"/>
  <c r="AQ4768" i="1"/>
  <c r="AR4768" i="1"/>
  <c r="AP4769" i="1"/>
  <c r="AQ4769" i="1"/>
  <c r="AR4769" i="1"/>
  <c r="AP4770" i="1"/>
  <c r="AQ4770" i="1"/>
  <c r="AR4770" i="1"/>
  <c r="AP4771" i="1"/>
  <c r="AQ4771" i="1"/>
  <c r="AR4771" i="1"/>
  <c r="AP4772" i="1"/>
  <c r="AQ4772" i="1"/>
  <c r="AR4772" i="1"/>
  <c r="AP4773" i="1"/>
  <c r="AQ4773" i="1"/>
  <c r="AR4773" i="1"/>
  <c r="AP4774" i="1"/>
  <c r="AQ4774" i="1"/>
  <c r="AR4774" i="1"/>
  <c r="AP4775" i="1"/>
  <c r="AQ4775" i="1"/>
  <c r="AR4775" i="1"/>
  <c r="AP4776" i="1"/>
  <c r="AQ4776" i="1"/>
  <c r="AR4776" i="1"/>
  <c r="AP4777" i="1"/>
  <c r="AQ4777" i="1"/>
  <c r="AR4777" i="1"/>
  <c r="AP4778" i="1"/>
  <c r="AQ4778" i="1"/>
  <c r="AR4778" i="1"/>
  <c r="AP4779" i="1"/>
  <c r="AQ4779" i="1"/>
  <c r="AR4779" i="1"/>
  <c r="AP4780" i="1"/>
  <c r="AQ4780" i="1"/>
  <c r="AR4780" i="1"/>
  <c r="AP4781" i="1"/>
  <c r="AQ4781" i="1"/>
  <c r="AR4781" i="1"/>
  <c r="AP4782" i="1"/>
  <c r="AQ4782" i="1"/>
  <c r="AR4782" i="1"/>
  <c r="AP4783" i="1"/>
  <c r="AQ4783" i="1"/>
  <c r="AR4783" i="1"/>
  <c r="AP4784" i="1"/>
  <c r="AQ4784" i="1"/>
  <c r="AR4784" i="1"/>
  <c r="AP4785" i="1"/>
  <c r="AQ4785" i="1"/>
  <c r="AR4785" i="1"/>
  <c r="AP4786" i="1"/>
  <c r="AQ4786" i="1"/>
  <c r="AR4786" i="1"/>
  <c r="AP4787" i="1"/>
  <c r="AQ4787" i="1"/>
  <c r="AR4787" i="1"/>
  <c r="AP4788" i="1"/>
  <c r="AQ4788" i="1"/>
  <c r="AR4788" i="1"/>
  <c r="AP4789" i="1"/>
  <c r="AQ4789" i="1"/>
  <c r="AR4789" i="1"/>
  <c r="AP4790" i="1"/>
  <c r="AQ4790" i="1"/>
  <c r="AR4790" i="1"/>
  <c r="AP4791" i="1"/>
  <c r="AQ4791" i="1"/>
  <c r="AR4791" i="1"/>
  <c r="AP4792" i="1"/>
  <c r="AQ4792" i="1"/>
  <c r="AR4792" i="1"/>
  <c r="AP4793" i="1"/>
  <c r="AQ4793" i="1"/>
  <c r="AR4793" i="1"/>
  <c r="AP4794" i="1"/>
  <c r="AQ4794" i="1"/>
  <c r="AR4794" i="1"/>
  <c r="AP4795" i="1"/>
  <c r="AQ4795" i="1"/>
  <c r="AR4795" i="1"/>
  <c r="AP4796" i="1"/>
  <c r="AQ4796" i="1"/>
  <c r="AR4796" i="1"/>
  <c r="AP4797" i="1"/>
  <c r="AQ4797" i="1"/>
  <c r="AR4797" i="1"/>
  <c r="AP4798" i="1"/>
  <c r="AQ4798" i="1"/>
  <c r="AR4798" i="1"/>
  <c r="AP4799" i="1"/>
  <c r="AQ4799" i="1"/>
  <c r="AR4799" i="1"/>
  <c r="AP4800" i="1"/>
  <c r="AQ4800" i="1"/>
  <c r="AR4800" i="1"/>
  <c r="AP4801" i="1"/>
  <c r="AQ4801" i="1"/>
  <c r="AR4801" i="1"/>
  <c r="AP4802" i="1"/>
  <c r="AQ4802" i="1"/>
  <c r="AR4802" i="1"/>
  <c r="AP4803" i="1"/>
  <c r="AQ4803" i="1"/>
  <c r="AR4803" i="1"/>
  <c r="AP4804" i="1"/>
  <c r="AQ4804" i="1"/>
  <c r="AR4804" i="1"/>
  <c r="AP4805" i="1"/>
  <c r="AQ4805" i="1"/>
  <c r="AR4805" i="1"/>
  <c r="AP4806" i="1"/>
  <c r="AQ4806" i="1"/>
  <c r="AR4806" i="1"/>
  <c r="AP4807" i="1"/>
  <c r="AQ4807" i="1"/>
  <c r="AR4807" i="1"/>
  <c r="AP4808" i="1"/>
  <c r="AQ4808" i="1"/>
  <c r="AR4808" i="1"/>
  <c r="AP4809" i="1"/>
  <c r="AQ4809" i="1"/>
  <c r="AR4809" i="1"/>
  <c r="AP4810" i="1"/>
  <c r="AQ4810" i="1"/>
  <c r="AR4810" i="1"/>
  <c r="AP4811" i="1"/>
  <c r="AQ4811" i="1"/>
  <c r="AR4811" i="1"/>
  <c r="AP4812" i="1"/>
  <c r="AQ4812" i="1"/>
  <c r="AR4812" i="1"/>
  <c r="AP4813" i="1"/>
  <c r="AQ4813" i="1"/>
  <c r="AR4813" i="1"/>
  <c r="AP4814" i="1"/>
  <c r="AQ4814" i="1"/>
  <c r="AR4814" i="1"/>
  <c r="AP4815" i="1"/>
  <c r="AQ4815" i="1"/>
  <c r="AR4815" i="1"/>
  <c r="AP4816" i="1"/>
  <c r="AQ4816" i="1"/>
  <c r="AR4816" i="1"/>
  <c r="AP4817" i="1"/>
  <c r="AQ4817" i="1"/>
  <c r="AR4817" i="1"/>
  <c r="AP4818" i="1"/>
  <c r="AQ4818" i="1"/>
  <c r="AR4818" i="1"/>
  <c r="AP4819" i="1"/>
  <c r="AQ4819" i="1"/>
  <c r="AR4819" i="1"/>
  <c r="AP4820" i="1"/>
  <c r="AQ4820" i="1"/>
  <c r="AR4820" i="1"/>
  <c r="AP4821" i="1"/>
  <c r="AQ4821" i="1"/>
  <c r="AR4821" i="1"/>
  <c r="AP4822" i="1"/>
  <c r="AQ4822" i="1"/>
  <c r="AR4822" i="1"/>
  <c r="AP4823" i="1"/>
  <c r="AQ4823" i="1"/>
  <c r="AR4823" i="1"/>
  <c r="AP4824" i="1"/>
  <c r="AQ4824" i="1"/>
  <c r="AR4824" i="1"/>
  <c r="AP4825" i="1"/>
  <c r="AQ4825" i="1"/>
  <c r="AR4825" i="1"/>
  <c r="AP4826" i="1"/>
  <c r="AQ4826" i="1"/>
  <c r="AR4826" i="1"/>
  <c r="AP4827" i="1"/>
  <c r="AQ4827" i="1"/>
  <c r="AR4827" i="1"/>
  <c r="AP4828" i="1"/>
  <c r="AQ4828" i="1"/>
  <c r="AR4828" i="1"/>
  <c r="AP4829" i="1"/>
  <c r="AQ4829" i="1"/>
  <c r="AR4829" i="1"/>
  <c r="AP4830" i="1"/>
  <c r="AQ4830" i="1"/>
  <c r="AR4830" i="1"/>
  <c r="AP4831" i="1"/>
  <c r="AQ4831" i="1"/>
  <c r="AR4831" i="1"/>
  <c r="AP4832" i="1"/>
  <c r="AQ4832" i="1"/>
  <c r="AR4832" i="1"/>
  <c r="AP4833" i="1"/>
  <c r="AQ4833" i="1"/>
  <c r="AR4833" i="1"/>
  <c r="AP4834" i="1"/>
  <c r="AQ4834" i="1"/>
  <c r="AR4834" i="1"/>
  <c r="AP4835" i="1"/>
  <c r="AQ4835" i="1"/>
  <c r="AR4835" i="1"/>
  <c r="AP4836" i="1"/>
  <c r="AQ4836" i="1"/>
  <c r="AR4836" i="1"/>
  <c r="AP4837" i="1"/>
  <c r="AQ4837" i="1"/>
  <c r="AR4837" i="1"/>
  <c r="AP4838" i="1"/>
  <c r="AQ4838" i="1"/>
  <c r="AR4838" i="1"/>
  <c r="AP4839" i="1"/>
  <c r="AQ4839" i="1"/>
  <c r="AR4839" i="1"/>
  <c r="AP4840" i="1"/>
  <c r="AQ4840" i="1"/>
  <c r="AR4840" i="1"/>
  <c r="AP4841" i="1"/>
  <c r="AQ4841" i="1"/>
  <c r="AR4841" i="1"/>
  <c r="AP4842" i="1"/>
  <c r="AQ4842" i="1"/>
  <c r="AR4842" i="1"/>
  <c r="AP4843" i="1"/>
  <c r="AQ4843" i="1"/>
  <c r="AR4843" i="1"/>
  <c r="AP4844" i="1"/>
  <c r="AQ4844" i="1"/>
  <c r="AR4844" i="1"/>
  <c r="AP4845" i="1"/>
  <c r="AQ4845" i="1"/>
  <c r="AR4845" i="1"/>
  <c r="AP4846" i="1"/>
  <c r="AQ4846" i="1"/>
  <c r="AR4846" i="1"/>
  <c r="AP4847" i="1"/>
  <c r="AQ4847" i="1"/>
  <c r="AR4847" i="1"/>
  <c r="AP4848" i="1"/>
  <c r="AQ4848" i="1"/>
  <c r="AR4848" i="1"/>
  <c r="AP4849" i="1"/>
  <c r="AQ4849" i="1"/>
  <c r="AR4849" i="1"/>
  <c r="AP4850" i="1"/>
  <c r="AQ4850" i="1"/>
  <c r="AR4850" i="1"/>
  <c r="AP4851" i="1"/>
  <c r="AQ4851" i="1"/>
  <c r="AR4851" i="1"/>
  <c r="AP4852" i="1"/>
  <c r="AQ4852" i="1"/>
  <c r="AR4852" i="1"/>
  <c r="AP4853" i="1"/>
  <c r="AQ4853" i="1"/>
  <c r="AR4853" i="1"/>
  <c r="AP4854" i="1"/>
  <c r="AQ4854" i="1"/>
  <c r="AR4854" i="1"/>
  <c r="AP4855" i="1"/>
  <c r="AQ4855" i="1"/>
  <c r="AR4855" i="1"/>
  <c r="AP4856" i="1"/>
  <c r="AQ4856" i="1"/>
  <c r="AR4856" i="1"/>
  <c r="AP4857" i="1"/>
  <c r="AQ4857" i="1"/>
  <c r="AR4857" i="1"/>
  <c r="AP4858" i="1"/>
  <c r="AQ4858" i="1"/>
  <c r="AR4858" i="1"/>
  <c r="AP4859" i="1"/>
  <c r="AQ4859" i="1"/>
  <c r="AR4859" i="1"/>
  <c r="AP4860" i="1"/>
  <c r="AQ4860" i="1"/>
  <c r="AR4860" i="1"/>
  <c r="AP4861" i="1"/>
  <c r="AQ4861" i="1"/>
  <c r="AR4861" i="1"/>
  <c r="AP4862" i="1"/>
  <c r="AQ4862" i="1"/>
  <c r="AR4862" i="1"/>
  <c r="AP4863" i="1"/>
  <c r="AQ4863" i="1"/>
  <c r="AR4863" i="1"/>
  <c r="AP4864" i="1"/>
  <c r="AQ4864" i="1"/>
  <c r="AR4864" i="1"/>
  <c r="AP4865" i="1"/>
  <c r="AQ4865" i="1"/>
  <c r="AR4865" i="1"/>
  <c r="AP4866" i="1"/>
  <c r="AQ4866" i="1"/>
  <c r="AR4866" i="1"/>
  <c r="AP4867" i="1"/>
  <c r="AQ4867" i="1"/>
  <c r="AR4867" i="1"/>
  <c r="AP4868" i="1"/>
  <c r="AQ4868" i="1"/>
  <c r="AR4868" i="1"/>
  <c r="AP4869" i="1"/>
  <c r="AQ4869" i="1"/>
  <c r="AR4869" i="1"/>
  <c r="AP4870" i="1"/>
  <c r="AQ4870" i="1"/>
  <c r="AR4870" i="1"/>
  <c r="AP4871" i="1"/>
  <c r="AQ4871" i="1"/>
  <c r="AR4871" i="1"/>
  <c r="AP4872" i="1"/>
  <c r="AQ4872" i="1"/>
  <c r="AR4872" i="1"/>
  <c r="AP4873" i="1"/>
  <c r="AQ4873" i="1"/>
  <c r="AR4873" i="1"/>
  <c r="AP4874" i="1"/>
  <c r="AQ4874" i="1"/>
  <c r="AR4874" i="1"/>
  <c r="AP4875" i="1"/>
  <c r="AQ4875" i="1"/>
  <c r="AR4875" i="1"/>
  <c r="AP4876" i="1"/>
  <c r="AQ4876" i="1"/>
  <c r="AR4876" i="1"/>
  <c r="AP4877" i="1"/>
  <c r="AQ4877" i="1"/>
  <c r="AR4877" i="1"/>
  <c r="AP4878" i="1"/>
  <c r="AQ4878" i="1"/>
  <c r="AR4878" i="1"/>
  <c r="AP4879" i="1"/>
  <c r="AQ4879" i="1"/>
  <c r="AR4879" i="1"/>
  <c r="AP4880" i="1"/>
  <c r="AQ4880" i="1"/>
  <c r="AR4880" i="1"/>
  <c r="AP4881" i="1"/>
  <c r="AQ4881" i="1"/>
  <c r="AR4881" i="1"/>
  <c r="AP4882" i="1"/>
  <c r="AQ4882" i="1"/>
  <c r="AR4882" i="1"/>
  <c r="AP4883" i="1"/>
  <c r="AQ4883" i="1"/>
  <c r="AR4883" i="1"/>
  <c r="AP4884" i="1"/>
  <c r="AQ4884" i="1"/>
  <c r="AR4884" i="1"/>
  <c r="AP4885" i="1"/>
  <c r="AQ4885" i="1"/>
  <c r="AR4885" i="1"/>
  <c r="AP4886" i="1"/>
  <c r="AQ4886" i="1"/>
  <c r="AR4886" i="1"/>
  <c r="AP4887" i="1"/>
  <c r="AQ4887" i="1"/>
  <c r="AR4887" i="1"/>
  <c r="AP4888" i="1"/>
  <c r="AQ4888" i="1"/>
  <c r="AR4888" i="1"/>
  <c r="AP4889" i="1"/>
  <c r="AQ4889" i="1"/>
  <c r="AR4889" i="1"/>
  <c r="AP4890" i="1"/>
  <c r="AQ4890" i="1"/>
  <c r="AR4890" i="1"/>
  <c r="AP4891" i="1"/>
  <c r="AQ4891" i="1"/>
  <c r="AR4891" i="1"/>
  <c r="AP4892" i="1"/>
  <c r="AQ4892" i="1"/>
  <c r="AR4892" i="1"/>
  <c r="AP4893" i="1"/>
  <c r="AQ4893" i="1"/>
  <c r="AR4893" i="1"/>
  <c r="AP4894" i="1"/>
  <c r="AQ4894" i="1"/>
  <c r="AR4894" i="1"/>
  <c r="AP4895" i="1"/>
  <c r="AQ4895" i="1"/>
  <c r="AR4895" i="1"/>
  <c r="AP4896" i="1"/>
  <c r="AQ4896" i="1"/>
  <c r="AR4896" i="1"/>
  <c r="AP4897" i="1"/>
  <c r="AQ4897" i="1"/>
  <c r="AR4897" i="1"/>
  <c r="AP4898" i="1"/>
  <c r="AQ4898" i="1"/>
  <c r="AR4898" i="1"/>
  <c r="AP4899" i="1"/>
  <c r="AQ4899" i="1"/>
  <c r="AR4899" i="1"/>
  <c r="AP4900" i="1"/>
  <c r="AQ4900" i="1"/>
  <c r="AR4900" i="1"/>
  <c r="AP4901" i="1"/>
  <c r="AQ4901" i="1"/>
  <c r="AR4901" i="1"/>
  <c r="AP4902" i="1"/>
  <c r="AQ4902" i="1"/>
  <c r="AR4902" i="1"/>
  <c r="AP4903" i="1"/>
  <c r="AQ4903" i="1"/>
  <c r="AR4903" i="1"/>
  <c r="AP4904" i="1"/>
  <c r="AQ4904" i="1"/>
  <c r="AR4904" i="1"/>
  <c r="AP4905" i="1"/>
  <c r="AQ4905" i="1"/>
  <c r="AR4905" i="1"/>
  <c r="AP4906" i="1"/>
  <c r="AQ4906" i="1"/>
  <c r="AR4906" i="1"/>
  <c r="AP4907" i="1"/>
  <c r="AQ4907" i="1"/>
  <c r="AR4907" i="1"/>
  <c r="AP4908" i="1"/>
  <c r="AQ4908" i="1"/>
  <c r="AR4908" i="1"/>
  <c r="AP4909" i="1"/>
  <c r="AQ4909" i="1"/>
  <c r="AR4909" i="1"/>
  <c r="AP4910" i="1"/>
  <c r="AQ4910" i="1"/>
  <c r="AR4910" i="1"/>
  <c r="AP4911" i="1"/>
  <c r="AQ4911" i="1"/>
  <c r="AR4911" i="1"/>
  <c r="AP4912" i="1"/>
  <c r="AQ4912" i="1"/>
  <c r="AR4912" i="1"/>
  <c r="AP4913" i="1"/>
  <c r="AQ4913" i="1"/>
  <c r="AR4913" i="1"/>
  <c r="AP4914" i="1"/>
  <c r="AQ4914" i="1"/>
  <c r="AR4914" i="1"/>
  <c r="AP4915" i="1"/>
  <c r="AQ4915" i="1"/>
  <c r="AR4915" i="1"/>
  <c r="AP4916" i="1"/>
  <c r="AQ4916" i="1"/>
  <c r="AR4916" i="1"/>
  <c r="AP4917" i="1"/>
  <c r="AQ4917" i="1"/>
  <c r="AR4917" i="1"/>
  <c r="AP4918" i="1"/>
  <c r="AQ4918" i="1"/>
  <c r="AR4918" i="1"/>
  <c r="AP4919" i="1"/>
  <c r="AQ4919" i="1"/>
  <c r="AR4919" i="1"/>
  <c r="AP4920" i="1"/>
  <c r="AQ4920" i="1"/>
  <c r="AR4920" i="1"/>
  <c r="AP4921" i="1"/>
  <c r="AQ4921" i="1"/>
  <c r="AR4921" i="1"/>
  <c r="AP4922" i="1"/>
  <c r="AQ4922" i="1"/>
  <c r="AR4922" i="1"/>
  <c r="AP4923" i="1"/>
  <c r="AQ4923" i="1"/>
  <c r="AR4923" i="1"/>
  <c r="AP4924" i="1"/>
  <c r="AQ4924" i="1"/>
  <c r="AR4924" i="1"/>
  <c r="AP4925" i="1"/>
  <c r="AQ4925" i="1"/>
  <c r="AR4925" i="1"/>
  <c r="AP4926" i="1"/>
  <c r="AQ4926" i="1"/>
  <c r="AR4926" i="1"/>
  <c r="AP4927" i="1"/>
  <c r="AQ4927" i="1"/>
  <c r="AR4927" i="1"/>
  <c r="AP4928" i="1"/>
  <c r="AQ4928" i="1"/>
  <c r="AR4928" i="1"/>
  <c r="AP4929" i="1"/>
  <c r="AQ4929" i="1"/>
  <c r="AR4929" i="1"/>
  <c r="AP4930" i="1"/>
  <c r="AQ4930" i="1"/>
  <c r="AR4930" i="1"/>
  <c r="AP4931" i="1"/>
  <c r="AQ4931" i="1"/>
  <c r="AR4931" i="1"/>
  <c r="AP4932" i="1"/>
  <c r="AQ4932" i="1"/>
  <c r="AR4932" i="1"/>
  <c r="AP4933" i="1"/>
  <c r="AQ4933" i="1"/>
  <c r="AR4933" i="1"/>
  <c r="AP4934" i="1"/>
  <c r="AQ4934" i="1"/>
  <c r="AR4934" i="1"/>
  <c r="AP4935" i="1"/>
  <c r="AQ4935" i="1"/>
  <c r="AR4935" i="1"/>
  <c r="AP4936" i="1"/>
  <c r="AQ4936" i="1"/>
  <c r="AR4936" i="1"/>
  <c r="AP4937" i="1"/>
  <c r="AQ4937" i="1"/>
  <c r="AR4937" i="1"/>
  <c r="AP4938" i="1"/>
  <c r="AQ4938" i="1"/>
  <c r="AR4938" i="1"/>
  <c r="AP4939" i="1"/>
  <c r="AQ4939" i="1"/>
  <c r="AR4939" i="1"/>
  <c r="AP4940" i="1"/>
  <c r="AQ4940" i="1"/>
  <c r="AR4940" i="1"/>
  <c r="AP4941" i="1"/>
  <c r="AQ4941" i="1"/>
  <c r="AR4941" i="1"/>
  <c r="AP4942" i="1"/>
  <c r="AQ4942" i="1"/>
  <c r="AR4942" i="1"/>
  <c r="AP4943" i="1"/>
  <c r="AQ4943" i="1"/>
  <c r="AR4943" i="1"/>
  <c r="AP4944" i="1"/>
  <c r="AQ4944" i="1"/>
  <c r="AR4944" i="1"/>
  <c r="AP4945" i="1"/>
  <c r="AQ4945" i="1"/>
  <c r="AR4945" i="1"/>
  <c r="AP4946" i="1"/>
  <c r="AQ4946" i="1"/>
  <c r="AR4946" i="1"/>
  <c r="AP4947" i="1"/>
  <c r="AQ4947" i="1"/>
  <c r="AR4947" i="1"/>
  <c r="AP4948" i="1"/>
  <c r="AQ4948" i="1"/>
  <c r="AR4948" i="1"/>
  <c r="AP4949" i="1"/>
  <c r="AQ4949" i="1"/>
  <c r="AR4949" i="1"/>
  <c r="AP4950" i="1"/>
  <c r="AQ4950" i="1"/>
  <c r="AR4950" i="1"/>
  <c r="AP4951" i="1"/>
  <c r="AQ4951" i="1"/>
  <c r="AR4951" i="1"/>
  <c r="AP4952" i="1"/>
  <c r="AQ4952" i="1"/>
  <c r="AR4952" i="1"/>
  <c r="AP4953" i="1"/>
  <c r="AQ4953" i="1"/>
  <c r="AR4953" i="1"/>
  <c r="AP4954" i="1"/>
  <c r="AQ4954" i="1"/>
  <c r="AR4954" i="1"/>
  <c r="AP4955" i="1"/>
  <c r="AQ4955" i="1"/>
  <c r="AR4955" i="1"/>
  <c r="AP4956" i="1"/>
  <c r="AQ4956" i="1"/>
  <c r="AR4956" i="1"/>
  <c r="AP4957" i="1"/>
  <c r="AQ4957" i="1"/>
  <c r="AR4957" i="1"/>
  <c r="AP4958" i="1"/>
  <c r="AQ4958" i="1"/>
  <c r="AR4958" i="1"/>
  <c r="AP4959" i="1"/>
  <c r="AQ4959" i="1"/>
  <c r="AR4959" i="1"/>
  <c r="AP4960" i="1"/>
  <c r="AQ4960" i="1"/>
  <c r="AR4960" i="1"/>
  <c r="AP4961" i="1"/>
  <c r="AQ4961" i="1"/>
  <c r="AR4961" i="1"/>
  <c r="AP4962" i="1"/>
  <c r="AQ4962" i="1"/>
  <c r="AR4962" i="1"/>
  <c r="AP4963" i="1"/>
  <c r="AQ4963" i="1"/>
  <c r="AR4963" i="1"/>
  <c r="AP4964" i="1"/>
  <c r="AQ4964" i="1"/>
  <c r="AR4964" i="1"/>
  <c r="AP4965" i="1"/>
  <c r="AQ4965" i="1"/>
  <c r="AR4965" i="1"/>
  <c r="AP4966" i="1"/>
  <c r="AQ4966" i="1"/>
  <c r="AR4966" i="1"/>
  <c r="AP4967" i="1"/>
  <c r="AQ4967" i="1"/>
  <c r="AR4967" i="1"/>
  <c r="AP4968" i="1"/>
  <c r="AQ4968" i="1"/>
  <c r="AR4968" i="1"/>
  <c r="AP4969" i="1"/>
  <c r="AQ4969" i="1"/>
  <c r="AR4969" i="1"/>
  <c r="AP4970" i="1"/>
  <c r="AQ4970" i="1"/>
  <c r="AR4970" i="1"/>
  <c r="AP4971" i="1"/>
  <c r="AQ4971" i="1"/>
  <c r="AR4971" i="1"/>
  <c r="AP4972" i="1"/>
  <c r="AQ4972" i="1"/>
  <c r="AR4972" i="1"/>
  <c r="AP4973" i="1"/>
  <c r="AQ4973" i="1"/>
  <c r="AR4973" i="1"/>
  <c r="AP4974" i="1"/>
  <c r="AQ4974" i="1"/>
  <c r="AR4974" i="1"/>
  <c r="AP4975" i="1"/>
  <c r="AQ4975" i="1"/>
  <c r="AR4975" i="1"/>
  <c r="AP4976" i="1"/>
  <c r="AQ4976" i="1"/>
  <c r="AR4976" i="1"/>
  <c r="AP4977" i="1"/>
  <c r="AQ4977" i="1"/>
  <c r="AR4977" i="1"/>
  <c r="AP4978" i="1"/>
  <c r="AQ4978" i="1"/>
  <c r="AR4978" i="1"/>
  <c r="AP4979" i="1"/>
  <c r="AQ4979" i="1"/>
  <c r="AR4979" i="1"/>
  <c r="AP4980" i="1"/>
  <c r="AQ4980" i="1"/>
  <c r="AR4980" i="1"/>
  <c r="AP4981" i="1"/>
  <c r="AQ4981" i="1"/>
  <c r="AR4981" i="1"/>
  <c r="AP4982" i="1"/>
  <c r="AQ4982" i="1"/>
  <c r="AR4982" i="1"/>
  <c r="AP4983" i="1"/>
  <c r="AQ4983" i="1"/>
  <c r="AR4983" i="1"/>
  <c r="AP4984" i="1"/>
  <c r="AQ4984" i="1"/>
  <c r="AR4984" i="1"/>
  <c r="AP4985" i="1"/>
  <c r="AQ4985" i="1"/>
  <c r="AR4985" i="1"/>
  <c r="AP4986" i="1"/>
  <c r="AQ4986" i="1"/>
  <c r="AR4986" i="1"/>
  <c r="AP4987" i="1"/>
  <c r="AQ4987" i="1"/>
  <c r="AR4987" i="1"/>
  <c r="AP4988" i="1"/>
  <c r="AQ4988" i="1"/>
  <c r="AR4988" i="1"/>
  <c r="AP4989" i="1"/>
  <c r="AQ4989" i="1"/>
  <c r="AR4989" i="1"/>
  <c r="AP4990" i="1"/>
  <c r="AQ4990" i="1"/>
  <c r="AR4990" i="1"/>
  <c r="AP4991" i="1"/>
  <c r="AQ4991" i="1"/>
  <c r="AR4991" i="1"/>
  <c r="AP4992" i="1"/>
  <c r="AQ4992" i="1"/>
  <c r="AR4992" i="1"/>
  <c r="AP4993" i="1"/>
  <c r="AQ4993" i="1"/>
  <c r="AR4993" i="1"/>
  <c r="AP4994" i="1"/>
  <c r="AQ4994" i="1"/>
  <c r="AR4994" i="1"/>
  <c r="AP4995" i="1"/>
  <c r="AQ4995" i="1"/>
  <c r="AR4995" i="1"/>
  <c r="AP4996" i="1"/>
  <c r="AQ4996" i="1"/>
  <c r="AR4996" i="1"/>
  <c r="AP4997" i="1"/>
  <c r="AQ4997" i="1"/>
  <c r="AR4997" i="1"/>
  <c r="AP4998" i="1"/>
  <c r="AQ4998" i="1"/>
  <c r="AR4998" i="1"/>
  <c r="AP4999" i="1"/>
  <c r="AQ4999" i="1"/>
  <c r="AR4999" i="1"/>
  <c r="AP5000" i="1"/>
  <c r="AQ5000" i="1"/>
  <c r="AR5000" i="1"/>
  <c r="AE4002" i="1"/>
  <c r="AF4002" i="1" s="1"/>
  <c r="AG4002" i="1"/>
  <c r="AH4002" i="1"/>
  <c r="AE4003" i="1"/>
  <c r="AF4003" i="1" s="1"/>
  <c r="AG4003" i="1"/>
  <c r="AH4003" i="1"/>
  <c r="AE4004" i="1"/>
  <c r="AF4004" i="1" s="1"/>
  <c r="AG4004" i="1"/>
  <c r="AH4004" i="1"/>
  <c r="AE4005" i="1"/>
  <c r="AF4005" i="1" s="1"/>
  <c r="AG4005" i="1"/>
  <c r="AH4005" i="1"/>
  <c r="AE4006" i="1"/>
  <c r="AF4006" i="1" s="1"/>
  <c r="AG4006" i="1"/>
  <c r="AH4006" i="1"/>
  <c r="AE4007" i="1"/>
  <c r="AF4007" i="1" s="1"/>
  <c r="AG4007" i="1"/>
  <c r="AH4007" i="1"/>
  <c r="AE4008" i="1"/>
  <c r="AF4008" i="1" s="1"/>
  <c r="AG4008" i="1"/>
  <c r="AH4008" i="1"/>
  <c r="AE4009" i="1"/>
  <c r="AF4009" i="1" s="1"/>
  <c r="AG4009" i="1"/>
  <c r="AH4009" i="1"/>
  <c r="AE4010" i="1"/>
  <c r="AF4010" i="1" s="1"/>
  <c r="AG4010" i="1"/>
  <c r="AH4010" i="1"/>
  <c r="AE4011" i="1"/>
  <c r="AF4011" i="1" s="1"/>
  <c r="AG4011" i="1"/>
  <c r="AH4011" i="1"/>
  <c r="AE4012" i="1"/>
  <c r="AF4012" i="1" s="1"/>
  <c r="AG4012" i="1"/>
  <c r="AH4012" i="1"/>
  <c r="AE4013" i="1"/>
  <c r="AF4013" i="1" s="1"/>
  <c r="AG4013" i="1"/>
  <c r="AH4013" i="1"/>
  <c r="AE4014" i="1"/>
  <c r="AF4014" i="1" s="1"/>
  <c r="AG4014" i="1"/>
  <c r="AH4014" i="1"/>
  <c r="AE4015" i="1"/>
  <c r="AF4015" i="1" s="1"/>
  <c r="AG4015" i="1"/>
  <c r="AH4015" i="1"/>
  <c r="AE4016" i="1"/>
  <c r="AF4016" i="1" s="1"/>
  <c r="AG4016" i="1"/>
  <c r="AH4016" i="1"/>
  <c r="AE4017" i="1"/>
  <c r="AF4017" i="1" s="1"/>
  <c r="AG4017" i="1"/>
  <c r="AH4017" i="1"/>
  <c r="AE4018" i="1"/>
  <c r="AF4018" i="1" s="1"/>
  <c r="AG4018" i="1"/>
  <c r="AH4018" i="1"/>
  <c r="AE4019" i="1"/>
  <c r="AF4019" i="1" s="1"/>
  <c r="AG4019" i="1"/>
  <c r="AH4019" i="1"/>
  <c r="AE4020" i="1"/>
  <c r="AF4020" i="1" s="1"/>
  <c r="AG4020" i="1"/>
  <c r="AH4020" i="1"/>
  <c r="AE4021" i="1"/>
  <c r="AF4021" i="1"/>
  <c r="AG4021" i="1"/>
  <c r="AH4021" i="1"/>
  <c r="AE4022" i="1"/>
  <c r="AF4022" i="1" s="1"/>
  <c r="AG4022" i="1"/>
  <c r="AH4022" i="1"/>
  <c r="AE4023" i="1"/>
  <c r="AF4023" i="1" s="1"/>
  <c r="AG4023" i="1"/>
  <c r="AH4023" i="1"/>
  <c r="AE4024" i="1"/>
  <c r="AF4024" i="1" s="1"/>
  <c r="AG4024" i="1"/>
  <c r="AH4024" i="1"/>
  <c r="AE4025" i="1"/>
  <c r="AF4025" i="1" s="1"/>
  <c r="AG4025" i="1"/>
  <c r="AH4025" i="1"/>
  <c r="AE4026" i="1"/>
  <c r="AF4026" i="1" s="1"/>
  <c r="AG4026" i="1"/>
  <c r="AH4026" i="1"/>
  <c r="AE4027" i="1"/>
  <c r="AF4027" i="1" s="1"/>
  <c r="AG4027" i="1"/>
  <c r="AH4027" i="1"/>
  <c r="AE4028" i="1"/>
  <c r="AF4028" i="1" s="1"/>
  <c r="AG4028" i="1"/>
  <c r="AH4028" i="1"/>
  <c r="AE4029" i="1"/>
  <c r="AF4029" i="1" s="1"/>
  <c r="AG4029" i="1"/>
  <c r="AH4029" i="1"/>
  <c r="AE4030" i="1"/>
  <c r="AF4030" i="1" s="1"/>
  <c r="AG4030" i="1"/>
  <c r="AH4030" i="1"/>
  <c r="AE4031" i="1"/>
  <c r="AF4031" i="1" s="1"/>
  <c r="AG4031" i="1"/>
  <c r="AH4031" i="1"/>
  <c r="AE4032" i="1"/>
  <c r="AF4032" i="1" s="1"/>
  <c r="AG4032" i="1"/>
  <c r="AH4032" i="1"/>
  <c r="AE4033" i="1"/>
  <c r="AF4033" i="1" s="1"/>
  <c r="AG4033" i="1"/>
  <c r="AH4033" i="1"/>
  <c r="AE4034" i="1"/>
  <c r="AF4034" i="1" s="1"/>
  <c r="AG4034" i="1"/>
  <c r="AH4034" i="1"/>
  <c r="AE4035" i="1"/>
  <c r="AF4035" i="1" s="1"/>
  <c r="AG4035" i="1"/>
  <c r="AH4035" i="1"/>
  <c r="AE4036" i="1"/>
  <c r="AF4036" i="1" s="1"/>
  <c r="AG4036" i="1"/>
  <c r="AH4036" i="1"/>
  <c r="AE4037" i="1"/>
  <c r="AF4037" i="1" s="1"/>
  <c r="AG4037" i="1"/>
  <c r="AH4037" i="1"/>
  <c r="AE4038" i="1"/>
  <c r="AF4038" i="1" s="1"/>
  <c r="AG4038" i="1"/>
  <c r="AH4038" i="1"/>
  <c r="AE4039" i="1"/>
  <c r="AF4039" i="1" s="1"/>
  <c r="AG4039" i="1"/>
  <c r="AH4039" i="1"/>
  <c r="AE4040" i="1"/>
  <c r="AF4040" i="1" s="1"/>
  <c r="AG4040" i="1"/>
  <c r="AH4040" i="1"/>
  <c r="AE4041" i="1"/>
  <c r="AF4041" i="1" s="1"/>
  <c r="AG4041" i="1"/>
  <c r="AH4041" i="1"/>
  <c r="AE4042" i="1"/>
  <c r="AF4042" i="1" s="1"/>
  <c r="AG4042" i="1"/>
  <c r="AH4042" i="1"/>
  <c r="AE4043" i="1"/>
  <c r="AF4043" i="1" s="1"/>
  <c r="AG4043" i="1"/>
  <c r="AH4043" i="1"/>
  <c r="AE4044" i="1"/>
  <c r="AF4044" i="1" s="1"/>
  <c r="AG4044" i="1"/>
  <c r="AH4044" i="1"/>
  <c r="AE4045" i="1"/>
  <c r="AF4045" i="1" s="1"/>
  <c r="AG4045" i="1"/>
  <c r="AH4045" i="1"/>
  <c r="AE4046" i="1"/>
  <c r="AF4046" i="1" s="1"/>
  <c r="AG4046" i="1"/>
  <c r="AH4046" i="1"/>
  <c r="AE4047" i="1"/>
  <c r="AF4047" i="1" s="1"/>
  <c r="AG4047" i="1"/>
  <c r="AH4047" i="1"/>
  <c r="AE4048" i="1"/>
  <c r="AF4048" i="1" s="1"/>
  <c r="AG4048" i="1"/>
  <c r="AH4048" i="1"/>
  <c r="AE4049" i="1"/>
  <c r="AF4049" i="1" s="1"/>
  <c r="AG4049" i="1"/>
  <c r="AH4049" i="1"/>
  <c r="AE4050" i="1"/>
  <c r="AF4050" i="1" s="1"/>
  <c r="AG4050" i="1"/>
  <c r="AH4050" i="1"/>
  <c r="AE4051" i="1"/>
  <c r="AF4051" i="1" s="1"/>
  <c r="AG4051" i="1"/>
  <c r="AH4051" i="1"/>
  <c r="AE4052" i="1"/>
  <c r="AF4052" i="1" s="1"/>
  <c r="AG4052" i="1"/>
  <c r="AH4052" i="1"/>
  <c r="AE4053" i="1"/>
  <c r="AF4053" i="1" s="1"/>
  <c r="AG4053" i="1"/>
  <c r="AH4053" i="1"/>
  <c r="AE4054" i="1"/>
  <c r="AF4054" i="1" s="1"/>
  <c r="AG4054" i="1"/>
  <c r="AH4054" i="1"/>
  <c r="AE4055" i="1"/>
  <c r="AF4055" i="1" s="1"/>
  <c r="AG4055" i="1"/>
  <c r="AH4055" i="1"/>
  <c r="AE4056" i="1"/>
  <c r="AF4056" i="1" s="1"/>
  <c r="AG4056" i="1"/>
  <c r="AH4056" i="1"/>
  <c r="AE4057" i="1"/>
  <c r="AF4057" i="1" s="1"/>
  <c r="AG4057" i="1"/>
  <c r="AH4057" i="1"/>
  <c r="AE4058" i="1"/>
  <c r="AF4058" i="1" s="1"/>
  <c r="AG4058" i="1"/>
  <c r="AH4058" i="1"/>
  <c r="AE4059" i="1"/>
  <c r="AF4059" i="1" s="1"/>
  <c r="AG4059" i="1"/>
  <c r="AH4059" i="1"/>
  <c r="AE4060" i="1"/>
  <c r="AF4060" i="1" s="1"/>
  <c r="AG4060" i="1"/>
  <c r="AH4060" i="1"/>
  <c r="AE4061" i="1"/>
  <c r="AF4061" i="1" s="1"/>
  <c r="AG4061" i="1"/>
  <c r="AH4061" i="1"/>
  <c r="AE4062" i="1"/>
  <c r="AF4062" i="1" s="1"/>
  <c r="AG4062" i="1"/>
  <c r="AH4062" i="1"/>
  <c r="AE4063" i="1"/>
  <c r="AF4063" i="1" s="1"/>
  <c r="AG4063" i="1"/>
  <c r="AH4063" i="1"/>
  <c r="AE4064" i="1"/>
  <c r="AF4064" i="1" s="1"/>
  <c r="AG4064" i="1"/>
  <c r="AH4064" i="1"/>
  <c r="AE4065" i="1"/>
  <c r="AF4065" i="1" s="1"/>
  <c r="AG4065" i="1"/>
  <c r="AH4065" i="1"/>
  <c r="AE4066" i="1"/>
  <c r="AF4066" i="1"/>
  <c r="AG4066" i="1"/>
  <c r="AH4066" i="1"/>
  <c r="AE4067" i="1"/>
  <c r="AF4067" i="1" s="1"/>
  <c r="AG4067" i="1"/>
  <c r="AH4067" i="1"/>
  <c r="AE4068" i="1"/>
  <c r="AF4068" i="1" s="1"/>
  <c r="AG4068" i="1"/>
  <c r="AH4068" i="1"/>
  <c r="AE4069" i="1"/>
  <c r="AF4069" i="1" s="1"/>
  <c r="AG4069" i="1"/>
  <c r="AH4069" i="1"/>
  <c r="AE4070" i="1"/>
  <c r="AF4070" i="1" s="1"/>
  <c r="AG4070" i="1"/>
  <c r="AH4070" i="1"/>
  <c r="AE4071" i="1"/>
  <c r="AF4071" i="1"/>
  <c r="AG4071" i="1"/>
  <c r="AH4071" i="1"/>
  <c r="AE4072" i="1"/>
  <c r="AF4072" i="1" s="1"/>
  <c r="AG4072" i="1"/>
  <c r="AH4072" i="1"/>
  <c r="AE4073" i="1"/>
  <c r="AF4073" i="1" s="1"/>
  <c r="AG4073" i="1"/>
  <c r="AH4073" i="1"/>
  <c r="AE4074" i="1"/>
  <c r="AF4074" i="1" s="1"/>
  <c r="AG4074" i="1"/>
  <c r="AH4074" i="1"/>
  <c r="AE4075" i="1"/>
  <c r="AF4075" i="1" s="1"/>
  <c r="AG4075" i="1"/>
  <c r="AH4075" i="1"/>
  <c r="AE4076" i="1"/>
  <c r="AF4076" i="1" s="1"/>
  <c r="AG4076" i="1"/>
  <c r="AH4076" i="1"/>
  <c r="AE4077" i="1"/>
  <c r="AF4077" i="1" s="1"/>
  <c r="AG4077" i="1"/>
  <c r="AH4077" i="1"/>
  <c r="AE4078" i="1"/>
  <c r="AF4078" i="1" s="1"/>
  <c r="AG4078" i="1"/>
  <c r="AH4078" i="1"/>
  <c r="AE4079" i="1"/>
  <c r="AF4079" i="1" s="1"/>
  <c r="AG4079" i="1"/>
  <c r="AH4079" i="1"/>
  <c r="AE4080" i="1"/>
  <c r="AF4080" i="1" s="1"/>
  <c r="AG4080" i="1"/>
  <c r="AH4080" i="1"/>
  <c r="AE4081" i="1"/>
  <c r="AF4081" i="1" s="1"/>
  <c r="AG4081" i="1"/>
  <c r="AH4081" i="1"/>
  <c r="AE4082" i="1"/>
  <c r="AF4082" i="1" s="1"/>
  <c r="AG4082" i="1"/>
  <c r="AH4082" i="1"/>
  <c r="AE4083" i="1"/>
  <c r="AF4083" i="1" s="1"/>
  <c r="AG4083" i="1"/>
  <c r="AH4083" i="1"/>
  <c r="AE4084" i="1"/>
  <c r="AF4084" i="1" s="1"/>
  <c r="AG4084" i="1"/>
  <c r="AH4084" i="1"/>
  <c r="AE4085" i="1"/>
  <c r="AF4085" i="1" s="1"/>
  <c r="AG4085" i="1"/>
  <c r="AH4085" i="1"/>
  <c r="AE4086" i="1"/>
  <c r="AF4086" i="1" s="1"/>
  <c r="AG4086" i="1"/>
  <c r="AH4086" i="1"/>
  <c r="AE4087" i="1"/>
  <c r="AF4087" i="1" s="1"/>
  <c r="AG4087" i="1"/>
  <c r="AH4087" i="1"/>
  <c r="AE4088" i="1"/>
  <c r="AF4088" i="1" s="1"/>
  <c r="AG4088" i="1"/>
  <c r="AH4088" i="1"/>
  <c r="AE4089" i="1"/>
  <c r="AF4089" i="1" s="1"/>
  <c r="AG4089" i="1"/>
  <c r="AH4089" i="1"/>
  <c r="AE4090" i="1"/>
  <c r="AF4090" i="1" s="1"/>
  <c r="AG4090" i="1"/>
  <c r="AH4090" i="1"/>
  <c r="AE4091" i="1"/>
  <c r="AF4091" i="1" s="1"/>
  <c r="AG4091" i="1"/>
  <c r="AH4091" i="1"/>
  <c r="AE4092" i="1"/>
  <c r="AF4092" i="1" s="1"/>
  <c r="AG4092" i="1"/>
  <c r="AH4092" i="1"/>
  <c r="AE4093" i="1"/>
  <c r="AF4093" i="1" s="1"/>
  <c r="AG4093" i="1"/>
  <c r="AH4093" i="1"/>
  <c r="AE4094" i="1"/>
  <c r="AF4094" i="1" s="1"/>
  <c r="AG4094" i="1"/>
  <c r="AH4094" i="1"/>
  <c r="AE4095" i="1"/>
  <c r="AF4095" i="1" s="1"/>
  <c r="AG4095" i="1"/>
  <c r="AH4095" i="1"/>
  <c r="AE4096" i="1"/>
  <c r="AF4096" i="1" s="1"/>
  <c r="AG4096" i="1"/>
  <c r="AH4096" i="1"/>
  <c r="AE4097" i="1"/>
  <c r="AF4097" i="1" s="1"/>
  <c r="AG4097" i="1"/>
  <c r="AH4097" i="1"/>
  <c r="AE4098" i="1"/>
  <c r="AF4098" i="1" s="1"/>
  <c r="AG4098" i="1"/>
  <c r="AH4098" i="1"/>
  <c r="AE4099" i="1"/>
  <c r="AF4099" i="1" s="1"/>
  <c r="AG4099" i="1"/>
  <c r="AH4099" i="1"/>
  <c r="AE4100" i="1"/>
  <c r="AF4100" i="1" s="1"/>
  <c r="AG4100" i="1"/>
  <c r="AH4100" i="1"/>
  <c r="AE4101" i="1"/>
  <c r="AF4101" i="1" s="1"/>
  <c r="AG4101" i="1"/>
  <c r="AH4101" i="1"/>
  <c r="AE4102" i="1"/>
  <c r="AF4102" i="1" s="1"/>
  <c r="AG4102" i="1"/>
  <c r="AH4102" i="1"/>
  <c r="AE4103" i="1"/>
  <c r="AF4103" i="1" s="1"/>
  <c r="AG4103" i="1"/>
  <c r="AH4103" i="1"/>
  <c r="AE4104" i="1"/>
  <c r="AF4104" i="1" s="1"/>
  <c r="AG4104" i="1"/>
  <c r="AH4104" i="1"/>
  <c r="AE4105" i="1"/>
  <c r="AF4105" i="1" s="1"/>
  <c r="AG4105" i="1"/>
  <c r="AH4105" i="1"/>
  <c r="AE4106" i="1"/>
  <c r="AF4106" i="1" s="1"/>
  <c r="AG4106" i="1"/>
  <c r="AH4106" i="1"/>
  <c r="AE4107" i="1"/>
  <c r="AF4107" i="1" s="1"/>
  <c r="AG4107" i="1"/>
  <c r="AH4107" i="1"/>
  <c r="AE4108" i="1"/>
  <c r="AF4108" i="1" s="1"/>
  <c r="AG4108" i="1"/>
  <c r="AH4108" i="1"/>
  <c r="AE4109" i="1"/>
  <c r="AF4109" i="1" s="1"/>
  <c r="AG4109" i="1"/>
  <c r="AH4109" i="1"/>
  <c r="AE4110" i="1"/>
  <c r="AF4110" i="1" s="1"/>
  <c r="AG4110" i="1"/>
  <c r="AH4110" i="1"/>
  <c r="AE4111" i="1"/>
  <c r="AF4111" i="1" s="1"/>
  <c r="AG4111" i="1"/>
  <c r="AH4111" i="1"/>
  <c r="AE4112" i="1"/>
  <c r="AF4112" i="1" s="1"/>
  <c r="AG4112" i="1"/>
  <c r="AH4112" i="1"/>
  <c r="AE4113" i="1"/>
  <c r="AF4113" i="1" s="1"/>
  <c r="AG4113" i="1"/>
  <c r="AH4113" i="1"/>
  <c r="AE4114" i="1"/>
  <c r="AF4114" i="1" s="1"/>
  <c r="AG4114" i="1"/>
  <c r="AH4114" i="1"/>
  <c r="AE4115" i="1"/>
  <c r="AF4115" i="1" s="1"/>
  <c r="AG4115" i="1"/>
  <c r="AH4115" i="1"/>
  <c r="AE4116" i="1"/>
  <c r="AF4116" i="1" s="1"/>
  <c r="AG4116" i="1"/>
  <c r="AH4116" i="1"/>
  <c r="AE4117" i="1"/>
  <c r="AF4117" i="1" s="1"/>
  <c r="AG4117" i="1"/>
  <c r="AH4117" i="1"/>
  <c r="AE4118" i="1"/>
  <c r="AF4118" i="1" s="1"/>
  <c r="AG4118" i="1"/>
  <c r="AH4118" i="1"/>
  <c r="AE4119" i="1"/>
  <c r="AF4119" i="1" s="1"/>
  <c r="AG4119" i="1"/>
  <c r="AH4119" i="1"/>
  <c r="AE4120" i="1"/>
  <c r="AF4120" i="1" s="1"/>
  <c r="AG4120" i="1"/>
  <c r="AH4120" i="1"/>
  <c r="AE4121" i="1"/>
  <c r="AF4121" i="1" s="1"/>
  <c r="AG4121" i="1"/>
  <c r="AH4121" i="1"/>
  <c r="AE4122" i="1"/>
  <c r="AF4122" i="1" s="1"/>
  <c r="AG4122" i="1"/>
  <c r="AH4122" i="1"/>
  <c r="AE4123" i="1"/>
  <c r="AF4123" i="1" s="1"/>
  <c r="AG4123" i="1"/>
  <c r="AH4123" i="1"/>
  <c r="AE4124" i="1"/>
  <c r="AF4124" i="1" s="1"/>
  <c r="AG4124" i="1"/>
  <c r="AH4124" i="1"/>
  <c r="AE4125" i="1"/>
  <c r="AF4125" i="1" s="1"/>
  <c r="AG4125" i="1"/>
  <c r="AH4125" i="1"/>
  <c r="AE4126" i="1"/>
  <c r="AF4126" i="1" s="1"/>
  <c r="AG4126" i="1"/>
  <c r="AH4126" i="1"/>
  <c r="AE4127" i="1"/>
  <c r="AF4127" i="1" s="1"/>
  <c r="AG4127" i="1"/>
  <c r="AH4127" i="1"/>
  <c r="AE4128" i="1"/>
  <c r="AF4128" i="1" s="1"/>
  <c r="AG4128" i="1"/>
  <c r="AH4128" i="1"/>
  <c r="AE4129" i="1"/>
  <c r="AF4129" i="1" s="1"/>
  <c r="AG4129" i="1"/>
  <c r="AH4129" i="1"/>
  <c r="AE4130" i="1"/>
  <c r="AF4130" i="1" s="1"/>
  <c r="AG4130" i="1"/>
  <c r="AH4130" i="1"/>
  <c r="AE4131" i="1"/>
  <c r="AF4131" i="1" s="1"/>
  <c r="AG4131" i="1"/>
  <c r="AH4131" i="1"/>
  <c r="AE4132" i="1"/>
  <c r="AF4132" i="1" s="1"/>
  <c r="AG4132" i="1"/>
  <c r="AH4132" i="1"/>
  <c r="AE4133" i="1"/>
  <c r="AF4133" i="1" s="1"/>
  <c r="AG4133" i="1"/>
  <c r="AH4133" i="1"/>
  <c r="AE4134" i="1"/>
  <c r="AF4134" i="1" s="1"/>
  <c r="AG4134" i="1"/>
  <c r="AH4134" i="1"/>
  <c r="AE4135" i="1"/>
  <c r="AF4135" i="1" s="1"/>
  <c r="AG4135" i="1"/>
  <c r="AH4135" i="1"/>
  <c r="AE4136" i="1"/>
  <c r="AF4136" i="1" s="1"/>
  <c r="AG4136" i="1"/>
  <c r="AH4136" i="1"/>
  <c r="AE4137" i="1"/>
  <c r="AF4137" i="1" s="1"/>
  <c r="AG4137" i="1"/>
  <c r="AH4137" i="1"/>
  <c r="AE4138" i="1"/>
  <c r="AF4138" i="1" s="1"/>
  <c r="AG4138" i="1"/>
  <c r="AH4138" i="1"/>
  <c r="AE4139" i="1"/>
  <c r="AF4139" i="1" s="1"/>
  <c r="AG4139" i="1"/>
  <c r="AH4139" i="1"/>
  <c r="AE4140" i="1"/>
  <c r="AF4140" i="1" s="1"/>
  <c r="AG4140" i="1"/>
  <c r="AH4140" i="1"/>
  <c r="AE4141" i="1"/>
  <c r="AF4141" i="1" s="1"/>
  <c r="AG4141" i="1"/>
  <c r="AH4141" i="1"/>
  <c r="AE4142" i="1"/>
  <c r="AF4142" i="1" s="1"/>
  <c r="AG4142" i="1"/>
  <c r="AH4142" i="1"/>
  <c r="AE4143" i="1"/>
  <c r="AF4143" i="1" s="1"/>
  <c r="AG4143" i="1"/>
  <c r="AH4143" i="1"/>
  <c r="AE4144" i="1"/>
  <c r="AF4144" i="1" s="1"/>
  <c r="AG4144" i="1"/>
  <c r="AH4144" i="1"/>
  <c r="AE4145" i="1"/>
  <c r="AF4145" i="1" s="1"/>
  <c r="AG4145" i="1"/>
  <c r="AH4145" i="1"/>
  <c r="AE4146" i="1"/>
  <c r="AF4146" i="1" s="1"/>
  <c r="AG4146" i="1"/>
  <c r="AH4146" i="1"/>
  <c r="AE4147" i="1"/>
  <c r="AF4147" i="1" s="1"/>
  <c r="AG4147" i="1"/>
  <c r="AH4147" i="1"/>
  <c r="AE4148" i="1"/>
  <c r="AF4148" i="1" s="1"/>
  <c r="AG4148" i="1"/>
  <c r="AH4148" i="1"/>
  <c r="AE4149" i="1"/>
  <c r="AF4149" i="1" s="1"/>
  <c r="AG4149" i="1"/>
  <c r="AH4149" i="1"/>
  <c r="AE4150" i="1"/>
  <c r="AF4150" i="1" s="1"/>
  <c r="AG4150" i="1"/>
  <c r="AH4150" i="1"/>
  <c r="AE4151" i="1"/>
  <c r="AF4151" i="1" s="1"/>
  <c r="AG4151" i="1"/>
  <c r="AH4151" i="1"/>
  <c r="AE4152" i="1"/>
  <c r="AF4152" i="1" s="1"/>
  <c r="AG4152" i="1"/>
  <c r="AH4152" i="1"/>
  <c r="AE4153" i="1"/>
  <c r="AF4153" i="1" s="1"/>
  <c r="AG4153" i="1"/>
  <c r="AH4153" i="1"/>
  <c r="AE4154" i="1"/>
  <c r="AF4154" i="1" s="1"/>
  <c r="AG4154" i="1"/>
  <c r="AH4154" i="1"/>
  <c r="AE4155" i="1"/>
  <c r="AF4155" i="1" s="1"/>
  <c r="AG4155" i="1"/>
  <c r="AH4155" i="1"/>
  <c r="AE4156" i="1"/>
  <c r="AF4156" i="1" s="1"/>
  <c r="AG4156" i="1"/>
  <c r="AH4156" i="1"/>
  <c r="AE4157" i="1"/>
  <c r="AF4157" i="1" s="1"/>
  <c r="AG4157" i="1"/>
  <c r="AH4157" i="1"/>
  <c r="AE4158" i="1"/>
  <c r="AF4158" i="1" s="1"/>
  <c r="AG4158" i="1"/>
  <c r="AH4158" i="1"/>
  <c r="AE4159" i="1"/>
  <c r="AF4159" i="1" s="1"/>
  <c r="AG4159" i="1"/>
  <c r="AH4159" i="1"/>
  <c r="AE4160" i="1"/>
  <c r="AF4160" i="1" s="1"/>
  <c r="AG4160" i="1"/>
  <c r="AH4160" i="1"/>
  <c r="AE4161" i="1"/>
  <c r="AF4161" i="1" s="1"/>
  <c r="AG4161" i="1"/>
  <c r="AH4161" i="1"/>
  <c r="AE4162" i="1"/>
  <c r="AF4162" i="1" s="1"/>
  <c r="AG4162" i="1"/>
  <c r="AH4162" i="1"/>
  <c r="AE4163" i="1"/>
  <c r="AF4163" i="1" s="1"/>
  <c r="AG4163" i="1"/>
  <c r="AH4163" i="1"/>
  <c r="AE4164" i="1"/>
  <c r="AF4164" i="1" s="1"/>
  <c r="AG4164" i="1"/>
  <c r="AH4164" i="1"/>
  <c r="AE4165" i="1"/>
  <c r="AF4165" i="1" s="1"/>
  <c r="AG4165" i="1"/>
  <c r="AH4165" i="1"/>
  <c r="AE4166" i="1"/>
  <c r="AF4166" i="1" s="1"/>
  <c r="AG4166" i="1"/>
  <c r="AH4166" i="1"/>
  <c r="AE4167" i="1"/>
  <c r="AF4167" i="1" s="1"/>
  <c r="AG4167" i="1"/>
  <c r="AH4167" i="1"/>
  <c r="AE4168" i="1"/>
  <c r="AF4168" i="1" s="1"/>
  <c r="AG4168" i="1"/>
  <c r="AH4168" i="1"/>
  <c r="AE4169" i="1"/>
  <c r="AF4169" i="1" s="1"/>
  <c r="AG4169" i="1"/>
  <c r="AH4169" i="1"/>
  <c r="AE4170" i="1"/>
  <c r="AF4170" i="1" s="1"/>
  <c r="AG4170" i="1"/>
  <c r="AH4170" i="1"/>
  <c r="AE4171" i="1"/>
  <c r="AF4171" i="1" s="1"/>
  <c r="AG4171" i="1"/>
  <c r="AH4171" i="1"/>
  <c r="AE4172" i="1"/>
  <c r="AF4172" i="1" s="1"/>
  <c r="AG4172" i="1"/>
  <c r="AH4172" i="1"/>
  <c r="AE4173" i="1"/>
  <c r="AF4173" i="1" s="1"/>
  <c r="AG4173" i="1"/>
  <c r="AH4173" i="1"/>
  <c r="AE4174" i="1"/>
  <c r="AF4174" i="1" s="1"/>
  <c r="AG4174" i="1"/>
  <c r="AH4174" i="1"/>
  <c r="AE4175" i="1"/>
  <c r="AF4175" i="1" s="1"/>
  <c r="AG4175" i="1"/>
  <c r="AH4175" i="1"/>
  <c r="AE4176" i="1"/>
  <c r="AF4176" i="1" s="1"/>
  <c r="AG4176" i="1"/>
  <c r="AH4176" i="1"/>
  <c r="AE4177" i="1"/>
  <c r="AF4177" i="1" s="1"/>
  <c r="AG4177" i="1"/>
  <c r="AH4177" i="1"/>
  <c r="AE4178" i="1"/>
  <c r="AF4178" i="1" s="1"/>
  <c r="AG4178" i="1"/>
  <c r="AH4178" i="1"/>
  <c r="AE4179" i="1"/>
  <c r="AF4179" i="1" s="1"/>
  <c r="AG4179" i="1"/>
  <c r="AH4179" i="1"/>
  <c r="AE4180" i="1"/>
  <c r="AF4180" i="1" s="1"/>
  <c r="AG4180" i="1"/>
  <c r="AH4180" i="1"/>
  <c r="AE4181" i="1"/>
  <c r="AF4181" i="1" s="1"/>
  <c r="AG4181" i="1"/>
  <c r="AH4181" i="1"/>
  <c r="AE4182" i="1"/>
  <c r="AF4182" i="1" s="1"/>
  <c r="AG4182" i="1"/>
  <c r="AH4182" i="1"/>
  <c r="AE4183" i="1"/>
  <c r="AF4183" i="1" s="1"/>
  <c r="AG4183" i="1"/>
  <c r="AH4183" i="1"/>
  <c r="AE4184" i="1"/>
  <c r="AF4184" i="1" s="1"/>
  <c r="AG4184" i="1"/>
  <c r="AH4184" i="1"/>
  <c r="AE4185" i="1"/>
  <c r="AF4185" i="1" s="1"/>
  <c r="AG4185" i="1"/>
  <c r="AH4185" i="1"/>
  <c r="AE4186" i="1"/>
  <c r="AF4186" i="1" s="1"/>
  <c r="AG4186" i="1"/>
  <c r="AH4186" i="1"/>
  <c r="AE4187" i="1"/>
  <c r="AF4187" i="1" s="1"/>
  <c r="AG4187" i="1"/>
  <c r="AH4187" i="1"/>
  <c r="AE4188" i="1"/>
  <c r="AF4188" i="1" s="1"/>
  <c r="AG4188" i="1"/>
  <c r="AH4188" i="1"/>
  <c r="AE4189" i="1"/>
  <c r="AF4189" i="1" s="1"/>
  <c r="AG4189" i="1"/>
  <c r="AH4189" i="1"/>
  <c r="AE4190" i="1"/>
  <c r="AF4190" i="1" s="1"/>
  <c r="AG4190" i="1"/>
  <c r="AH4190" i="1"/>
  <c r="AE4191" i="1"/>
  <c r="AF4191" i="1" s="1"/>
  <c r="AG4191" i="1"/>
  <c r="AH4191" i="1"/>
  <c r="AE4192" i="1"/>
  <c r="AF4192" i="1" s="1"/>
  <c r="AG4192" i="1"/>
  <c r="AH4192" i="1"/>
  <c r="AE4193" i="1"/>
  <c r="AF4193" i="1" s="1"/>
  <c r="AG4193" i="1"/>
  <c r="AH4193" i="1"/>
  <c r="AE4194" i="1"/>
  <c r="AF4194" i="1" s="1"/>
  <c r="AG4194" i="1"/>
  <c r="AH4194" i="1"/>
  <c r="AE4195" i="1"/>
  <c r="AF4195" i="1" s="1"/>
  <c r="AG4195" i="1"/>
  <c r="AH4195" i="1"/>
  <c r="AE4196" i="1"/>
  <c r="AF4196" i="1" s="1"/>
  <c r="AG4196" i="1"/>
  <c r="AH4196" i="1"/>
  <c r="AE4197" i="1"/>
  <c r="AF4197" i="1" s="1"/>
  <c r="AG4197" i="1"/>
  <c r="AH4197" i="1"/>
  <c r="AE4198" i="1"/>
  <c r="AF4198" i="1" s="1"/>
  <c r="AG4198" i="1"/>
  <c r="AH4198" i="1"/>
  <c r="AE4199" i="1"/>
  <c r="AF4199" i="1" s="1"/>
  <c r="AG4199" i="1"/>
  <c r="AH4199" i="1"/>
  <c r="AE4200" i="1"/>
  <c r="AF4200" i="1" s="1"/>
  <c r="AG4200" i="1"/>
  <c r="AH4200" i="1"/>
  <c r="AE4201" i="1"/>
  <c r="AF4201" i="1" s="1"/>
  <c r="AG4201" i="1"/>
  <c r="AH4201" i="1"/>
  <c r="AE4202" i="1"/>
  <c r="AF4202" i="1" s="1"/>
  <c r="AG4202" i="1"/>
  <c r="AH4202" i="1"/>
  <c r="AE4203" i="1"/>
  <c r="AF4203" i="1" s="1"/>
  <c r="AG4203" i="1"/>
  <c r="AH4203" i="1"/>
  <c r="AE4204" i="1"/>
  <c r="AF4204" i="1" s="1"/>
  <c r="AG4204" i="1"/>
  <c r="AH4204" i="1"/>
  <c r="AE4205" i="1"/>
  <c r="AF4205" i="1" s="1"/>
  <c r="AG4205" i="1"/>
  <c r="AH4205" i="1"/>
  <c r="AE4206" i="1"/>
  <c r="AF4206" i="1" s="1"/>
  <c r="AG4206" i="1"/>
  <c r="AH4206" i="1"/>
  <c r="AE4207" i="1"/>
  <c r="AF4207" i="1" s="1"/>
  <c r="AG4207" i="1"/>
  <c r="AH4207" i="1"/>
  <c r="AE4208" i="1"/>
  <c r="AF4208" i="1" s="1"/>
  <c r="AG4208" i="1"/>
  <c r="AH4208" i="1"/>
  <c r="AE4209" i="1"/>
  <c r="AF4209" i="1" s="1"/>
  <c r="AG4209" i="1"/>
  <c r="AH4209" i="1"/>
  <c r="AE4210" i="1"/>
  <c r="AF4210" i="1" s="1"/>
  <c r="AG4210" i="1"/>
  <c r="AH4210" i="1"/>
  <c r="AE4211" i="1"/>
  <c r="AF4211" i="1" s="1"/>
  <c r="AG4211" i="1"/>
  <c r="AH4211" i="1"/>
  <c r="AE4212" i="1"/>
  <c r="AF4212" i="1" s="1"/>
  <c r="AG4212" i="1"/>
  <c r="AH4212" i="1"/>
  <c r="AE4213" i="1"/>
  <c r="AF4213" i="1" s="1"/>
  <c r="AG4213" i="1"/>
  <c r="AH4213" i="1"/>
  <c r="AE4214" i="1"/>
  <c r="AF4214" i="1" s="1"/>
  <c r="AG4214" i="1"/>
  <c r="AH4214" i="1"/>
  <c r="AE4215" i="1"/>
  <c r="AF4215" i="1" s="1"/>
  <c r="AG4215" i="1"/>
  <c r="AH4215" i="1"/>
  <c r="AE4216" i="1"/>
  <c r="AF4216" i="1" s="1"/>
  <c r="AG4216" i="1"/>
  <c r="AH4216" i="1"/>
  <c r="AE4217" i="1"/>
  <c r="AF4217" i="1" s="1"/>
  <c r="AG4217" i="1"/>
  <c r="AH4217" i="1"/>
  <c r="AE4218" i="1"/>
  <c r="AF4218" i="1" s="1"/>
  <c r="AG4218" i="1"/>
  <c r="AH4218" i="1"/>
  <c r="AE4219" i="1"/>
  <c r="AF4219" i="1" s="1"/>
  <c r="AG4219" i="1"/>
  <c r="AH4219" i="1"/>
  <c r="AE4220" i="1"/>
  <c r="AF4220" i="1" s="1"/>
  <c r="AG4220" i="1"/>
  <c r="AH4220" i="1"/>
  <c r="AE4221" i="1"/>
  <c r="AF4221" i="1" s="1"/>
  <c r="AG4221" i="1"/>
  <c r="AH4221" i="1"/>
  <c r="AE4222" i="1"/>
  <c r="AF4222" i="1" s="1"/>
  <c r="AG4222" i="1"/>
  <c r="AH4222" i="1"/>
  <c r="AE4223" i="1"/>
  <c r="AF4223" i="1"/>
  <c r="AG4223" i="1"/>
  <c r="AH4223" i="1"/>
  <c r="AE4224" i="1"/>
  <c r="AF4224" i="1" s="1"/>
  <c r="AG4224" i="1"/>
  <c r="AH4224" i="1"/>
  <c r="AE4225" i="1"/>
  <c r="AF4225" i="1" s="1"/>
  <c r="AG4225" i="1"/>
  <c r="AH4225" i="1"/>
  <c r="AE4226" i="1"/>
  <c r="AF4226" i="1" s="1"/>
  <c r="AG4226" i="1"/>
  <c r="AH4226" i="1"/>
  <c r="AE4227" i="1"/>
  <c r="AF4227" i="1" s="1"/>
  <c r="AG4227" i="1"/>
  <c r="AH4227" i="1"/>
  <c r="AE4228" i="1"/>
  <c r="AF4228" i="1" s="1"/>
  <c r="AG4228" i="1"/>
  <c r="AH4228" i="1"/>
  <c r="AE4229" i="1"/>
  <c r="AF4229" i="1" s="1"/>
  <c r="AG4229" i="1"/>
  <c r="AH4229" i="1"/>
  <c r="AE4230" i="1"/>
  <c r="AF4230" i="1" s="1"/>
  <c r="AG4230" i="1"/>
  <c r="AH4230" i="1"/>
  <c r="AE4231" i="1"/>
  <c r="AF4231" i="1" s="1"/>
  <c r="AG4231" i="1"/>
  <c r="AH4231" i="1"/>
  <c r="AE4232" i="1"/>
  <c r="AF4232" i="1" s="1"/>
  <c r="AG4232" i="1"/>
  <c r="AH4232" i="1"/>
  <c r="AE4233" i="1"/>
  <c r="AF4233" i="1" s="1"/>
  <c r="AG4233" i="1"/>
  <c r="AH4233" i="1"/>
  <c r="AE4234" i="1"/>
  <c r="AF4234" i="1" s="1"/>
  <c r="AG4234" i="1"/>
  <c r="AH4234" i="1"/>
  <c r="AE4235" i="1"/>
  <c r="AF4235" i="1" s="1"/>
  <c r="AG4235" i="1"/>
  <c r="AH4235" i="1"/>
  <c r="AE4236" i="1"/>
  <c r="AF4236" i="1" s="1"/>
  <c r="AG4236" i="1"/>
  <c r="AH4236" i="1"/>
  <c r="AE4237" i="1"/>
  <c r="AF4237" i="1" s="1"/>
  <c r="AG4237" i="1"/>
  <c r="AH4237" i="1"/>
  <c r="AE4238" i="1"/>
  <c r="AF4238" i="1" s="1"/>
  <c r="AG4238" i="1"/>
  <c r="AH4238" i="1"/>
  <c r="AE4239" i="1"/>
  <c r="AF4239" i="1" s="1"/>
  <c r="AG4239" i="1"/>
  <c r="AH4239" i="1"/>
  <c r="AE4240" i="1"/>
  <c r="AF4240" i="1" s="1"/>
  <c r="AG4240" i="1"/>
  <c r="AH4240" i="1"/>
  <c r="AE4241" i="1"/>
  <c r="AF4241" i="1" s="1"/>
  <c r="AG4241" i="1"/>
  <c r="AH4241" i="1"/>
  <c r="AE4242" i="1"/>
  <c r="AF4242" i="1" s="1"/>
  <c r="AG4242" i="1"/>
  <c r="AH4242" i="1"/>
  <c r="AE4243" i="1"/>
  <c r="AF4243" i="1" s="1"/>
  <c r="AG4243" i="1"/>
  <c r="AH4243" i="1"/>
  <c r="AE4244" i="1"/>
  <c r="AF4244" i="1" s="1"/>
  <c r="AG4244" i="1"/>
  <c r="AH4244" i="1"/>
  <c r="AE4245" i="1"/>
  <c r="AF4245" i="1" s="1"/>
  <c r="AG4245" i="1"/>
  <c r="AH4245" i="1"/>
  <c r="AE4246" i="1"/>
  <c r="AF4246" i="1" s="1"/>
  <c r="AG4246" i="1"/>
  <c r="AH4246" i="1"/>
  <c r="AE4247" i="1"/>
  <c r="AF4247" i="1" s="1"/>
  <c r="AG4247" i="1"/>
  <c r="AH4247" i="1"/>
  <c r="AE4248" i="1"/>
  <c r="AF4248" i="1" s="1"/>
  <c r="AG4248" i="1"/>
  <c r="AH4248" i="1"/>
  <c r="AE4249" i="1"/>
  <c r="AF4249" i="1" s="1"/>
  <c r="AG4249" i="1"/>
  <c r="AH4249" i="1"/>
  <c r="AE4250" i="1"/>
  <c r="AF4250" i="1" s="1"/>
  <c r="AG4250" i="1"/>
  <c r="AH4250" i="1"/>
  <c r="AE4251" i="1"/>
  <c r="AF4251" i="1" s="1"/>
  <c r="AG4251" i="1"/>
  <c r="AH4251" i="1"/>
  <c r="AE4252" i="1"/>
  <c r="AF4252" i="1" s="1"/>
  <c r="AG4252" i="1"/>
  <c r="AH4252" i="1"/>
  <c r="AE4253" i="1"/>
  <c r="AF4253" i="1" s="1"/>
  <c r="AG4253" i="1"/>
  <c r="AH4253" i="1"/>
  <c r="AE4254" i="1"/>
  <c r="AF4254" i="1" s="1"/>
  <c r="AG4254" i="1"/>
  <c r="AH4254" i="1"/>
  <c r="AE4255" i="1"/>
  <c r="AF4255" i="1" s="1"/>
  <c r="AG4255" i="1"/>
  <c r="AH4255" i="1"/>
  <c r="AE4256" i="1"/>
  <c r="AF4256" i="1" s="1"/>
  <c r="AG4256" i="1"/>
  <c r="AH4256" i="1"/>
  <c r="AE4257" i="1"/>
  <c r="AF4257" i="1" s="1"/>
  <c r="AG4257" i="1"/>
  <c r="AH4257" i="1"/>
  <c r="AE4258" i="1"/>
  <c r="AF4258" i="1" s="1"/>
  <c r="AG4258" i="1"/>
  <c r="AH4258" i="1"/>
  <c r="AE4259" i="1"/>
  <c r="AF4259" i="1" s="1"/>
  <c r="AG4259" i="1"/>
  <c r="AH4259" i="1"/>
  <c r="AE4260" i="1"/>
  <c r="AF4260" i="1" s="1"/>
  <c r="AG4260" i="1"/>
  <c r="AH4260" i="1"/>
  <c r="AE4261" i="1"/>
  <c r="AF4261" i="1" s="1"/>
  <c r="AG4261" i="1"/>
  <c r="AH4261" i="1"/>
  <c r="AE4262" i="1"/>
  <c r="AF4262" i="1" s="1"/>
  <c r="AG4262" i="1"/>
  <c r="AH4262" i="1"/>
  <c r="AE4263" i="1"/>
  <c r="AF4263" i="1" s="1"/>
  <c r="AG4263" i="1"/>
  <c r="AH4263" i="1"/>
  <c r="AE4264" i="1"/>
  <c r="AF4264" i="1" s="1"/>
  <c r="AG4264" i="1"/>
  <c r="AH4264" i="1"/>
  <c r="AE4265" i="1"/>
  <c r="AF4265" i="1" s="1"/>
  <c r="AG4265" i="1"/>
  <c r="AH4265" i="1"/>
  <c r="AE4266" i="1"/>
  <c r="AF4266" i="1" s="1"/>
  <c r="AG4266" i="1"/>
  <c r="AH4266" i="1"/>
  <c r="AE4267" i="1"/>
  <c r="AF4267" i="1" s="1"/>
  <c r="AG4267" i="1"/>
  <c r="AH4267" i="1"/>
  <c r="AE4268" i="1"/>
  <c r="AF4268" i="1" s="1"/>
  <c r="AG4268" i="1"/>
  <c r="AH4268" i="1"/>
  <c r="AE4269" i="1"/>
  <c r="AF4269" i="1" s="1"/>
  <c r="AG4269" i="1"/>
  <c r="AH4269" i="1"/>
  <c r="AE4270" i="1"/>
  <c r="AF4270" i="1" s="1"/>
  <c r="AG4270" i="1"/>
  <c r="AH4270" i="1"/>
  <c r="AE4271" i="1"/>
  <c r="AF4271" i="1" s="1"/>
  <c r="AG4271" i="1"/>
  <c r="AH4271" i="1"/>
  <c r="AE4272" i="1"/>
  <c r="AF4272" i="1" s="1"/>
  <c r="AG4272" i="1"/>
  <c r="AH4272" i="1"/>
  <c r="AE4273" i="1"/>
  <c r="AF4273" i="1" s="1"/>
  <c r="AG4273" i="1"/>
  <c r="AH4273" i="1"/>
  <c r="AE4274" i="1"/>
  <c r="AF4274" i="1" s="1"/>
  <c r="AG4274" i="1"/>
  <c r="AH4274" i="1"/>
  <c r="AE4275" i="1"/>
  <c r="AF4275" i="1" s="1"/>
  <c r="AG4275" i="1"/>
  <c r="AH4275" i="1"/>
  <c r="AE4276" i="1"/>
  <c r="AF4276" i="1" s="1"/>
  <c r="AG4276" i="1"/>
  <c r="AH4276" i="1"/>
  <c r="AE4277" i="1"/>
  <c r="AF4277" i="1" s="1"/>
  <c r="AG4277" i="1"/>
  <c r="AH4277" i="1"/>
  <c r="AE4278" i="1"/>
  <c r="AF4278" i="1" s="1"/>
  <c r="AG4278" i="1"/>
  <c r="AH4278" i="1"/>
  <c r="AE4279" i="1"/>
  <c r="AF4279" i="1"/>
  <c r="AG4279" i="1"/>
  <c r="AH4279" i="1"/>
  <c r="AE4280" i="1"/>
  <c r="AF4280" i="1" s="1"/>
  <c r="AG4280" i="1"/>
  <c r="AH4280" i="1"/>
  <c r="AE4281" i="1"/>
  <c r="AF4281" i="1" s="1"/>
  <c r="AG4281" i="1"/>
  <c r="AH4281" i="1"/>
  <c r="AE4282" i="1"/>
  <c r="AF4282" i="1" s="1"/>
  <c r="AG4282" i="1"/>
  <c r="AH4282" i="1"/>
  <c r="AE4283" i="1"/>
  <c r="AF4283" i="1" s="1"/>
  <c r="AG4283" i="1"/>
  <c r="AH4283" i="1"/>
  <c r="AE4284" i="1"/>
  <c r="AF4284" i="1" s="1"/>
  <c r="AG4284" i="1"/>
  <c r="AH4284" i="1"/>
  <c r="AE4285" i="1"/>
  <c r="AF4285" i="1" s="1"/>
  <c r="AG4285" i="1"/>
  <c r="AH4285" i="1"/>
  <c r="AE4286" i="1"/>
  <c r="AF4286" i="1" s="1"/>
  <c r="AG4286" i="1"/>
  <c r="AH4286" i="1"/>
  <c r="AE4287" i="1"/>
  <c r="AF4287" i="1" s="1"/>
  <c r="AG4287" i="1"/>
  <c r="AH4287" i="1"/>
  <c r="AE4288" i="1"/>
  <c r="AF4288" i="1" s="1"/>
  <c r="AG4288" i="1"/>
  <c r="AH4288" i="1"/>
  <c r="AE4289" i="1"/>
  <c r="AF4289" i="1" s="1"/>
  <c r="AG4289" i="1"/>
  <c r="AH4289" i="1"/>
  <c r="AE4290" i="1"/>
  <c r="AF4290" i="1" s="1"/>
  <c r="AG4290" i="1"/>
  <c r="AH4290" i="1"/>
  <c r="AE4291" i="1"/>
  <c r="AF4291" i="1" s="1"/>
  <c r="AG4291" i="1"/>
  <c r="AH4291" i="1"/>
  <c r="AE4292" i="1"/>
  <c r="AF4292" i="1" s="1"/>
  <c r="AG4292" i="1"/>
  <c r="AH4292" i="1"/>
  <c r="AE4293" i="1"/>
  <c r="AF4293" i="1" s="1"/>
  <c r="AG4293" i="1"/>
  <c r="AH4293" i="1"/>
  <c r="AE4294" i="1"/>
  <c r="AF4294" i="1" s="1"/>
  <c r="AG4294" i="1"/>
  <c r="AH4294" i="1"/>
  <c r="AE4295" i="1"/>
  <c r="AF4295" i="1" s="1"/>
  <c r="AG4295" i="1"/>
  <c r="AH4295" i="1"/>
  <c r="AE4296" i="1"/>
  <c r="AF4296" i="1" s="1"/>
  <c r="AG4296" i="1"/>
  <c r="AH4296" i="1"/>
  <c r="AE4297" i="1"/>
  <c r="AF4297" i="1" s="1"/>
  <c r="AG4297" i="1"/>
  <c r="AH4297" i="1"/>
  <c r="AE4298" i="1"/>
  <c r="AF4298" i="1" s="1"/>
  <c r="AG4298" i="1"/>
  <c r="AH4298" i="1"/>
  <c r="AE4299" i="1"/>
  <c r="AF4299" i="1" s="1"/>
  <c r="AG4299" i="1"/>
  <c r="AH4299" i="1"/>
  <c r="AE4300" i="1"/>
  <c r="AF4300" i="1" s="1"/>
  <c r="AG4300" i="1"/>
  <c r="AH4300" i="1"/>
  <c r="AE4301" i="1"/>
  <c r="AF4301" i="1" s="1"/>
  <c r="AG4301" i="1"/>
  <c r="AH4301" i="1"/>
  <c r="AE4302" i="1"/>
  <c r="AF4302" i="1" s="1"/>
  <c r="AG4302" i="1"/>
  <c r="AH4302" i="1"/>
  <c r="AE4303" i="1"/>
  <c r="AF4303" i="1" s="1"/>
  <c r="AG4303" i="1"/>
  <c r="AH4303" i="1"/>
  <c r="AE4304" i="1"/>
  <c r="AF4304" i="1" s="1"/>
  <c r="AG4304" i="1"/>
  <c r="AH4304" i="1"/>
  <c r="AE4305" i="1"/>
  <c r="AF4305" i="1" s="1"/>
  <c r="AG4305" i="1"/>
  <c r="AH4305" i="1"/>
  <c r="AE4306" i="1"/>
  <c r="AF4306" i="1" s="1"/>
  <c r="AG4306" i="1"/>
  <c r="AH4306" i="1"/>
  <c r="AE4307" i="1"/>
  <c r="AF4307" i="1" s="1"/>
  <c r="AG4307" i="1"/>
  <c r="AH4307" i="1"/>
  <c r="AE4308" i="1"/>
  <c r="AF4308" i="1" s="1"/>
  <c r="AG4308" i="1"/>
  <c r="AH4308" i="1"/>
  <c r="AE4309" i="1"/>
  <c r="AF4309" i="1" s="1"/>
  <c r="AG4309" i="1"/>
  <c r="AH4309" i="1"/>
  <c r="AE4310" i="1"/>
  <c r="AF4310" i="1" s="1"/>
  <c r="AG4310" i="1"/>
  <c r="AH4310" i="1"/>
  <c r="AE4311" i="1"/>
  <c r="AF4311" i="1" s="1"/>
  <c r="AG4311" i="1"/>
  <c r="AH4311" i="1"/>
  <c r="AE4312" i="1"/>
  <c r="AF4312" i="1" s="1"/>
  <c r="AG4312" i="1"/>
  <c r="AH4312" i="1"/>
  <c r="AE4313" i="1"/>
  <c r="AF4313" i="1" s="1"/>
  <c r="AG4313" i="1"/>
  <c r="AH4313" i="1"/>
  <c r="AE4314" i="1"/>
  <c r="AF4314" i="1" s="1"/>
  <c r="AG4314" i="1"/>
  <c r="AH4314" i="1"/>
  <c r="AE4315" i="1"/>
  <c r="AF4315" i="1" s="1"/>
  <c r="AG4315" i="1"/>
  <c r="AH4315" i="1"/>
  <c r="AE4316" i="1"/>
  <c r="AF4316" i="1"/>
  <c r="AG4316" i="1"/>
  <c r="AH4316" i="1"/>
  <c r="AE4317" i="1"/>
  <c r="AF4317" i="1" s="1"/>
  <c r="AG4317" i="1"/>
  <c r="AH4317" i="1"/>
  <c r="AE4318" i="1"/>
  <c r="AF4318" i="1" s="1"/>
  <c r="AG4318" i="1"/>
  <c r="AH4318" i="1"/>
  <c r="AE4319" i="1"/>
  <c r="AF4319" i="1" s="1"/>
  <c r="AG4319" i="1"/>
  <c r="AH4319" i="1"/>
  <c r="AE4320" i="1"/>
  <c r="AF4320" i="1" s="1"/>
  <c r="AG4320" i="1"/>
  <c r="AH4320" i="1"/>
  <c r="AE4321" i="1"/>
  <c r="AF4321" i="1" s="1"/>
  <c r="AG4321" i="1"/>
  <c r="AH4321" i="1"/>
  <c r="AE4322" i="1"/>
  <c r="AF4322" i="1" s="1"/>
  <c r="AG4322" i="1"/>
  <c r="AH4322" i="1"/>
  <c r="AE4323" i="1"/>
  <c r="AF4323" i="1" s="1"/>
  <c r="AG4323" i="1"/>
  <c r="AH4323" i="1"/>
  <c r="AE4324" i="1"/>
  <c r="AF4324" i="1" s="1"/>
  <c r="AG4324" i="1"/>
  <c r="AH4324" i="1"/>
  <c r="AE4325" i="1"/>
  <c r="AF4325" i="1"/>
  <c r="AG4325" i="1"/>
  <c r="AH4325" i="1"/>
  <c r="AE4326" i="1"/>
  <c r="AF4326" i="1" s="1"/>
  <c r="AG4326" i="1"/>
  <c r="AH4326" i="1"/>
  <c r="AE4327" i="1"/>
  <c r="AF4327" i="1" s="1"/>
  <c r="AG4327" i="1"/>
  <c r="AH4327" i="1"/>
  <c r="AE4328" i="1"/>
  <c r="AF4328" i="1" s="1"/>
  <c r="AG4328" i="1"/>
  <c r="AH4328" i="1"/>
  <c r="AE4329" i="1"/>
  <c r="AF4329" i="1" s="1"/>
  <c r="AG4329" i="1"/>
  <c r="AH4329" i="1"/>
  <c r="AE4330" i="1"/>
  <c r="AF4330" i="1" s="1"/>
  <c r="AG4330" i="1"/>
  <c r="AH4330" i="1"/>
  <c r="AE4331" i="1"/>
  <c r="AF4331" i="1" s="1"/>
  <c r="AG4331" i="1"/>
  <c r="AH4331" i="1"/>
  <c r="AE4332" i="1"/>
  <c r="AF4332" i="1" s="1"/>
  <c r="AG4332" i="1"/>
  <c r="AH4332" i="1"/>
  <c r="AE4333" i="1"/>
  <c r="AF4333" i="1" s="1"/>
  <c r="AG4333" i="1"/>
  <c r="AH4333" i="1"/>
  <c r="AE4334" i="1"/>
  <c r="AF4334" i="1" s="1"/>
  <c r="AG4334" i="1"/>
  <c r="AH4334" i="1"/>
  <c r="AE4335" i="1"/>
  <c r="AF4335" i="1" s="1"/>
  <c r="AG4335" i="1"/>
  <c r="AH4335" i="1"/>
  <c r="AE4336" i="1"/>
  <c r="AF4336" i="1" s="1"/>
  <c r="AG4336" i="1"/>
  <c r="AH4336" i="1"/>
  <c r="AE4337" i="1"/>
  <c r="AF4337" i="1" s="1"/>
  <c r="AG4337" i="1"/>
  <c r="AH4337" i="1"/>
  <c r="AE4338" i="1"/>
  <c r="AF4338" i="1" s="1"/>
  <c r="AG4338" i="1"/>
  <c r="AH4338" i="1"/>
  <c r="AE4339" i="1"/>
  <c r="AF4339" i="1" s="1"/>
  <c r="AG4339" i="1"/>
  <c r="AH4339" i="1"/>
  <c r="AE4340" i="1"/>
  <c r="AF4340" i="1" s="1"/>
  <c r="AG4340" i="1"/>
  <c r="AH4340" i="1"/>
  <c r="AE4341" i="1"/>
  <c r="AF4341" i="1" s="1"/>
  <c r="AG4341" i="1"/>
  <c r="AH4341" i="1"/>
  <c r="AE4342" i="1"/>
  <c r="AF4342" i="1" s="1"/>
  <c r="AG4342" i="1"/>
  <c r="AH4342" i="1"/>
  <c r="AE4343" i="1"/>
  <c r="AF4343" i="1" s="1"/>
  <c r="AG4343" i="1"/>
  <c r="AH4343" i="1"/>
  <c r="AE4344" i="1"/>
  <c r="AF4344" i="1" s="1"/>
  <c r="AG4344" i="1"/>
  <c r="AH4344" i="1"/>
  <c r="AE4345" i="1"/>
  <c r="AF4345" i="1" s="1"/>
  <c r="AG4345" i="1"/>
  <c r="AH4345" i="1"/>
  <c r="AE4346" i="1"/>
  <c r="AF4346" i="1" s="1"/>
  <c r="AG4346" i="1"/>
  <c r="AH4346" i="1"/>
  <c r="AE4347" i="1"/>
  <c r="AF4347" i="1" s="1"/>
  <c r="AG4347" i="1"/>
  <c r="AH4347" i="1"/>
  <c r="AE4348" i="1"/>
  <c r="AF4348" i="1" s="1"/>
  <c r="AG4348" i="1"/>
  <c r="AH4348" i="1"/>
  <c r="AE4349" i="1"/>
  <c r="AF4349" i="1" s="1"/>
  <c r="AG4349" i="1"/>
  <c r="AH4349" i="1"/>
  <c r="AE4350" i="1"/>
  <c r="AF4350" i="1" s="1"/>
  <c r="AG4350" i="1"/>
  <c r="AH4350" i="1"/>
  <c r="AE4351" i="1"/>
  <c r="AF4351" i="1" s="1"/>
  <c r="AG4351" i="1"/>
  <c r="AH4351" i="1"/>
  <c r="AE4352" i="1"/>
  <c r="AF4352" i="1" s="1"/>
  <c r="AG4352" i="1"/>
  <c r="AH4352" i="1"/>
  <c r="AE4353" i="1"/>
  <c r="AF4353" i="1" s="1"/>
  <c r="AG4353" i="1"/>
  <c r="AH4353" i="1"/>
  <c r="AE4354" i="1"/>
  <c r="AF4354" i="1" s="1"/>
  <c r="AG4354" i="1"/>
  <c r="AH4354" i="1"/>
  <c r="AE4355" i="1"/>
  <c r="AF4355" i="1" s="1"/>
  <c r="AG4355" i="1"/>
  <c r="AH4355" i="1"/>
  <c r="AE4356" i="1"/>
  <c r="AF4356" i="1" s="1"/>
  <c r="AG4356" i="1"/>
  <c r="AH4356" i="1"/>
  <c r="AE4357" i="1"/>
  <c r="AF4357" i="1" s="1"/>
  <c r="AG4357" i="1"/>
  <c r="AH4357" i="1"/>
  <c r="AE4358" i="1"/>
  <c r="AF4358" i="1" s="1"/>
  <c r="AG4358" i="1"/>
  <c r="AH4358" i="1"/>
  <c r="AE4359" i="1"/>
  <c r="AF4359" i="1" s="1"/>
  <c r="AG4359" i="1"/>
  <c r="AH4359" i="1"/>
  <c r="AE4360" i="1"/>
  <c r="AF4360" i="1" s="1"/>
  <c r="AG4360" i="1"/>
  <c r="AH4360" i="1"/>
  <c r="AE4361" i="1"/>
  <c r="AF4361" i="1" s="1"/>
  <c r="AG4361" i="1"/>
  <c r="AH4361" i="1"/>
  <c r="AE4362" i="1"/>
  <c r="AF4362" i="1" s="1"/>
  <c r="AG4362" i="1"/>
  <c r="AH4362" i="1"/>
  <c r="AE4363" i="1"/>
  <c r="AF4363" i="1" s="1"/>
  <c r="AG4363" i="1"/>
  <c r="AH4363" i="1"/>
  <c r="AE4364" i="1"/>
  <c r="AF4364" i="1" s="1"/>
  <c r="AG4364" i="1"/>
  <c r="AH4364" i="1"/>
  <c r="AE4365" i="1"/>
  <c r="AF4365" i="1" s="1"/>
  <c r="AG4365" i="1"/>
  <c r="AH4365" i="1"/>
  <c r="AE4366" i="1"/>
  <c r="AF4366" i="1" s="1"/>
  <c r="AG4366" i="1"/>
  <c r="AH4366" i="1"/>
  <c r="AE4367" i="1"/>
  <c r="AF4367" i="1" s="1"/>
  <c r="AG4367" i="1"/>
  <c r="AH4367" i="1"/>
  <c r="AE4368" i="1"/>
  <c r="AF4368" i="1" s="1"/>
  <c r="AG4368" i="1"/>
  <c r="AH4368" i="1"/>
  <c r="AE4369" i="1"/>
  <c r="AF4369" i="1" s="1"/>
  <c r="AG4369" i="1"/>
  <c r="AH4369" i="1"/>
  <c r="AE4370" i="1"/>
  <c r="AF4370" i="1" s="1"/>
  <c r="AG4370" i="1"/>
  <c r="AH4370" i="1"/>
  <c r="AE4371" i="1"/>
  <c r="AF4371" i="1" s="1"/>
  <c r="AG4371" i="1"/>
  <c r="AH4371" i="1"/>
  <c r="AE4372" i="1"/>
  <c r="AF4372" i="1" s="1"/>
  <c r="AG4372" i="1"/>
  <c r="AH4372" i="1"/>
  <c r="AE4373" i="1"/>
  <c r="AF4373" i="1" s="1"/>
  <c r="AG4373" i="1"/>
  <c r="AH4373" i="1"/>
  <c r="AE4374" i="1"/>
  <c r="AF4374" i="1" s="1"/>
  <c r="AG4374" i="1"/>
  <c r="AH4374" i="1"/>
  <c r="AE4375" i="1"/>
  <c r="AF4375" i="1" s="1"/>
  <c r="AG4375" i="1"/>
  <c r="AH4375" i="1"/>
  <c r="AE4376" i="1"/>
  <c r="AF4376" i="1" s="1"/>
  <c r="AG4376" i="1"/>
  <c r="AH4376" i="1"/>
  <c r="AE4377" i="1"/>
  <c r="AF4377" i="1" s="1"/>
  <c r="AG4377" i="1"/>
  <c r="AH4377" i="1"/>
  <c r="AE4378" i="1"/>
  <c r="AF4378" i="1" s="1"/>
  <c r="AG4378" i="1"/>
  <c r="AH4378" i="1"/>
  <c r="AE4379" i="1"/>
  <c r="AF4379" i="1" s="1"/>
  <c r="AG4379" i="1"/>
  <c r="AH4379" i="1"/>
  <c r="AE4380" i="1"/>
  <c r="AF4380" i="1" s="1"/>
  <c r="AG4380" i="1"/>
  <c r="AH4380" i="1"/>
  <c r="AE4381" i="1"/>
  <c r="AF4381" i="1" s="1"/>
  <c r="AG4381" i="1"/>
  <c r="AH4381" i="1"/>
  <c r="AE4382" i="1"/>
  <c r="AF4382" i="1" s="1"/>
  <c r="AG4382" i="1"/>
  <c r="AH4382" i="1"/>
  <c r="AE4383" i="1"/>
  <c r="AF4383" i="1" s="1"/>
  <c r="AG4383" i="1"/>
  <c r="AH4383" i="1"/>
  <c r="AE4384" i="1"/>
  <c r="AF4384" i="1" s="1"/>
  <c r="AG4384" i="1"/>
  <c r="AH4384" i="1"/>
  <c r="AE4385" i="1"/>
  <c r="AF4385" i="1" s="1"/>
  <c r="AG4385" i="1"/>
  <c r="AH4385" i="1"/>
  <c r="AE4386" i="1"/>
  <c r="AF4386" i="1" s="1"/>
  <c r="AG4386" i="1"/>
  <c r="AH4386" i="1"/>
  <c r="AE4387" i="1"/>
  <c r="AF4387" i="1" s="1"/>
  <c r="AG4387" i="1"/>
  <c r="AH4387" i="1"/>
  <c r="AE4388" i="1"/>
  <c r="AF4388" i="1" s="1"/>
  <c r="AG4388" i="1"/>
  <c r="AH4388" i="1"/>
  <c r="AE4389" i="1"/>
  <c r="AF4389" i="1" s="1"/>
  <c r="AG4389" i="1"/>
  <c r="AH4389" i="1"/>
  <c r="AE4390" i="1"/>
  <c r="AF4390" i="1" s="1"/>
  <c r="AG4390" i="1"/>
  <c r="AH4390" i="1"/>
  <c r="AE4391" i="1"/>
  <c r="AF4391" i="1" s="1"/>
  <c r="AG4391" i="1"/>
  <c r="AH4391" i="1"/>
  <c r="AE4392" i="1"/>
  <c r="AF4392" i="1" s="1"/>
  <c r="AG4392" i="1"/>
  <c r="AH4392" i="1"/>
  <c r="AE4393" i="1"/>
  <c r="AF4393" i="1" s="1"/>
  <c r="AG4393" i="1"/>
  <c r="AH4393" i="1"/>
  <c r="AE4394" i="1"/>
  <c r="AF4394" i="1" s="1"/>
  <c r="AG4394" i="1"/>
  <c r="AH4394" i="1"/>
  <c r="AE4395" i="1"/>
  <c r="AF4395" i="1" s="1"/>
  <c r="AG4395" i="1"/>
  <c r="AH4395" i="1"/>
  <c r="AE4396" i="1"/>
  <c r="AF4396" i="1" s="1"/>
  <c r="AG4396" i="1"/>
  <c r="AH4396" i="1"/>
  <c r="AE4397" i="1"/>
  <c r="AF4397" i="1" s="1"/>
  <c r="AG4397" i="1"/>
  <c r="AH4397" i="1"/>
  <c r="AE4398" i="1"/>
  <c r="AF4398" i="1" s="1"/>
  <c r="AG4398" i="1"/>
  <c r="AH4398" i="1"/>
  <c r="AE4399" i="1"/>
  <c r="AF4399" i="1" s="1"/>
  <c r="AG4399" i="1"/>
  <c r="AH4399" i="1"/>
  <c r="AE4400" i="1"/>
  <c r="AF4400" i="1" s="1"/>
  <c r="AG4400" i="1"/>
  <c r="AH4400" i="1"/>
  <c r="AE4401" i="1"/>
  <c r="AF4401" i="1" s="1"/>
  <c r="AG4401" i="1"/>
  <c r="AH4401" i="1"/>
  <c r="AE4402" i="1"/>
  <c r="AF4402" i="1" s="1"/>
  <c r="AG4402" i="1"/>
  <c r="AH4402" i="1"/>
  <c r="AE4403" i="1"/>
  <c r="AF4403" i="1" s="1"/>
  <c r="AG4403" i="1"/>
  <c r="AH4403" i="1"/>
  <c r="AE4404" i="1"/>
  <c r="AF4404" i="1" s="1"/>
  <c r="AG4404" i="1"/>
  <c r="AH4404" i="1"/>
  <c r="AE4405" i="1"/>
  <c r="AF4405" i="1" s="1"/>
  <c r="AG4405" i="1"/>
  <c r="AH4405" i="1"/>
  <c r="AE4406" i="1"/>
  <c r="AF4406" i="1" s="1"/>
  <c r="AG4406" i="1"/>
  <c r="AH4406" i="1"/>
  <c r="AE4407" i="1"/>
  <c r="AF4407" i="1" s="1"/>
  <c r="AG4407" i="1"/>
  <c r="AH4407" i="1"/>
  <c r="AE4408" i="1"/>
  <c r="AF4408" i="1" s="1"/>
  <c r="AG4408" i="1"/>
  <c r="AH4408" i="1"/>
  <c r="AE4409" i="1"/>
  <c r="AF4409" i="1" s="1"/>
  <c r="AG4409" i="1"/>
  <c r="AH4409" i="1"/>
  <c r="AE4410" i="1"/>
  <c r="AF4410" i="1" s="1"/>
  <c r="AG4410" i="1"/>
  <c r="AH4410" i="1"/>
  <c r="AE4411" i="1"/>
  <c r="AF4411" i="1" s="1"/>
  <c r="AG4411" i="1"/>
  <c r="AH4411" i="1"/>
  <c r="AE4412" i="1"/>
  <c r="AF4412" i="1" s="1"/>
  <c r="AG4412" i="1"/>
  <c r="AH4412" i="1"/>
  <c r="AE4413" i="1"/>
  <c r="AF4413" i="1" s="1"/>
  <c r="AG4413" i="1"/>
  <c r="AH4413" i="1"/>
  <c r="AE4414" i="1"/>
  <c r="AF4414" i="1" s="1"/>
  <c r="AG4414" i="1"/>
  <c r="AH4414" i="1"/>
  <c r="AE4415" i="1"/>
  <c r="AF4415" i="1" s="1"/>
  <c r="AG4415" i="1"/>
  <c r="AH4415" i="1"/>
  <c r="AE4416" i="1"/>
  <c r="AF4416" i="1" s="1"/>
  <c r="AG4416" i="1"/>
  <c r="AH4416" i="1"/>
  <c r="AE4417" i="1"/>
  <c r="AF4417" i="1" s="1"/>
  <c r="AG4417" i="1"/>
  <c r="AH4417" i="1"/>
  <c r="AE4418" i="1"/>
  <c r="AF4418" i="1" s="1"/>
  <c r="AG4418" i="1"/>
  <c r="AH4418" i="1"/>
  <c r="AE4419" i="1"/>
  <c r="AF4419" i="1" s="1"/>
  <c r="AG4419" i="1"/>
  <c r="AH4419" i="1"/>
  <c r="AE4420" i="1"/>
  <c r="AF4420" i="1" s="1"/>
  <c r="AG4420" i="1"/>
  <c r="AH4420" i="1"/>
  <c r="AE4421" i="1"/>
  <c r="AF4421" i="1" s="1"/>
  <c r="AG4421" i="1"/>
  <c r="AH4421" i="1"/>
  <c r="AE4422" i="1"/>
  <c r="AF4422" i="1" s="1"/>
  <c r="AG4422" i="1"/>
  <c r="AH4422" i="1"/>
  <c r="AE4423" i="1"/>
  <c r="AF4423" i="1" s="1"/>
  <c r="AG4423" i="1"/>
  <c r="AH4423" i="1"/>
  <c r="AE4424" i="1"/>
  <c r="AF4424" i="1" s="1"/>
  <c r="AG4424" i="1"/>
  <c r="AH4424" i="1"/>
  <c r="AE4425" i="1"/>
  <c r="AF4425" i="1" s="1"/>
  <c r="AG4425" i="1"/>
  <c r="AH4425" i="1"/>
  <c r="AE4426" i="1"/>
  <c r="AF4426" i="1" s="1"/>
  <c r="AG4426" i="1"/>
  <c r="AH4426" i="1"/>
  <c r="AE4427" i="1"/>
  <c r="AF4427" i="1" s="1"/>
  <c r="AG4427" i="1"/>
  <c r="AH4427" i="1"/>
  <c r="AE4428" i="1"/>
  <c r="AF4428" i="1" s="1"/>
  <c r="AG4428" i="1"/>
  <c r="AH4428" i="1"/>
  <c r="AE4429" i="1"/>
  <c r="AF4429" i="1"/>
  <c r="AG4429" i="1"/>
  <c r="AH4429" i="1"/>
  <c r="AE4430" i="1"/>
  <c r="AF4430" i="1" s="1"/>
  <c r="AG4430" i="1"/>
  <c r="AH4430" i="1"/>
  <c r="AE4431" i="1"/>
  <c r="AF4431" i="1" s="1"/>
  <c r="AG4431" i="1"/>
  <c r="AH4431" i="1"/>
  <c r="AE4432" i="1"/>
  <c r="AF4432" i="1" s="1"/>
  <c r="AG4432" i="1"/>
  <c r="AH4432" i="1"/>
  <c r="AE4433" i="1"/>
  <c r="AF4433" i="1" s="1"/>
  <c r="AG4433" i="1"/>
  <c r="AH4433" i="1"/>
  <c r="AE4434" i="1"/>
  <c r="AF4434" i="1" s="1"/>
  <c r="AG4434" i="1"/>
  <c r="AH4434" i="1"/>
  <c r="AE4435" i="1"/>
  <c r="AF4435" i="1" s="1"/>
  <c r="AG4435" i="1"/>
  <c r="AH4435" i="1"/>
  <c r="AE4436" i="1"/>
  <c r="AF4436" i="1" s="1"/>
  <c r="AG4436" i="1"/>
  <c r="AH4436" i="1"/>
  <c r="AE4437" i="1"/>
  <c r="AF4437" i="1" s="1"/>
  <c r="AG4437" i="1"/>
  <c r="AH4437" i="1"/>
  <c r="AE4438" i="1"/>
  <c r="AF4438" i="1" s="1"/>
  <c r="AG4438" i="1"/>
  <c r="AH4438" i="1"/>
  <c r="AE4439" i="1"/>
  <c r="AF4439" i="1" s="1"/>
  <c r="AG4439" i="1"/>
  <c r="AH4439" i="1"/>
  <c r="AE4440" i="1"/>
  <c r="AF4440" i="1" s="1"/>
  <c r="AG4440" i="1"/>
  <c r="AH4440" i="1"/>
  <c r="AE4441" i="1"/>
  <c r="AF4441" i="1" s="1"/>
  <c r="AG4441" i="1"/>
  <c r="AH4441" i="1"/>
  <c r="AE4442" i="1"/>
  <c r="AF4442" i="1" s="1"/>
  <c r="AG4442" i="1"/>
  <c r="AH4442" i="1"/>
  <c r="AE4443" i="1"/>
  <c r="AF4443" i="1" s="1"/>
  <c r="AG4443" i="1"/>
  <c r="AH4443" i="1"/>
  <c r="AE4444" i="1"/>
  <c r="AF4444" i="1" s="1"/>
  <c r="AG4444" i="1"/>
  <c r="AH4444" i="1"/>
  <c r="AE4445" i="1"/>
  <c r="AF4445" i="1" s="1"/>
  <c r="AG4445" i="1"/>
  <c r="AH4445" i="1"/>
  <c r="AE4446" i="1"/>
  <c r="AF4446" i="1" s="1"/>
  <c r="AG4446" i="1"/>
  <c r="AH4446" i="1"/>
  <c r="AE4447" i="1"/>
  <c r="AF4447" i="1" s="1"/>
  <c r="AG4447" i="1"/>
  <c r="AH4447" i="1"/>
  <c r="AE4448" i="1"/>
  <c r="AF4448" i="1" s="1"/>
  <c r="AG4448" i="1"/>
  <c r="AH4448" i="1"/>
  <c r="AE4449" i="1"/>
  <c r="AF4449" i="1" s="1"/>
  <c r="AG4449" i="1"/>
  <c r="AH4449" i="1"/>
  <c r="AE4450" i="1"/>
  <c r="AF4450" i="1" s="1"/>
  <c r="AG4450" i="1"/>
  <c r="AH4450" i="1"/>
  <c r="AE4451" i="1"/>
  <c r="AF4451" i="1" s="1"/>
  <c r="AG4451" i="1"/>
  <c r="AH4451" i="1"/>
  <c r="AE4452" i="1"/>
  <c r="AF4452" i="1" s="1"/>
  <c r="AG4452" i="1"/>
  <c r="AH4452" i="1"/>
  <c r="AE4453" i="1"/>
  <c r="AF4453" i="1" s="1"/>
  <c r="AG4453" i="1"/>
  <c r="AH4453" i="1"/>
  <c r="AE4454" i="1"/>
  <c r="AF4454" i="1" s="1"/>
  <c r="AG4454" i="1"/>
  <c r="AH4454" i="1"/>
  <c r="AE4455" i="1"/>
  <c r="AF4455" i="1" s="1"/>
  <c r="AG4455" i="1"/>
  <c r="AH4455" i="1"/>
  <c r="AE4456" i="1"/>
  <c r="AF4456" i="1" s="1"/>
  <c r="AG4456" i="1"/>
  <c r="AH4456" i="1"/>
  <c r="AE4457" i="1"/>
  <c r="AF4457" i="1" s="1"/>
  <c r="AG4457" i="1"/>
  <c r="AH4457" i="1"/>
  <c r="AE4458" i="1"/>
  <c r="AF4458" i="1" s="1"/>
  <c r="AG4458" i="1"/>
  <c r="AH4458" i="1"/>
  <c r="AE4459" i="1"/>
  <c r="AF4459" i="1" s="1"/>
  <c r="AG4459" i="1"/>
  <c r="AH4459" i="1"/>
  <c r="AE4460" i="1"/>
  <c r="AF4460" i="1" s="1"/>
  <c r="AG4460" i="1"/>
  <c r="AH4460" i="1"/>
  <c r="AE4461" i="1"/>
  <c r="AF4461" i="1" s="1"/>
  <c r="AG4461" i="1"/>
  <c r="AH4461" i="1"/>
  <c r="AE4462" i="1"/>
  <c r="AF4462" i="1" s="1"/>
  <c r="AG4462" i="1"/>
  <c r="AH4462" i="1"/>
  <c r="AE4463" i="1"/>
  <c r="AF4463" i="1" s="1"/>
  <c r="AG4463" i="1"/>
  <c r="AH4463" i="1"/>
  <c r="AE4464" i="1"/>
  <c r="AF4464" i="1" s="1"/>
  <c r="AG4464" i="1"/>
  <c r="AH4464" i="1"/>
  <c r="AE4465" i="1"/>
  <c r="AF4465" i="1" s="1"/>
  <c r="AG4465" i="1"/>
  <c r="AH4465" i="1"/>
  <c r="AE4466" i="1"/>
  <c r="AF4466" i="1" s="1"/>
  <c r="AG4466" i="1"/>
  <c r="AH4466" i="1"/>
  <c r="AE4467" i="1"/>
  <c r="AF4467" i="1" s="1"/>
  <c r="AG4467" i="1"/>
  <c r="AH4467" i="1"/>
  <c r="AE4468" i="1"/>
  <c r="AF4468" i="1" s="1"/>
  <c r="AG4468" i="1"/>
  <c r="AH4468" i="1"/>
  <c r="AE4469" i="1"/>
  <c r="AF4469" i="1" s="1"/>
  <c r="AG4469" i="1"/>
  <c r="AH4469" i="1"/>
  <c r="AE4470" i="1"/>
  <c r="AF4470" i="1" s="1"/>
  <c r="AG4470" i="1"/>
  <c r="AH4470" i="1"/>
  <c r="AE4471" i="1"/>
  <c r="AF4471" i="1" s="1"/>
  <c r="AG4471" i="1"/>
  <c r="AH4471" i="1"/>
  <c r="AE4472" i="1"/>
  <c r="AF4472" i="1" s="1"/>
  <c r="AG4472" i="1"/>
  <c r="AH4472" i="1"/>
  <c r="AE4473" i="1"/>
  <c r="AF4473" i="1" s="1"/>
  <c r="AG4473" i="1"/>
  <c r="AH4473" i="1"/>
  <c r="AE4474" i="1"/>
  <c r="AF4474" i="1" s="1"/>
  <c r="AG4474" i="1"/>
  <c r="AH4474" i="1"/>
  <c r="AE4475" i="1"/>
  <c r="AF4475" i="1" s="1"/>
  <c r="AG4475" i="1"/>
  <c r="AH4475" i="1"/>
  <c r="AE4476" i="1"/>
  <c r="AF4476" i="1" s="1"/>
  <c r="AG4476" i="1"/>
  <c r="AH4476" i="1"/>
  <c r="AE4477" i="1"/>
  <c r="AF4477" i="1" s="1"/>
  <c r="AG4477" i="1"/>
  <c r="AH4477" i="1"/>
  <c r="AE4478" i="1"/>
  <c r="AF4478" i="1" s="1"/>
  <c r="AG4478" i="1"/>
  <c r="AH4478" i="1"/>
  <c r="AE4479" i="1"/>
  <c r="AF4479" i="1" s="1"/>
  <c r="AG4479" i="1"/>
  <c r="AH4479" i="1"/>
  <c r="AE4480" i="1"/>
  <c r="AF4480" i="1" s="1"/>
  <c r="AG4480" i="1"/>
  <c r="AH4480" i="1"/>
  <c r="AE4481" i="1"/>
  <c r="AF4481" i="1" s="1"/>
  <c r="AG4481" i="1"/>
  <c r="AH4481" i="1"/>
  <c r="AE4482" i="1"/>
  <c r="AF4482" i="1" s="1"/>
  <c r="AG4482" i="1"/>
  <c r="AH4482" i="1"/>
  <c r="AE4483" i="1"/>
  <c r="AF4483" i="1" s="1"/>
  <c r="AG4483" i="1"/>
  <c r="AH4483" i="1"/>
  <c r="AE4484" i="1"/>
  <c r="AF4484" i="1" s="1"/>
  <c r="AG4484" i="1"/>
  <c r="AH4484" i="1"/>
  <c r="AE4485" i="1"/>
  <c r="AF4485" i="1" s="1"/>
  <c r="AG4485" i="1"/>
  <c r="AH4485" i="1"/>
  <c r="AE4486" i="1"/>
  <c r="AF4486" i="1" s="1"/>
  <c r="AG4486" i="1"/>
  <c r="AH4486" i="1"/>
  <c r="AE4487" i="1"/>
  <c r="AF4487" i="1" s="1"/>
  <c r="AG4487" i="1"/>
  <c r="AH4487" i="1"/>
  <c r="AE4488" i="1"/>
  <c r="AF4488" i="1" s="1"/>
  <c r="AG4488" i="1"/>
  <c r="AH4488" i="1"/>
  <c r="AE4489" i="1"/>
  <c r="AF4489" i="1" s="1"/>
  <c r="AG4489" i="1"/>
  <c r="AH4489" i="1"/>
  <c r="AE4490" i="1"/>
  <c r="AF4490" i="1" s="1"/>
  <c r="AG4490" i="1"/>
  <c r="AH4490" i="1"/>
  <c r="AE4491" i="1"/>
  <c r="AF4491" i="1" s="1"/>
  <c r="AG4491" i="1"/>
  <c r="AH4491" i="1"/>
  <c r="AE4492" i="1"/>
  <c r="AF4492" i="1" s="1"/>
  <c r="AG4492" i="1"/>
  <c r="AH4492" i="1"/>
  <c r="AE4493" i="1"/>
  <c r="AF4493" i="1" s="1"/>
  <c r="AG4493" i="1"/>
  <c r="AH4493" i="1"/>
  <c r="AE4494" i="1"/>
  <c r="AF4494" i="1" s="1"/>
  <c r="AG4494" i="1"/>
  <c r="AH4494" i="1"/>
  <c r="AE4495" i="1"/>
  <c r="AF4495" i="1" s="1"/>
  <c r="AG4495" i="1"/>
  <c r="AH4495" i="1"/>
  <c r="AE4496" i="1"/>
  <c r="AF4496" i="1" s="1"/>
  <c r="AG4496" i="1"/>
  <c r="AH4496" i="1"/>
  <c r="AE4497" i="1"/>
  <c r="AF4497" i="1" s="1"/>
  <c r="AG4497" i="1"/>
  <c r="AH4497" i="1"/>
  <c r="AE4498" i="1"/>
  <c r="AF4498" i="1" s="1"/>
  <c r="AG4498" i="1"/>
  <c r="AH4498" i="1"/>
  <c r="AE4499" i="1"/>
  <c r="AF4499" i="1" s="1"/>
  <c r="AG4499" i="1"/>
  <c r="AH4499" i="1"/>
  <c r="AE4500" i="1"/>
  <c r="AF4500" i="1" s="1"/>
  <c r="AG4500" i="1"/>
  <c r="AH4500" i="1"/>
  <c r="AE4501" i="1"/>
  <c r="AF4501" i="1" s="1"/>
  <c r="AG4501" i="1"/>
  <c r="AH4501" i="1"/>
  <c r="AE4502" i="1"/>
  <c r="AF4502" i="1" s="1"/>
  <c r="AG4502" i="1"/>
  <c r="AH4502" i="1"/>
  <c r="AE4503" i="1"/>
  <c r="AF4503" i="1" s="1"/>
  <c r="AG4503" i="1"/>
  <c r="AH4503" i="1"/>
  <c r="AE4504" i="1"/>
  <c r="AF4504" i="1" s="1"/>
  <c r="AG4504" i="1"/>
  <c r="AH4504" i="1"/>
  <c r="AE4505" i="1"/>
  <c r="AF4505" i="1" s="1"/>
  <c r="AG4505" i="1"/>
  <c r="AH4505" i="1"/>
  <c r="AE4506" i="1"/>
  <c r="AF4506" i="1" s="1"/>
  <c r="AG4506" i="1"/>
  <c r="AH4506" i="1"/>
  <c r="AE4507" i="1"/>
  <c r="AF4507" i="1" s="1"/>
  <c r="AG4507" i="1"/>
  <c r="AH4507" i="1"/>
  <c r="AE4508" i="1"/>
  <c r="AF4508" i="1" s="1"/>
  <c r="AG4508" i="1"/>
  <c r="AH4508" i="1"/>
  <c r="AE4509" i="1"/>
  <c r="AF4509" i="1" s="1"/>
  <c r="AG4509" i="1"/>
  <c r="AH4509" i="1"/>
  <c r="AE4510" i="1"/>
  <c r="AF4510" i="1" s="1"/>
  <c r="AG4510" i="1"/>
  <c r="AH4510" i="1"/>
  <c r="AE4511" i="1"/>
  <c r="AF4511" i="1" s="1"/>
  <c r="AG4511" i="1"/>
  <c r="AH4511" i="1"/>
  <c r="AE4512" i="1"/>
  <c r="AF4512" i="1" s="1"/>
  <c r="AG4512" i="1"/>
  <c r="AH4512" i="1"/>
  <c r="AE4513" i="1"/>
  <c r="AF4513" i="1" s="1"/>
  <c r="AG4513" i="1"/>
  <c r="AH4513" i="1"/>
  <c r="AE4514" i="1"/>
  <c r="AF4514" i="1" s="1"/>
  <c r="AG4514" i="1"/>
  <c r="AH4514" i="1"/>
  <c r="AE4515" i="1"/>
  <c r="AF4515" i="1" s="1"/>
  <c r="AG4515" i="1"/>
  <c r="AH4515" i="1"/>
  <c r="AE4516" i="1"/>
  <c r="AF4516" i="1" s="1"/>
  <c r="AG4516" i="1"/>
  <c r="AH4516" i="1"/>
  <c r="AE4517" i="1"/>
  <c r="AF4517" i="1" s="1"/>
  <c r="AG4517" i="1"/>
  <c r="AH4517" i="1"/>
  <c r="AE4518" i="1"/>
  <c r="AF4518" i="1" s="1"/>
  <c r="AG4518" i="1"/>
  <c r="AH4518" i="1"/>
  <c r="AE4519" i="1"/>
  <c r="AF4519" i="1" s="1"/>
  <c r="AG4519" i="1"/>
  <c r="AH4519" i="1"/>
  <c r="AE4520" i="1"/>
  <c r="AF4520" i="1" s="1"/>
  <c r="AG4520" i="1"/>
  <c r="AH4520" i="1"/>
  <c r="AE4521" i="1"/>
  <c r="AF4521" i="1" s="1"/>
  <c r="AG4521" i="1"/>
  <c r="AH4521" i="1"/>
  <c r="AE4522" i="1"/>
  <c r="AF4522" i="1" s="1"/>
  <c r="AG4522" i="1"/>
  <c r="AH4522" i="1"/>
  <c r="AE4523" i="1"/>
  <c r="AF4523" i="1" s="1"/>
  <c r="AG4523" i="1"/>
  <c r="AH4523" i="1"/>
  <c r="AE4524" i="1"/>
  <c r="AF4524" i="1" s="1"/>
  <c r="AG4524" i="1"/>
  <c r="AH4524" i="1"/>
  <c r="AE4525" i="1"/>
  <c r="AF4525" i="1" s="1"/>
  <c r="AG4525" i="1"/>
  <c r="AH4525" i="1"/>
  <c r="AE4526" i="1"/>
  <c r="AF4526" i="1" s="1"/>
  <c r="AG4526" i="1"/>
  <c r="AH4526" i="1"/>
  <c r="AE4527" i="1"/>
  <c r="AF4527" i="1" s="1"/>
  <c r="AG4527" i="1"/>
  <c r="AH4527" i="1"/>
  <c r="AE4528" i="1"/>
  <c r="AF4528" i="1" s="1"/>
  <c r="AG4528" i="1"/>
  <c r="AH4528" i="1"/>
  <c r="AE4529" i="1"/>
  <c r="AF4529" i="1" s="1"/>
  <c r="AG4529" i="1"/>
  <c r="AH4529" i="1"/>
  <c r="AE4530" i="1"/>
  <c r="AF4530" i="1" s="1"/>
  <c r="AG4530" i="1"/>
  <c r="AH4530" i="1"/>
  <c r="AE4531" i="1"/>
  <c r="AF4531" i="1" s="1"/>
  <c r="AG4531" i="1"/>
  <c r="AH4531" i="1"/>
  <c r="AE4532" i="1"/>
  <c r="AF4532" i="1" s="1"/>
  <c r="AG4532" i="1"/>
  <c r="AH4532" i="1"/>
  <c r="AE4533" i="1"/>
  <c r="AF4533" i="1" s="1"/>
  <c r="AG4533" i="1"/>
  <c r="AH4533" i="1"/>
  <c r="AE4534" i="1"/>
  <c r="AF4534" i="1" s="1"/>
  <c r="AG4534" i="1"/>
  <c r="AH4534" i="1"/>
  <c r="AE4535" i="1"/>
  <c r="AF4535" i="1" s="1"/>
  <c r="AG4535" i="1"/>
  <c r="AH4535" i="1"/>
  <c r="AE4536" i="1"/>
  <c r="AF4536" i="1" s="1"/>
  <c r="AG4536" i="1"/>
  <c r="AH4536" i="1"/>
  <c r="AE4537" i="1"/>
  <c r="AF4537" i="1" s="1"/>
  <c r="AG4537" i="1"/>
  <c r="AH4537" i="1"/>
  <c r="AE4538" i="1"/>
  <c r="AF4538" i="1" s="1"/>
  <c r="AG4538" i="1"/>
  <c r="AH4538" i="1"/>
  <c r="AE4539" i="1"/>
  <c r="AF4539" i="1" s="1"/>
  <c r="AG4539" i="1"/>
  <c r="AH4539" i="1"/>
  <c r="AE4540" i="1"/>
  <c r="AF4540" i="1" s="1"/>
  <c r="AG4540" i="1"/>
  <c r="AH4540" i="1"/>
  <c r="AE4541" i="1"/>
  <c r="AF4541" i="1" s="1"/>
  <c r="AG4541" i="1"/>
  <c r="AH4541" i="1"/>
  <c r="AE4542" i="1"/>
  <c r="AF4542" i="1" s="1"/>
  <c r="AG4542" i="1"/>
  <c r="AH4542" i="1"/>
  <c r="AE4543" i="1"/>
  <c r="AF4543" i="1" s="1"/>
  <c r="AG4543" i="1"/>
  <c r="AH4543" i="1"/>
  <c r="AE4544" i="1"/>
  <c r="AF4544" i="1" s="1"/>
  <c r="AG4544" i="1"/>
  <c r="AH4544" i="1"/>
  <c r="AE4545" i="1"/>
  <c r="AF4545" i="1" s="1"/>
  <c r="AG4545" i="1"/>
  <c r="AH4545" i="1"/>
  <c r="AE4546" i="1"/>
  <c r="AF4546" i="1" s="1"/>
  <c r="AG4546" i="1"/>
  <c r="AH4546" i="1"/>
  <c r="AE4547" i="1"/>
  <c r="AF4547" i="1" s="1"/>
  <c r="AG4547" i="1"/>
  <c r="AH4547" i="1"/>
  <c r="AE4548" i="1"/>
  <c r="AF4548" i="1" s="1"/>
  <c r="AG4548" i="1"/>
  <c r="AH4548" i="1"/>
  <c r="AE4549" i="1"/>
  <c r="AF4549" i="1" s="1"/>
  <c r="AG4549" i="1"/>
  <c r="AH4549" i="1"/>
  <c r="AE4550" i="1"/>
  <c r="AF4550" i="1" s="1"/>
  <c r="AG4550" i="1"/>
  <c r="AH4550" i="1"/>
  <c r="AE4551" i="1"/>
  <c r="AF4551" i="1" s="1"/>
  <c r="AG4551" i="1"/>
  <c r="AH4551" i="1"/>
  <c r="AE4552" i="1"/>
  <c r="AF4552" i="1" s="1"/>
  <c r="AG4552" i="1"/>
  <c r="AH4552" i="1"/>
  <c r="AE4553" i="1"/>
  <c r="AF4553" i="1" s="1"/>
  <c r="AG4553" i="1"/>
  <c r="AH4553" i="1"/>
  <c r="AE4554" i="1"/>
  <c r="AF4554" i="1" s="1"/>
  <c r="AG4554" i="1"/>
  <c r="AH4554" i="1"/>
  <c r="AE4555" i="1"/>
  <c r="AF4555" i="1" s="1"/>
  <c r="AG4555" i="1"/>
  <c r="AH4555" i="1"/>
  <c r="AE4556" i="1"/>
  <c r="AF4556" i="1" s="1"/>
  <c r="AG4556" i="1"/>
  <c r="AH4556" i="1"/>
  <c r="AE4557" i="1"/>
  <c r="AF4557" i="1" s="1"/>
  <c r="AG4557" i="1"/>
  <c r="AH4557" i="1"/>
  <c r="AE4558" i="1"/>
  <c r="AF4558" i="1" s="1"/>
  <c r="AG4558" i="1"/>
  <c r="AH4558" i="1"/>
  <c r="AE4559" i="1"/>
  <c r="AF4559" i="1" s="1"/>
  <c r="AG4559" i="1"/>
  <c r="AH4559" i="1"/>
  <c r="AE4560" i="1"/>
  <c r="AF4560" i="1" s="1"/>
  <c r="AG4560" i="1"/>
  <c r="AH4560" i="1"/>
  <c r="AE4561" i="1"/>
  <c r="AF4561" i="1" s="1"/>
  <c r="AG4561" i="1"/>
  <c r="AH4561" i="1"/>
  <c r="AE4562" i="1"/>
  <c r="AF4562" i="1" s="1"/>
  <c r="AG4562" i="1"/>
  <c r="AH4562" i="1"/>
  <c r="AE4563" i="1"/>
  <c r="AF4563" i="1" s="1"/>
  <c r="AG4563" i="1"/>
  <c r="AH4563" i="1"/>
  <c r="AE4564" i="1"/>
  <c r="AF4564" i="1" s="1"/>
  <c r="AG4564" i="1"/>
  <c r="AH4564" i="1"/>
  <c r="AE4565" i="1"/>
  <c r="AF4565" i="1" s="1"/>
  <c r="AG4565" i="1"/>
  <c r="AH4565" i="1"/>
  <c r="AE4566" i="1"/>
  <c r="AF4566" i="1" s="1"/>
  <c r="AG4566" i="1"/>
  <c r="AH4566" i="1"/>
  <c r="AE4567" i="1"/>
  <c r="AF4567" i="1" s="1"/>
  <c r="AG4567" i="1"/>
  <c r="AH4567" i="1"/>
  <c r="AE4568" i="1"/>
  <c r="AF4568" i="1" s="1"/>
  <c r="AG4568" i="1"/>
  <c r="AH4568" i="1"/>
  <c r="AE4569" i="1"/>
  <c r="AF4569" i="1" s="1"/>
  <c r="AG4569" i="1"/>
  <c r="AH4569" i="1"/>
  <c r="AE4570" i="1"/>
  <c r="AF4570" i="1" s="1"/>
  <c r="AG4570" i="1"/>
  <c r="AH4570" i="1"/>
  <c r="AE4571" i="1"/>
  <c r="AF4571" i="1" s="1"/>
  <c r="AG4571" i="1"/>
  <c r="AH4571" i="1"/>
  <c r="AE4572" i="1"/>
  <c r="AF4572" i="1" s="1"/>
  <c r="AG4572" i="1"/>
  <c r="AH4572" i="1"/>
  <c r="AE4573" i="1"/>
  <c r="AF4573" i="1" s="1"/>
  <c r="AG4573" i="1"/>
  <c r="AH4573" i="1"/>
  <c r="AE4574" i="1"/>
  <c r="AF4574" i="1" s="1"/>
  <c r="AG4574" i="1"/>
  <c r="AH4574" i="1"/>
  <c r="AE4575" i="1"/>
  <c r="AF4575" i="1" s="1"/>
  <c r="AG4575" i="1"/>
  <c r="AH4575" i="1"/>
  <c r="AE4576" i="1"/>
  <c r="AF4576" i="1" s="1"/>
  <c r="AG4576" i="1"/>
  <c r="AH4576" i="1"/>
  <c r="AE4577" i="1"/>
  <c r="AF4577" i="1" s="1"/>
  <c r="AG4577" i="1"/>
  <c r="AH4577" i="1"/>
  <c r="AE4578" i="1"/>
  <c r="AF4578" i="1" s="1"/>
  <c r="AG4578" i="1"/>
  <c r="AH4578" i="1"/>
  <c r="AE4579" i="1"/>
  <c r="AF4579" i="1" s="1"/>
  <c r="AG4579" i="1"/>
  <c r="AH4579" i="1"/>
  <c r="AE4580" i="1"/>
  <c r="AF4580" i="1" s="1"/>
  <c r="AG4580" i="1"/>
  <c r="AH4580" i="1"/>
  <c r="AE4581" i="1"/>
  <c r="AF4581" i="1" s="1"/>
  <c r="AG4581" i="1"/>
  <c r="AH4581" i="1"/>
  <c r="AE4582" i="1"/>
  <c r="AF4582" i="1" s="1"/>
  <c r="AG4582" i="1"/>
  <c r="AH4582" i="1"/>
  <c r="AE4583" i="1"/>
  <c r="AF4583" i="1" s="1"/>
  <c r="AG4583" i="1"/>
  <c r="AH4583" i="1"/>
  <c r="AE4584" i="1"/>
  <c r="AF4584" i="1" s="1"/>
  <c r="AG4584" i="1"/>
  <c r="AH4584" i="1"/>
  <c r="AE4585" i="1"/>
  <c r="AF4585" i="1" s="1"/>
  <c r="AG4585" i="1"/>
  <c r="AH4585" i="1"/>
  <c r="AE4586" i="1"/>
  <c r="AF4586" i="1" s="1"/>
  <c r="AG4586" i="1"/>
  <c r="AH4586" i="1"/>
  <c r="AE4587" i="1"/>
  <c r="AF4587" i="1" s="1"/>
  <c r="AG4587" i="1"/>
  <c r="AH4587" i="1"/>
  <c r="AE4588" i="1"/>
  <c r="AF4588" i="1" s="1"/>
  <c r="AG4588" i="1"/>
  <c r="AH4588" i="1"/>
  <c r="AE4589" i="1"/>
  <c r="AF4589" i="1" s="1"/>
  <c r="AG4589" i="1"/>
  <c r="AH4589" i="1"/>
  <c r="AE4590" i="1"/>
  <c r="AF4590" i="1" s="1"/>
  <c r="AG4590" i="1"/>
  <c r="AH4590" i="1"/>
  <c r="AE4591" i="1"/>
  <c r="AF4591" i="1" s="1"/>
  <c r="AG4591" i="1"/>
  <c r="AH4591" i="1"/>
  <c r="AE4592" i="1"/>
  <c r="AF4592" i="1" s="1"/>
  <c r="AG4592" i="1"/>
  <c r="AH4592" i="1"/>
  <c r="AE4593" i="1"/>
  <c r="AF4593" i="1" s="1"/>
  <c r="AG4593" i="1"/>
  <c r="AH4593" i="1"/>
  <c r="AE4594" i="1"/>
  <c r="AF4594" i="1" s="1"/>
  <c r="AG4594" i="1"/>
  <c r="AH4594" i="1"/>
  <c r="AE4595" i="1"/>
  <c r="AF4595" i="1" s="1"/>
  <c r="AG4595" i="1"/>
  <c r="AH4595" i="1"/>
  <c r="AE4596" i="1"/>
  <c r="AF4596" i="1" s="1"/>
  <c r="AG4596" i="1"/>
  <c r="AH4596" i="1"/>
  <c r="AE4597" i="1"/>
  <c r="AF4597" i="1" s="1"/>
  <c r="AG4597" i="1"/>
  <c r="AH4597" i="1"/>
  <c r="AE4598" i="1"/>
  <c r="AF4598" i="1" s="1"/>
  <c r="AG4598" i="1"/>
  <c r="AH4598" i="1"/>
  <c r="AE4599" i="1"/>
  <c r="AF4599" i="1" s="1"/>
  <c r="AG4599" i="1"/>
  <c r="AH4599" i="1"/>
  <c r="AE4600" i="1"/>
  <c r="AF4600" i="1" s="1"/>
  <c r="AG4600" i="1"/>
  <c r="AH4600" i="1"/>
  <c r="AE4601" i="1"/>
  <c r="AF4601" i="1" s="1"/>
  <c r="AG4601" i="1"/>
  <c r="AH4601" i="1"/>
  <c r="AE4602" i="1"/>
  <c r="AF4602" i="1" s="1"/>
  <c r="AG4602" i="1"/>
  <c r="AH4602" i="1"/>
  <c r="AE4603" i="1"/>
  <c r="AF4603" i="1" s="1"/>
  <c r="AG4603" i="1"/>
  <c r="AH4603" i="1"/>
  <c r="AE4604" i="1"/>
  <c r="AF4604" i="1" s="1"/>
  <c r="AG4604" i="1"/>
  <c r="AH4604" i="1"/>
  <c r="AE4605" i="1"/>
  <c r="AF4605" i="1" s="1"/>
  <c r="AG4605" i="1"/>
  <c r="AH4605" i="1"/>
  <c r="AE4606" i="1"/>
  <c r="AF4606" i="1" s="1"/>
  <c r="AG4606" i="1"/>
  <c r="AH4606" i="1"/>
  <c r="AE4607" i="1"/>
  <c r="AF4607" i="1" s="1"/>
  <c r="AG4607" i="1"/>
  <c r="AH4607" i="1"/>
  <c r="AE4608" i="1"/>
  <c r="AF4608" i="1" s="1"/>
  <c r="AG4608" i="1"/>
  <c r="AH4608" i="1"/>
  <c r="AE4609" i="1"/>
  <c r="AF4609" i="1" s="1"/>
  <c r="AG4609" i="1"/>
  <c r="AH4609" i="1"/>
  <c r="AE4610" i="1"/>
  <c r="AF4610" i="1" s="1"/>
  <c r="AG4610" i="1"/>
  <c r="AH4610" i="1"/>
  <c r="AE4611" i="1"/>
  <c r="AF4611" i="1" s="1"/>
  <c r="AG4611" i="1"/>
  <c r="AH4611" i="1"/>
  <c r="AE4612" i="1"/>
  <c r="AF4612" i="1" s="1"/>
  <c r="AG4612" i="1"/>
  <c r="AH4612" i="1"/>
  <c r="AE4613" i="1"/>
  <c r="AF4613" i="1" s="1"/>
  <c r="AG4613" i="1"/>
  <c r="AH4613" i="1"/>
  <c r="AE4614" i="1"/>
  <c r="AF4614" i="1" s="1"/>
  <c r="AG4614" i="1"/>
  <c r="AH4614" i="1"/>
  <c r="AE4615" i="1"/>
  <c r="AF4615" i="1" s="1"/>
  <c r="AG4615" i="1"/>
  <c r="AH4615" i="1"/>
  <c r="AE4616" i="1"/>
  <c r="AF4616" i="1" s="1"/>
  <c r="AG4616" i="1"/>
  <c r="AH4616" i="1"/>
  <c r="AE4617" i="1"/>
  <c r="AF4617" i="1" s="1"/>
  <c r="AG4617" i="1"/>
  <c r="AH4617" i="1"/>
  <c r="AE4618" i="1"/>
  <c r="AF4618" i="1" s="1"/>
  <c r="AG4618" i="1"/>
  <c r="AH4618" i="1"/>
  <c r="AE4619" i="1"/>
  <c r="AF4619" i="1" s="1"/>
  <c r="AG4619" i="1"/>
  <c r="AH4619" i="1"/>
  <c r="AE4620" i="1"/>
  <c r="AF4620" i="1" s="1"/>
  <c r="AG4620" i="1"/>
  <c r="AH4620" i="1"/>
  <c r="AE4621" i="1"/>
  <c r="AF4621" i="1" s="1"/>
  <c r="AG4621" i="1"/>
  <c r="AH4621" i="1"/>
  <c r="AE4622" i="1"/>
  <c r="AF4622" i="1" s="1"/>
  <c r="AG4622" i="1"/>
  <c r="AH4622" i="1"/>
  <c r="AE4623" i="1"/>
  <c r="AF4623" i="1" s="1"/>
  <c r="AG4623" i="1"/>
  <c r="AH4623" i="1"/>
  <c r="AE4624" i="1"/>
  <c r="AF4624" i="1" s="1"/>
  <c r="AG4624" i="1"/>
  <c r="AH4624" i="1"/>
  <c r="AE4625" i="1"/>
  <c r="AF4625" i="1" s="1"/>
  <c r="AG4625" i="1"/>
  <c r="AH4625" i="1"/>
  <c r="AE4626" i="1"/>
  <c r="AF4626" i="1" s="1"/>
  <c r="AG4626" i="1"/>
  <c r="AH4626" i="1"/>
  <c r="AE4627" i="1"/>
  <c r="AF4627" i="1" s="1"/>
  <c r="AG4627" i="1"/>
  <c r="AH4627" i="1"/>
  <c r="AE4628" i="1"/>
  <c r="AF4628" i="1" s="1"/>
  <c r="AG4628" i="1"/>
  <c r="AH4628" i="1"/>
  <c r="AE4629" i="1"/>
  <c r="AF4629" i="1" s="1"/>
  <c r="AG4629" i="1"/>
  <c r="AH4629" i="1"/>
  <c r="AE4630" i="1"/>
  <c r="AF4630" i="1" s="1"/>
  <c r="AG4630" i="1"/>
  <c r="AH4630" i="1"/>
  <c r="AE4631" i="1"/>
  <c r="AF4631" i="1" s="1"/>
  <c r="AG4631" i="1"/>
  <c r="AH4631" i="1"/>
  <c r="AE4632" i="1"/>
  <c r="AF4632" i="1" s="1"/>
  <c r="AG4632" i="1"/>
  <c r="AH4632" i="1"/>
  <c r="AE4633" i="1"/>
  <c r="AF4633" i="1" s="1"/>
  <c r="AG4633" i="1"/>
  <c r="AH4633" i="1"/>
  <c r="AE4634" i="1"/>
  <c r="AF4634" i="1" s="1"/>
  <c r="AG4634" i="1"/>
  <c r="AH4634" i="1"/>
  <c r="AE4635" i="1"/>
  <c r="AF4635" i="1" s="1"/>
  <c r="AG4635" i="1"/>
  <c r="AH4635" i="1"/>
  <c r="AE4636" i="1"/>
  <c r="AF4636" i="1" s="1"/>
  <c r="AG4636" i="1"/>
  <c r="AH4636" i="1"/>
  <c r="AE4637" i="1"/>
  <c r="AF4637" i="1" s="1"/>
  <c r="AG4637" i="1"/>
  <c r="AH4637" i="1"/>
  <c r="AE4638" i="1"/>
  <c r="AF4638" i="1" s="1"/>
  <c r="AG4638" i="1"/>
  <c r="AH4638" i="1"/>
  <c r="AE4639" i="1"/>
  <c r="AF4639" i="1" s="1"/>
  <c r="AG4639" i="1"/>
  <c r="AH4639" i="1"/>
  <c r="AE4640" i="1"/>
  <c r="AF4640" i="1" s="1"/>
  <c r="AG4640" i="1"/>
  <c r="AH4640" i="1"/>
  <c r="AE4641" i="1"/>
  <c r="AF4641" i="1" s="1"/>
  <c r="AG4641" i="1"/>
  <c r="AH4641" i="1"/>
  <c r="AE4642" i="1"/>
  <c r="AF4642" i="1" s="1"/>
  <c r="AG4642" i="1"/>
  <c r="AH4642" i="1"/>
  <c r="AE4643" i="1"/>
  <c r="AF4643" i="1" s="1"/>
  <c r="AG4643" i="1"/>
  <c r="AH4643" i="1"/>
  <c r="AE4644" i="1"/>
  <c r="AF4644" i="1" s="1"/>
  <c r="AG4644" i="1"/>
  <c r="AH4644" i="1"/>
  <c r="AE4645" i="1"/>
  <c r="AF4645" i="1" s="1"/>
  <c r="AG4645" i="1"/>
  <c r="AH4645" i="1"/>
  <c r="AE4646" i="1"/>
  <c r="AF4646" i="1" s="1"/>
  <c r="AG4646" i="1"/>
  <c r="AH4646" i="1"/>
  <c r="AE4647" i="1"/>
  <c r="AF4647" i="1" s="1"/>
  <c r="AG4647" i="1"/>
  <c r="AH4647" i="1"/>
  <c r="AE4648" i="1"/>
  <c r="AF4648" i="1" s="1"/>
  <c r="AG4648" i="1"/>
  <c r="AH4648" i="1"/>
  <c r="AE4649" i="1"/>
  <c r="AF4649" i="1" s="1"/>
  <c r="AG4649" i="1"/>
  <c r="AH4649" i="1"/>
  <c r="AE4650" i="1"/>
  <c r="AF4650" i="1" s="1"/>
  <c r="AG4650" i="1"/>
  <c r="AH4650" i="1"/>
  <c r="AE4651" i="1"/>
  <c r="AF4651" i="1" s="1"/>
  <c r="AG4651" i="1"/>
  <c r="AH4651" i="1"/>
  <c r="AE4652" i="1"/>
  <c r="AF4652" i="1" s="1"/>
  <c r="AG4652" i="1"/>
  <c r="AH4652" i="1"/>
  <c r="AE4653" i="1"/>
  <c r="AF4653" i="1" s="1"/>
  <c r="AG4653" i="1"/>
  <c r="AH4653" i="1"/>
  <c r="AE4654" i="1"/>
  <c r="AF4654" i="1" s="1"/>
  <c r="AG4654" i="1"/>
  <c r="AH4654" i="1"/>
  <c r="AE4655" i="1"/>
  <c r="AF4655" i="1" s="1"/>
  <c r="AG4655" i="1"/>
  <c r="AH4655" i="1"/>
  <c r="AE4656" i="1"/>
  <c r="AF4656" i="1" s="1"/>
  <c r="AG4656" i="1"/>
  <c r="AH4656" i="1"/>
  <c r="AE4657" i="1"/>
  <c r="AF4657" i="1" s="1"/>
  <c r="AG4657" i="1"/>
  <c r="AH4657" i="1"/>
  <c r="AE4658" i="1"/>
  <c r="AF4658" i="1" s="1"/>
  <c r="AG4658" i="1"/>
  <c r="AH4658" i="1"/>
  <c r="AE4659" i="1"/>
  <c r="AF4659" i="1" s="1"/>
  <c r="AG4659" i="1"/>
  <c r="AH4659" i="1"/>
  <c r="AE4660" i="1"/>
  <c r="AF4660" i="1" s="1"/>
  <c r="AG4660" i="1"/>
  <c r="AH4660" i="1"/>
  <c r="AE4661" i="1"/>
  <c r="AF4661" i="1" s="1"/>
  <c r="AG4661" i="1"/>
  <c r="AH4661" i="1"/>
  <c r="AE4662" i="1"/>
  <c r="AF4662" i="1" s="1"/>
  <c r="AG4662" i="1"/>
  <c r="AH4662" i="1"/>
  <c r="AE4663" i="1"/>
  <c r="AF4663" i="1" s="1"/>
  <c r="AG4663" i="1"/>
  <c r="AH4663" i="1"/>
  <c r="AE4664" i="1"/>
  <c r="AF4664" i="1" s="1"/>
  <c r="AG4664" i="1"/>
  <c r="AH4664" i="1"/>
  <c r="AE4665" i="1"/>
  <c r="AF4665" i="1" s="1"/>
  <c r="AG4665" i="1"/>
  <c r="AH4665" i="1"/>
  <c r="AE4666" i="1"/>
  <c r="AF4666" i="1" s="1"/>
  <c r="AG4666" i="1"/>
  <c r="AH4666" i="1"/>
  <c r="AE4667" i="1"/>
  <c r="AF4667" i="1" s="1"/>
  <c r="AG4667" i="1"/>
  <c r="AH4667" i="1"/>
  <c r="AE4668" i="1"/>
  <c r="AF4668" i="1" s="1"/>
  <c r="AG4668" i="1"/>
  <c r="AH4668" i="1"/>
  <c r="AE4669" i="1"/>
  <c r="AF4669" i="1" s="1"/>
  <c r="AG4669" i="1"/>
  <c r="AH4669" i="1"/>
  <c r="AE4670" i="1"/>
  <c r="AF4670" i="1" s="1"/>
  <c r="AG4670" i="1"/>
  <c r="AH4670" i="1"/>
  <c r="AE4671" i="1"/>
  <c r="AF4671" i="1" s="1"/>
  <c r="AG4671" i="1"/>
  <c r="AH4671" i="1"/>
  <c r="AE4672" i="1"/>
  <c r="AF4672" i="1" s="1"/>
  <c r="AG4672" i="1"/>
  <c r="AH4672" i="1"/>
  <c r="AE4673" i="1"/>
  <c r="AF4673" i="1" s="1"/>
  <c r="AG4673" i="1"/>
  <c r="AH4673" i="1"/>
  <c r="AE4674" i="1"/>
  <c r="AF4674" i="1" s="1"/>
  <c r="AG4674" i="1"/>
  <c r="AH4674" i="1"/>
  <c r="AE4675" i="1"/>
  <c r="AF4675" i="1" s="1"/>
  <c r="AG4675" i="1"/>
  <c r="AH4675" i="1"/>
  <c r="AE4676" i="1"/>
  <c r="AF4676" i="1" s="1"/>
  <c r="AG4676" i="1"/>
  <c r="AH4676" i="1"/>
  <c r="AE4677" i="1"/>
  <c r="AF4677" i="1" s="1"/>
  <c r="AG4677" i="1"/>
  <c r="AH4677" i="1"/>
  <c r="AE4678" i="1"/>
  <c r="AF4678" i="1" s="1"/>
  <c r="AG4678" i="1"/>
  <c r="AH4678" i="1"/>
  <c r="AE4679" i="1"/>
  <c r="AF4679" i="1" s="1"/>
  <c r="AG4679" i="1"/>
  <c r="AH4679" i="1"/>
  <c r="AE4680" i="1"/>
  <c r="AF4680" i="1" s="1"/>
  <c r="AG4680" i="1"/>
  <c r="AH4680" i="1"/>
  <c r="AE4681" i="1"/>
  <c r="AF4681" i="1" s="1"/>
  <c r="AG4681" i="1"/>
  <c r="AH4681" i="1"/>
  <c r="AE4682" i="1"/>
  <c r="AF4682" i="1" s="1"/>
  <c r="AG4682" i="1"/>
  <c r="AH4682" i="1"/>
  <c r="AE4683" i="1"/>
  <c r="AF4683" i="1" s="1"/>
  <c r="AG4683" i="1"/>
  <c r="AH4683" i="1"/>
  <c r="AE4684" i="1"/>
  <c r="AF4684" i="1" s="1"/>
  <c r="AG4684" i="1"/>
  <c r="AH4684" i="1"/>
  <c r="AE4685" i="1"/>
  <c r="AF4685" i="1" s="1"/>
  <c r="AG4685" i="1"/>
  <c r="AH4685" i="1"/>
  <c r="AE4686" i="1"/>
  <c r="AF4686" i="1" s="1"/>
  <c r="AG4686" i="1"/>
  <c r="AH4686" i="1"/>
  <c r="AE4687" i="1"/>
  <c r="AF4687" i="1" s="1"/>
  <c r="AG4687" i="1"/>
  <c r="AH4687" i="1"/>
  <c r="AE4688" i="1"/>
  <c r="AF4688" i="1" s="1"/>
  <c r="AG4688" i="1"/>
  <c r="AH4688" i="1"/>
  <c r="AE4689" i="1"/>
  <c r="AF4689" i="1" s="1"/>
  <c r="AG4689" i="1"/>
  <c r="AH4689" i="1"/>
  <c r="AE4690" i="1"/>
  <c r="AF4690" i="1" s="1"/>
  <c r="AG4690" i="1"/>
  <c r="AH4690" i="1"/>
  <c r="AE4691" i="1"/>
  <c r="AF4691" i="1" s="1"/>
  <c r="AG4691" i="1"/>
  <c r="AH4691" i="1"/>
  <c r="AE4692" i="1"/>
  <c r="AF4692" i="1" s="1"/>
  <c r="AG4692" i="1"/>
  <c r="AH4692" i="1"/>
  <c r="AE4693" i="1"/>
  <c r="AF4693" i="1" s="1"/>
  <c r="AG4693" i="1"/>
  <c r="AH4693" i="1"/>
  <c r="AE4694" i="1"/>
  <c r="AF4694" i="1" s="1"/>
  <c r="AG4694" i="1"/>
  <c r="AH4694" i="1"/>
  <c r="AE4695" i="1"/>
  <c r="AF4695" i="1" s="1"/>
  <c r="AG4695" i="1"/>
  <c r="AH4695" i="1"/>
  <c r="AE4696" i="1"/>
  <c r="AF4696" i="1" s="1"/>
  <c r="AG4696" i="1"/>
  <c r="AH4696" i="1"/>
  <c r="AE4697" i="1"/>
  <c r="AF4697" i="1" s="1"/>
  <c r="AG4697" i="1"/>
  <c r="AH4697" i="1"/>
  <c r="AE4698" i="1"/>
  <c r="AF4698" i="1" s="1"/>
  <c r="AG4698" i="1"/>
  <c r="AH4698" i="1"/>
  <c r="AE4699" i="1"/>
  <c r="AF4699" i="1" s="1"/>
  <c r="AG4699" i="1"/>
  <c r="AH4699" i="1"/>
  <c r="AE4700" i="1"/>
  <c r="AF4700" i="1" s="1"/>
  <c r="AG4700" i="1"/>
  <c r="AH4700" i="1"/>
  <c r="AE4701" i="1"/>
  <c r="AF4701" i="1" s="1"/>
  <c r="AG4701" i="1"/>
  <c r="AH4701" i="1"/>
  <c r="AE4702" i="1"/>
  <c r="AF4702" i="1" s="1"/>
  <c r="AG4702" i="1"/>
  <c r="AH4702" i="1"/>
  <c r="AE4703" i="1"/>
  <c r="AF4703" i="1" s="1"/>
  <c r="AG4703" i="1"/>
  <c r="AH4703" i="1"/>
  <c r="AE4704" i="1"/>
  <c r="AF4704" i="1" s="1"/>
  <c r="AG4704" i="1"/>
  <c r="AH4704" i="1"/>
  <c r="AE4705" i="1"/>
  <c r="AF4705" i="1" s="1"/>
  <c r="AG4705" i="1"/>
  <c r="AH4705" i="1"/>
  <c r="AE4706" i="1"/>
  <c r="AF4706" i="1" s="1"/>
  <c r="AG4706" i="1"/>
  <c r="AH4706" i="1"/>
  <c r="AE4707" i="1"/>
  <c r="AF4707" i="1" s="1"/>
  <c r="AG4707" i="1"/>
  <c r="AH4707" i="1"/>
  <c r="AE4708" i="1"/>
  <c r="AF4708" i="1" s="1"/>
  <c r="AG4708" i="1"/>
  <c r="AH4708" i="1"/>
  <c r="AE4709" i="1"/>
  <c r="AF4709" i="1" s="1"/>
  <c r="AG4709" i="1"/>
  <c r="AH4709" i="1"/>
  <c r="AE4710" i="1"/>
  <c r="AF4710" i="1" s="1"/>
  <c r="AG4710" i="1"/>
  <c r="AH4710" i="1"/>
  <c r="AE4711" i="1"/>
  <c r="AF4711" i="1" s="1"/>
  <c r="AG4711" i="1"/>
  <c r="AH4711" i="1"/>
  <c r="AE4712" i="1"/>
  <c r="AF4712" i="1" s="1"/>
  <c r="AG4712" i="1"/>
  <c r="AH4712" i="1"/>
  <c r="AE4713" i="1"/>
  <c r="AF4713" i="1" s="1"/>
  <c r="AG4713" i="1"/>
  <c r="AH4713" i="1"/>
  <c r="AE4714" i="1"/>
  <c r="AF4714" i="1" s="1"/>
  <c r="AG4714" i="1"/>
  <c r="AH4714" i="1"/>
  <c r="AE4715" i="1"/>
  <c r="AF4715" i="1" s="1"/>
  <c r="AG4715" i="1"/>
  <c r="AH4715" i="1"/>
  <c r="AE4716" i="1"/>
  <c r="AF4716" i="1" s="1"/>
  <c r="AG4716" i="1"/>
  <c r="AH4716" i="1"/>
  <c r="AE4717" i="1"/>
  <c r="AF4717" i="1" s="1"/>
  <c r="AG4717" i="1"/>
  <c r="AH4717" i="1"/>
  <c r="AE4718" i="1"/>
  <c r="AF4718" i="1" s="1"/>
  <c r="AG4718" i="1"/>
  <c r="AH4718" i="1"/>
  <c r="AE4719" i="1"/>
  <c r="AF4719" i="1" s="1"/>
  <c r="AG4719" i="1"/>
  <c r="AH4719" i="1"/>
  <c r="AE4720" i="1"/>
  <c r="AF4720" i="1" s="1"/>
  <c r="AG4720" i="1"/>
  <c r="AH4720" i="1"/>
  <c r="AE4721" i="1"/>
  <c r="AF4721" i="1" s="1"/>
  <c r="AG4721" i="1"/>
  <c r="AH4721" i="1"/>
  <c r="AE4722" i="1"/>
  <c r="AF4722" i="1" s="1"/>
  <c r="AG4722" i="1"/>
  <c r="AH4722" i="1"/>
  <c r="AE4723" i="1"/>
  <c r="AF4723" i="1" s="1"/>
  <c r="AG4723" i="1"/>
  <c r="AH4723" i="1"/>
  <c r="AE4724" i="1"/>
  <c r="AF4724" i="1" s="1"/>
  <c r="AG4724" i="1"/>
  <c r="AH4724" i="1"/>
  <c r="AE4725" i="1"/>
  <c r="AF4725" i="1"/>
  <c r="AG4725" i="1"/>
  <c r="AH4725" i="1"/>
  <c r="AE4726" i="1"/>
  <c r="AF4726" i="1" s="1"/>
  <c r="AG4726" i="1"/>
  <c r="AH4726" i="1"/>
  <c r="AE4727" i="1"/>
  <c r="AF4727" i="1" s="1"/>
  <c r="AG4727" i="1"/>
  <c r="AH4727" i="1"/>
  <c r="AE4728" i="1"/>
  <c r="AF4728" i="1" s="1"/>
  <c r="AG4728" i="1"/>
  <c r="AH4728" i="1"/>
  <c r="AE4729" i="1"/>
  <c r="AF4729" i="1" s="1"/>
  <c r="AG4729" i="1"/>
  <c r="AH4729" i="1"/>
  <c r="AE4730" i="1"/>
  <c r="AF4730" i="1" s="1"/>
  <c r="AG4730" i="1"/>
  <c r="AH4730" i="1"/>
  <c r="AE4731" i="1"/>
  <c r="AF4731" i="1" s="1"/>
  <c r="AG4731" i="1"/>
  <c r="AH4731" i="1"/>
  <c r="AE4732" i="1"/>
  <c r="AF4732" i="1" s="1"/>
  <c r="AG4732" i="1"/>
  <c r="AH4732" i="1"/>
  <c r="AE4733" i="1"/>
  <c r="AF4733" i="1" s="1"/>
  <c r="AG4733" i="1"/>
  <c r="AH4733" i="1"/>
  <c r="AE4734" i="1"/>
  <c r="AF4734" i="1" s="1"/>
  <c r="AG4734" i="1"/>
  <c r="AH4734" i="1"/>
  <c r="AE4735" i="1"/>
  <c r="AF4735" i="1" s="1"/>
  <c r="AG4735" i="1"/>
  <c r="AH4735" i="1"/>
  <c r="AE4736" i="1"/>
  <c r="AF4736" i="1" s="1"/>
  <c r="AG4736" i="1"/>
  <c r="AH4736" i="1"/>
  <c r="AE4737" i="1"/>
  <c r="AF4737" i="1" s="1"/>
  <c r="AG4737" i="1"/>
  <c r="AH4737" i="1"/>
  <c r="AE4738" i="1"/>
  <c r="AF4738" i="1" s="1"/>
  <c r="AG4738" i="1"/>
  <c r="AH4738" i="1"/>
  <c r="AE4739" i="1"/>
  <c r="AF4739" i="1" s="1"/>
  <c r="AG4739" i="1"/>
  <c r="AH4739" i="1"/>
  <c r="AE4740" i="1"/>
  <c r="AF4740" i="1" s="1"/>
  <c r="AG4740" i="1"/>
  <c r="AH4740" i="1"/>
  <c r="AE4741" i="1"/>
  <c r="AF4741" i="1" s="1"/>
  <c r="AG4741" i="1"/>
  <c r="AH4741" i="1"/>
  <c r="AE4742" i="1"/>
  <c r="AF4742" i="1" s="1"/>
  <c r="AG4742" i="1"/>
  <c r="AH4742" i="1"/>
  <c r="AE4743" i="1"/>
  <c r="AF4743" i="1"/>
  <c r="AG4743" i="1"/>
  <c r="AH4743" i="1"/>
  <c r="AE4744" i="1"/>
  <c r="AF4744" i="1" s="1"/>
  <c r="AG4744" i="1"/>
  <c r="AH4744" i="1"/>
  <c r="AE4745" i="1"/>
  <c r="AF4745" i="1" s="1"/>
  <c r="AG4745" i="1"/>
  <c r="AH4745" i="1"/>
  <c r="AE4746" i="1"/>
  <c r="AF4746" i="1" s="1"/>
  <c r="AG4746" i="1"/>
  <c r="AH4746" i="1"/>
  <c r="AE4747" i="1"/>
  <c r="AF4747" i="1" s="1"/>
  <c r="AG4747" i="1"/>
  <c r="AH4747" i="1"/>
  <c r="AE4748" i="1"/>
  <c r="AF4748" i="1" s="1"/>
  <c r="AG4748" i="1"/>
  <c r="AH4748" i="1"/>
  <c r="AE4749" i="1"/>
  <c r="AF4749" i="1" s="1"/>
  <c r="AG4749" i="1"/>
  <c r="AH4749" i="1"/>
  <c r="AE4750" i="1"/>
  <c r="AF4750" i="1" s="1"/>
  <c r="AG4750" i="1"/>
  <c r="AH4750" i="1"/>
  <c r="AE4751" i="1"/>
  <c r="AF4751" i="1" s="1"/>
  <c r="AG4751" i="1"/>
  <c r="AH4751" i="1"/>
  <c r="AE4752" i="1"/>
  <c r="AF4752" i="1" s="1"/>
  <c r="AG4752" i="1"/>
  <c r="AH4752" i="1"/>
  <c r="AE4753" i="1"/>
  <c r="AF4753" i="1" s="1"/>
  <c r="AG4753" i="1"/>
  <c r="AH4753" i="1"/>
  <c r="AE4754" i="1"/>
  <c r="AF4754" i="1" s="1"/>
  <c r="AG4754" i="1"/>
  <c r="AH4754" i="1"/>
  <c r="AE4755" i="1"/>
  <c r="AF4755" i="1" s="1"/>
  <c r="AG4755" i="1"/>
  <c r="AH4755" i="1"/>
  <c r="AE4756" i="1"/>
  <c r="AF4756" i="1" s="1"/>
  <c r="AG4756" i="1"/>
  <c r="AH4756" i="1"/>
  <c r="AE4757" i="1"/>
  <c r="AF4757" i="1" s="1"/>
  <c r="AG4757" i="1"/>
  <c r="AH4757" i="1"/>
  <c r="AE4758" i="1"/>
  <c r="AF4758" i="1" s="1"/>
  <c r="AG4758" i="1"/>
  <c r="AH4758" i="1"/>
  <c r="AE4759" i="1"/>
  <c r="AF4759" i="1" s="1"/>
  <c r="AG4759" i="1"/>
  <c r="AH4759" i="1"/>
  <c r="AE4760" i="1"/>
  <c r="AF4760" i="1" s="1"/>
  <c r="AG4760" i="1"/>
  <c r="AH4760" i="1"/>
  <c r="AE4761" i="1"/>
  <c r="AF4761" i="1" s="1"/>
  <c r="AG4761" i="1"/>
  <c r="AH4761" i="1"/>
  <c r="AE4762" i="1"/>
  <c r="AF4762" i="1" s="1"/>
  <c r="AG4762" i="1"/>
  <c r="AH4762" i="1"/>
  <c r="AE4763" i="1"/>
  <c r="AF4763" i="1" s="1"/>
  <c r="AG4763" i="1"/>
  <c r="AH4763" i="1"/>
  <c r="AE4764" i="1"/>
  <c r="AF4764" i="1"/>
  <c r="AG4764" i="1"/>
  <c r="AH4764" i="1"/>
  <c r="AE4765" i="1"/>
  <c r="AF4765" i="1" s="1"/>
  <c r="AG4765" i="1"/>
  <c r="AH4765" i="1"/>
  <c r="AE4766" i="1"/>
  <c r="AF4766" i="1" s="1"/>
  <c r="AG4766" i="1"/>
  <c r="AH4766" i="1"/>
  <c r="AE4767" i="1"/>
  <c r="AF4767" i="1" s="1"/>
  <c r="AG4767" i="1"/>
  <c r="AH4767" i="1"/>
  <c r="AE4768" i="1"/>
  <c r="AF4768" i="1" s="1"/>
  <c r="AG4768" i="1"/>
  <c r="AH4768" i="1"/>
  <c r="AE4769" i="1"/>
  <c r="AF4769" i="1" s="1"/>
  <c r="AG4769" i="1"/>
  <c r="AH4769" i="1"/>
  <c r="AE4770" i="1"/>
  <c r="AF4770" i="1" s="1"/>
  <c r="AG4770" i="1"/>
  <c r="AH4770" i="1"/>
  <c r="AE4771" i="1"/>
  <c r="AF4771" i="1" s="1"/>
  <c r="AG4771" i="1"/>
  <c r="AH4771" i="1"/>
  <c r="AE4772" i="1"/>
  <c r="AF4772" i="1" s="1"/>
  <c r="AG4772" i="1"/>
  <c r="AH4772" i="1"/>
  <c r="AE4773" i="1"/>
  <c r="AF4773" i="1" s="1"/>
  <c r="AG4773" i="1"/>
  <c r="AH4773" i="1"/>
  <c r="AE4774" i="1"/>
  <c r="AF4774" i="1" s="1"/>
  <c r="AG4774" i="1"/>
  <c r="AH4774" i="1"/>
  <c r="AE4775" i="1"/>
  <c r="AF4775" i="1" s="1"/>
  <c r="AG4775" i="1"/>
  <c r="AH4775" i="1"/>
  <c r="AE4776" i="1"/>
  <c r="AF4776" i="1" s="1"/>
  <c r="AG4776" i="1"/>
  <c r="AH4776" i="1"/>
  <c r="AE4777" i="1"/>
  <c r="AF4777" i="1" s="1"/>
  <c r="AG4777" i="1"/>
  <c r="AH4777" i="1"/>
  <c r="AE4778" i="1"/>
  <c r="AF4778" i="1" s="1"/>
  <c r="AG4778" i="1"/>
  <c r="AH4778" i="1"/>
  <c r="AE4779" i="1"/>
  <c r="AF4779" i="1" s="1"/>
  <c r="AG4779" i="1"/>
  <c r="AH4779" i="1"/>
  <c r="AE4780" i="1"/>
  <c r="AF4780" i="1" s="1"/>
  <c r="AG4780" i="1"/>
  <c r="AH4780" i="1"/>
  <c r="AE4781" i="1"/>
  <c r="AF4781" i="1" s="1"/>
  <c r="AG4781" i="1"/>
  <c r="AH4781" i="1"/>
  <c r="AE4782" i="1"/>
  <c r="AF4782" i="1" s="1"/>
  <c r="AG4782" i="1"/>
  <c r="AH4782" i="1"/>
  <c r="AE4783" i="1"/>
  <c r="AF4783" i="1" s="1"/>
  <c r="AG4783" i="1"/>
  <c r="AH4783" i="1"/>
  <c r="AE4784" i="1"/>
  <c r="AF4784" i="1" s="1"/>
  <c r="AG4784" i="1"/>
  <c r="AH4784" i="1"/>
  <c r="AE4785" i="1"/>
  <c r="AF4785" i="1" s="1"/>
  <c r="AG4785" i="1"/>
  <c r="AH4785" i="1"/>
  <c r="AE4786" i="1"/>
  <c r="AF4786" i="1" s="1"/>
  <c r="AG4786" i="1"/>
  <c r="AH4786" i="1"/>
  <c r="AE4787" i="1"/>
  <c r="AF4787" i="1" s="1"/>
  <c r="AG4787" i="1"/>
  <c r="AH4787" i="1"/>
  <c r="AE4788" i="1"/>
  <c r="AF4788" i="1" s="1"/>
  <c r="AG4788" i="1"/>
  <c r="AH4788" i="1"/>
  <c r="AE4789" i="1"/>
  <c r="AF4789" i="1" s="1"/>
  <c r="AG4789" i="1"/>
  <c r="AH4789" i="1"/>
  <c r="AE4790" i="1"/>
  <c r="AF4790" i="1" s="1"/>
  <c r="AG4790" i="1"/>
  <c r="AH4790" i="1"/>
  <c r="AE4791" i="1"/>
  <c r="AF4791" i="1" s="1"/>
  <c r="AG4791" i="1"/>
  <c r="AH4791" i="1"/>
  <c r="AE4792" i="1"/>
  <c r="AF4792" i="1" s="1"/>
  <c r="AG4792" i="1"/>
  <c r="AH4792" i="1"/>
  <c r="AE4793" i="1"/>
  <c r="AF4793" i="1" s="1"/>
  <c r="AG4793" i="1"/>
  <c r="AH4793" i="1"/>
  <c r="AE4794" i="1"/>
  <c r="AF4794" i="1" s="1"/>
  <c r="AG4794" i="1"/>
  <c r="AH4794" i="1"/>
  <c r="AE4795" i="1"/>
  <c r="AF4795" i="1" s="1"/>
  <c r="AG4795" i="1"/>
  <c r="AH4795" i="1"/>
  <c r="AE4796" i="1"/>
  <c r="AF4796" i="1" s="1"/>
  <c r="AG4796" i="1"/>
  <c r="AH4796" i="1"/>
  <c r="AE4797" i="1"/>
  <c r="AF4797" i="1" s="1"/>
  <c r="AG4797" i="1"/>
  <c r="AH4797" i="1"/>
  <c r="AE4798" i="1"/>
  <c r="AF4798" i="1" s="1"/>
  <c r="AG4798" i="1"/>
  <c r="AH4798" i="1"/>
  <c r="AE4799" i="1"/>
  <c r="AF4799" i="1" s="1"/>
  <c r="AG4799" i="1"/>
  <c r="AH4799" i="1"/>
  <c r="AE4800" i="1"/>
  <c r="AF4800" i="1" s="1"/>
  <c r="AG4800" i="1"/>
  <c r="AH4800" i="1"/>
  <c r="AE4801" i="1"/>
  <c r="AF4801" i="1" s="1"/>
  <c r="AG4801" i="1"/>
  <c r="AH4801" i="1"/>
  <c r="AE4802" i="1"/>
  <c r="AF4802" i="1" s="1"/>
  <c r="AG4802" i="1"/>
  <c r="AH4802" i="1"/>
  <c r="AE4803" i="1"/>
  <c r="AF4803" i="1" s="1"/>
  <c r="AG4803" i="1"/>
  <c r="AH4803" i="1"/>
  <c r="AE4804" i="1"/>
  <c r="AF4804" i="1" s="1"/>
  <c r="AG4804" i="1"/>
  <c r="AH4804" i="1"/>
  <c r="AE4805" i="1"/>
  <c r="AF4805" i="1" s="1"/>
  <c r="AG4805" i="1"/>
  <c r="AH4805" i="1"/>
  <c r="AE4806" i="1"/>
  <c r="AF4806" i="1" s="1"/>
  <c r="AG4806" i="1"/>
  <c r="AH4806" i="1"/>
  <c r="AE4807" i="1"/>
  <c r="AF4807" i="1" s="1"/>
  <c r="AG4807" i="1"/>
  <c r="AH4807" i="1"/>
  <c r="AE4808" i="1"/>
  <c r="AF4808" i="1" s="1"/>
  <c r="AG4808" i="1"/>
  <c r="AH4808" i="1"/>
  <c r="AE4809" i="1"/>
  <c r="AF4809" i="1" s="1"/>
  <c r="AG4809" i="1"/>
  <c r="AH4809" i="1"/>
  <c r="AE4810" i="1"/>
  <c r="AF4810" i="1" s="1"/>
  <c r="AG4810" i="1"/>
  <c r="AH4810" i="1"/>
  <c r="AE4811" i="1"/>
  <c r="AF4811" i="1" s="1"/>
  <c r="AG4811" i="1"/>
  <c r="AH4811" i="1"/>
  <c r="AE4812" i="1"/>
  <c r="AF4812" i="1" s="1"/>
  <c r="AG4812" i="1"/>
  <c r="AH4812" i="1"/>
  <c r="AE4813" i="1"/>
  <c r="AF4813" i="1" s="1"/>
  <c r="AG4813" i="1"/>
  <c r="AH4813" i="1"/>
  <c r="AE4814" i="1"/>
  <c r="AF4814" i="1" s="1"/>
  <c r="AG4814" i="1"/>
  <c r="AH4814" i="1"/>
  <c r="AE4815" i="1"/>
  <c r="AF4815" i="1" s="1"/>
  <c r="AG4815" i="1"/>
  <c r="AH4815" i="1"/>
  <c r="AE4816" i="1"/>
  <c r="AF4816" i="1" s="1"/>
  <c r="AG4816" i="1"/>
  <c r="AH4816" i="1"/>
  <c r="AE4817" i="1"/>
  <c r="AF4817" i="1" s="1"/>
  <c r="AG4817" i="1"/>
  <c r="AH4817" i="1"/>
  <c r="AE4818" i="1"/>
  <c r="AF4818" i="1" s="1"/>
  <c r="AG4818" i="1"/>
  <c r="AH4818" i="1"/>
  <c r="AE4819" i="1"/>
  <c r="AF4819" i="1" s="1"/>
  <c r="AG4819" i="1"/>
  <c r="AH4819" i="1"/>
  <c r="AE4820" i="1"/>
  <c r="AF4820" i="1" s="1"/>
  <c r="AG4820" i="1"/>
  <c r="AH4820" i="1"/>
  <c r="AE4821" i="1"/>
  <c r="AF4821" i="1" s="1"/>
  <c r="AG4821" i="1"/>
  <c r="AH4821" i="1"/>
  <c r="AE4822" i="1"/>
  <c r="AF4822" i="1" s="1"/>
  <c r="AG4822" i="1"/>
  <c r="AH4822" i="1"/>
  <c r="AE4823" i="1"/>
  <c r="AF4823" i="1" s="1"/>
  <c r="AG4823" i="1"/>
  <c r="AH4823" i="1"/>
  <c r="AE4824" i="1"/>
  <c r="AF4824" i="1" s="1"/>
  <c r="AG4824" i="1"/>
  <c r="AH4824" i="1"/>
  <c r="AE4825" i="1"/>
  <c r="AF4825" i="1" s="1"/>
  <c r="AG4825" i="1"/>
  <c r="AH4825" i="1"/>
  <c r="AE4826" i="1"/>
  <c r="AF4826" i="1" s="1"/>
  <c r="AG4826" i="1"/>
  <c r="AH4826" i="1"/>
  <c r="AE4827" i="1"/>
  <c r="AF4827" i="1" s="1"/>
  <c r="AG4827" i="1"/>
  <c r="AH4827" i="1"/>
  <c r="AE4828" i="1"/>
  <c r="AF4828" i="1" s="1"/>
  <c r="AG4828" i="1"/>
  <c r="AH4828" i="1"/>
  <c r="AE4829" i="1"/>
  <c r="AF4829" i="1" s="1"/>
  <c r="AG4829" i="1"/>
  <c r="AH4829" i="1"/>
  <c r="AE4830" i="1"/>
  <c r="AF4830" i="1" s="1"/>
  <c r="AG4830" i="1"/>
  <c r="AH4830" i="1"/>
  <c r="AE4831" i="1"/>
  <c r="AF4831" i="1" s="1"/>
  <c r="AG4831" i="1"/>
  <c r="AH4831" i="1"/>
  <c r="AE4832" i="1"/>
  <c r="AF4832" i="1" s="1"/>
  <c r="AG4832" i="1"/>
  <c r="AH4832" i="1"/>
  <c r="AE4833" i="1"/>
  <c r="AF4833" i="1" s="1"/>
  <c r="AG4833" i="1"/>
  <c r="AH4833" i="1"/>
  <c r="AE4834" i="1"/>
  <c r="AF4834" i="1" s="1"/>
  <c r="AG4834" i="1"/>
  <c r="AH4834" i="1"/>
  <c r="AE4835" i="1"/>
  <c r="AF4835" i="1" s="1"/>
  <c r="AG4835" i="1"/>
  <c r="AH4835" i="1"/>
  <c r="AE4836" i="1"/>
  <c r="AF4836" i="1" s="1"/>
  <c r="AG4836" i="1"/>
  <c r="AH4836" i="1"/>
  <c r="AE4837" i="1"/>
  <c r="AF4837" i="1" s="1"/>
  <c r="AG4837" i="1"/>
  <c r="AH4837" i="1"/>
  <c r="AE4838" i="1"/>
  <c r="AF4838" i="1" s="1"/>
  <c r="AG4838" i="1"/>
  <c r="AH4838" i="1"/>
  <c r="AE4839" i="1"/>
  <c r="AF4839" i="1" s="1"/>
  <c r="AG4839" i="1"/>
  <c r="AH4839" i="1"/>
  <c r="AE4840" i="1"/>
  <c r="AF4840" i="1" s="1"/>
  <c r="AG4840" i="1"/>
  <c r="AH4840" i="1"/>
  <c r="AE4841" i="1"/>
  <c r="AF4841" i="1" s="1"/>
  <c r="AG4841" i="1"/>
  <c r="AH4841" i="1"/>
  <c r="AE4842" i="1"/>
  <c r="AF4842" i="1" s="1"/>
  <c r="AG4842" i="1"/>
  <c r="AH4842" i="1"/>
  <c r="AE4843" i="1"/>
  <c r="AF4843" i="1" s="1"/>
  <c r="AG4843" i="1"/>
  <c r="AH4843" i="1"/>
  <c r="AE4844" i="1"/>
  <c r="AF4844" i="1" s="1"/>
  <c r="AG4844" i="1"/>
  <c r="AH4844" i="1"/>
  <c r="AE4845" i="1"/>
  <c r="AF4845" i="1" s="1"/>
  <c r="AG4845" i="1"/>
  <c r="AH4845" i="1"/>
  <c r="AE4846" i="1"/>
  <c r="AF4846" i="1" s="1"/>
  <c r="AG4846" i="1"/>
  <c r="AH4846" i="1"/>
  <c r="AE4847" i="1"/>
  <c r="AF4847" i="1" s="1"/>
  <c r="AG4847" i="1"/>
  <c r="AH4847" i="1"/>
  <c r="AE4848" i="1"/>
  <c r="AF4848" i="1" s="1"/>
  <c r="AG4848" i="1"/>
  <c r="AH4848" i="1"/>
  <c r="AE4849" i="1"/>
  <c r="AF4849" i="1" s="1"/>
  <c r="AG4849" i="1"/>
  <c r="AH4849" i="1"/>
  <c r="AE4850" i="1"/>
  <c r="AF4850" i="1" s="1"/>
  <c r="AG4850" i="1"/>
  <c r="AH4850" i="1"/>
  <c r="AE4851" i="1"/>
  <c r="AF4851" i="1" s="1"/>
  <c r="AG4851" i="1"/>
  <c r="AH4851" i="1"/>
  <c r="AE4852" i="1"/>
  <c r="AF4852" i="1" s="1"/>
  <c r="AG4852" i="1"/>
  <c r="AH4852" i="1"/>
  <c r="AE4853" i="1"/>
  <c r="AF4853" i="1" s="1"/>
  <c r="AG4853" i="1"/>
  <c r="AH4853" i="1"/>
  <c r="AE4854" i="1"/>
  <c r="AF4854" i="1" s="1"/>
  <c r="AG4854" i="1"/>
  <c r="AH4854" i="1"/>
  <c r="AE4855" i="1"/>
  <c r="AF4855" i="1" s="1"/>
  <c r="AG4855" i="1"/>
  <c r="AH4855" i="1"/>
  <c r="AE4856" i="1"/>
  <c r="AF4856" i="1" s="1"/>
  <c r="AG4856" i="1"/>
  <c r="AH4856" i="1"/>
  <c r="AE4857" i="1"/>
  <c r="AF4857" i="1" s="1"/>
  <c r="AG4857" i="1"/>
  <c r="AH4857" i="1"/>
  <c r="AE4858" i="1"/>
  <c r="AF4858" i="1" s="1"/>
  <c r="AG4858" i="1"/>
  <c r="AH4858" i="1"/>
  <c r="AE4859" i="1"/>
  <c r="AF4859" i="1" s="1"/>
  <c r="AG4859" i="1"/>
  <c r="AH4859" i="1"/>
  <c r="AE4860" i="1"/>
  <c r="AF4860" i="1" s="1"/>
  <c r="AG4860" i="1"/>
  <c r="AH4860" i="1"/>
  <c r="AE4861" i="1"/>
  <c r="AF4861" i="1" s="1"/>
  <c r="AG4861" i="1"/>
  <c r="AH4861" i="1"/>
  <c r="AE4862" i="1"/>
  <c r="AF4862" i="1" s="1"/>
  <c r="AG4862" i="1"/>
  <c r="AH4862" i="1"/>
  <c r="AE4863" i="1"/>
  <c r="AF4863" i="1" s="1"/>
  <c r="AG4863" i="1"/>
  <c r="AH4863" i="1"/>
  <c r="AE4864" i="1"/>
  <c r="AF4864" i="1" s="1"/>
  <c r="AG4864" i="1"/>
  <c r="AH4864" i="1"/>
  <c r="AE4865" i="1"/>
  <c r="AF4865" i="1" s="1"/>
  <c r="AG4865" i="1"/>
  <c r="AH4865" i="1"/>
  <c r="AE4866" i="1"/>
  <c r="AF4866" i="1" s="1"/>
  <c r="AG4866" i="1"/>
  <c r="AH4866" i="1"/>
  <c r="AE4867" i="1"/>
  <c r="AF4867" i="1" s="1"/>
  <c r="AG4867" i="1"/>
  <c r="AH4867" i="1"/>
  <c r="AE4868" i="1"/>
  <c r="AF4868" i="1" s="1"/>
  <c r="AG4868" i="1"/>
  <c r="AH4868" i="1"/>
  <c r="AE4869" i="1"/>
  <c r="AF4869" i="1" s="1"/>
  <c r="AG4869" i="1"/>
  <c r="AH4869" i="1"/>
  <c r="AE4870" i="1"/>
  <c r="AF4870" i="1" s="1"/>
  <c r="AG4870" i="1"/>
  <c r="AH4870" i="1"/>
  <c r="AE4871" i="1"/>
  <c r="AF4871" i="1" s="1"/>
  <c r="AG4871" i="1"/>
  <c r="AH4871" i="1"/>
  <c r="AE4872" i="1"/>
  <c r="AF4872" i="1" s="1"/>
  <c r="AG4872" i="1"/>
  <c r="AH4872" i="1"/>
  <c r="AE4873" i="1"/>
  <c r="AF4873" i="1" s="1"/>
  <c r="AG4873" i="1"/>
  <c r="AH4873" i="1"/>
  <c r="AE4874" i="1"/>
  <c r="AF4874" i="1" s="1"/>
  <c r="AG4874" i="1"/>
  <c r="AH4874" i="1"/>
  <c r="AE4875" i="1"/>
  <c r="AF4875" i="1" s="1"/>
  <c r="AG4875" i="1"/>
  <c r="AH4875" i="1"/>
  <c r="AE4876" i="1"/>
  <c r="AF4876" i="1" s="1"/>
  <c r="AG4876" i="1"/>
  <c r="AH4876" i="1"/>
  <c r="AE4877" i="1"/>
  <c r="AF4877" i="1" s="1"/>
  <c r="AG4877" i="1"/>
  <c r="AH4877" i="1"/>
  <c r="AE4878" i="1"/>
  <c r="AF4878" i="1" s="1"/>
  <c r="AG4878" i="1"/>
  <c r="AH4878" i="1"/>
  <c r="AE4879" i="1"/>
  <c r="AF4879" i="1" s="1"/>
  <c r="AG4879" i="1"/>
  <c r="AH4879" i="1"/>
  <c r="AE4880" i="1"/>
  <c r="AF4880" i="1" s="1"/>
  <c r="AG4880" i="1"/>
  <c r="AH4880" i="1"/>
  <c r="AE4881" i="1"/>
  <c r="AF4881" i="1" s="1"/>
  <c r="AG4881" i="1"/>
  <c r="AH4881" i="1"/>
  <c r="AE4882" i="1"/>
  <c r="AF4882" i="1" s="1"/>
  <c r="AG4882" i="1"/>
  <c r="AH4882" i="1"/>
  <c r="AE4883" i="1"/>
  <c r="AF4883" i="1" s="1"/>
  <c r="AG4883" i="1"/>
  <c r="AH4883" i="1"/>
  <c r="AE4884" i="1"/>
  <c r="AF4884" i="1" s="1"/>
  <c r="AG4884" i="1"/>
  <c r="AH4884" i="1"/>
  <c r="AE4885" i="1"/>
  <c r="AF4885" i="1" s="1"/>
  <c r="AG4885" i="1"/>
  <c r="AH4885" i="1"/>
  <c r="AE4886" i="1"/>
  <c r="AF4886" i="1" s="1"/>
  <c r="AG4886" i="1"/>
  <c r="AH4886" i="1"/>
  <c r="AE4887" i="1"/>
  <c r="AF4887" i="1" s="1"/>
  <c r="AG4887" i="1"/>
  <c r="AH4887" i="1"/>
  <c r="AE4888" i="1"/>
  <c r="AF4888" i="1" s="1"/>
  <c r="AG4888" i="1"/>
  <c r="AH4888" i="1"/>
  <c r="AE4889" i="1"/>
  <c r="AF4889" i="1" s="1"/>
  <c r="AG4889" i="1"/>
  <c r="AH4889" i="1"/>
  <c r="AE4890" i="1"/>
  <c r="AF4890" i="1" s="1"/>
  <c r="AG4890" i="1"/>
  <c r="AH4890" i="1"/>
  <c r="AE4891" i="1"/>
  <c r="AF4891" i="1" s="1"/>
  <c r="AG4891" i="1"/>
  <c r="AH4891" i="1"/>
  <c r="AE4892" i="1"/>
  <c r="AF4892" i="1" s="1"/>
  <c r="AG4892" i="1"/>
  <c r="AH4892" i="1"/>
  <c r="AE4893" i="1"/>
  <c r="AF4893" i="1" s="1"/>
  <c r="AG4893" i="1"/>
  <c r="AH4893" i="1"/>
  <c r="AE4894" i="1"/>
  <c r="AF4894" i="1" s="1"/>
  <c r="AG4894" i="1"/>
  <c r="AH4894" i="1"/>
  <c r="AE4895" i="1"/>
  <c r="AF4895" i="1" s="1"/>
  <c r="AG4895" i="1"/>
  <c r="AH4895" i="1"/>
  <c r="AE4896" i="1"/>
  <c r="AF4896" i="1" s="1"/>
  <c r="AG4896" i="1"/>
  <c r="AH4896" i="1"/>
  <c r="AE4897" i="1"/>
  <c r="AF4897" i="1" s="1"/>
  <c r="AG4897" i="1"/>
  <c r="AH4897" i="1"/>
  <c r="AE4898" i="1"/>
  <c r="AF4898" i="1" s="1"/>
  <c r="AG4898" i="1"/>
  <c r="AH4898" i="1"/>
  <c r="AE4899" i="1"/>
  <c r="AF4899" i="1" s="1"/>
  <c r="AG4899" i="1"/>
  <c r="AH4899" i="1"/>
  <c r="AE4900" i="1"/>
  <c r="AF4900" i="1" s="1"/>
  <c r="AG4900" i="1"/>
  <c r="AH4900" i="1"/>
  <c r="AE4901" i="1"/>
  <c r="AF4901" i="1" s="1"/>
  <c r="AG4901" i="1"/>
  <c r="AH4901" i="1"/>
  <c r="AE4902" i="1"/>
  <c r="AF4902" i="1" s="1"/>
  <c r="AG4902" i="1"/>
  <c r="AH4902" i="1"/>
  <c r="AE4903" i="1"/>
  <c r="AF4903" i="1" s="1"/>
  <c r="AG4903" i="1"/>
  <c r="AH4903" i="1"/>
  <c r="AE4904" i="1"/>
  <c r="AF4904" i="1" s="1"/>
  <c r="AG4904" i="1"/>
  <c r="AH4904" i="1"/>
  <c r="AE4905" i="1"/>
  <c r="AF4905" i="1" s="1"/>
  <c r="AG4905" i="1"/>
  <c r="AH4905" i="1"/>
  <c r="AE4906" i="1"/>
  <c r="AF4906" i="1" s="1"/>
  <c r="AG4906" i="1"/>
  <c r="AH4906" i="1"/>
  <c r="AE4907" i="1"/>
  <c r="AF4907" i="1" s="1"/>
  <c r="AG4907" i="1"/>
  <c r="AH4907" i="1"/>
  <c r="AE4908" i="1"/>
  <c r="AF4908" i="1" s="1"/>
  <c r="AG4908" i="1"/>
  <c r="AH4908" i="1"/>
  <c r="AE4909" i="1"/>
  <c r="AF4909" i="1" s="1"/>
  <c r="AG4909" i="1"/>
  <c r="AH4909" i="1"/>
  <c r="AE4910" i="1"/>
  <c r="AF4910" i="1" s="1"/>
  <c r="AG4910" i="1"/>
  <c r="AH4910" i="1"/>
  <c r="AE4911" i="1"/>
  <c r="AF4911" i="1" s="1"/>
  <c r="AG4911" i="1"/>
  <c r="AH4911" i="1"/>
  <c r="AE4912" i="1"/>
  <c r="AF4912" i="1" s="1"/>
  <c r="AG4912" i="1"/>
  <c r="AH4912" i="1"/>
  <c r="AE4913" i="1"/>
  <c r="AF4913" i="1" s="1"/>
  <c r="AG4913" i="1"/>
  <c r="AH4913" i="1"/>
  <c r="AE4914" i="1"/>
  <c r="AF4914" i="1" s="1"/>
  <c r="AG4914" i="1"/>
  <c r="AH4914" i="1"/>
  <c r="AE4915" i="1"/>
  <c r="AF4915" i="1" s="1"/>
  <c r="AG4915" i="1"/>
  <c r="AH4915" i="1"/>
  <c r="AE4916" i="1"/>
  <c r="AF4916" i="1" s="1"/>
  <c r="AG4916" i="1"/>
  <c r="AH4916" i="1"/>
  <c r="AE4917" i="1"/>
  <c r="AF4917" i="1" s="1"/>
  <c r="AG4917" i="1"/>
  <c r="AH4917" i="1"/>
  <c r="AE4918" i="1"/>
  <c r="AF4918" i="1" s="1"/>
  <c r="AG4918" i="1"/>
  <c r="AH4918" i="1"/>
  <c r="AE4919" i="1"/>
  <c r="AF4919" i="1" s="1"/>
  <c r="AG4919" i="1"/>
  <c r="AH4919" i="1"/>
  <c r="AE4920" i="1"/>
  <c r="AF4920" i="1" s="1"/>
  <c r="AG4920" i="1"/>
  <c r="AH4920" i="1"/>
  <c r="AE4921" i="1"/>
  <c r="AF4921" i="1" s="1"/>
  <c r="AG4921" i="1"/>
  <c r="AH4921" i="1"/>
  <c r="AE4922" i="1"/>
  <c r="AF4922" i="1" s="1"/>
  <c r="AG4922" i="1"/>
  <c r="AH4922" i="1"/>
  <c r="AE4923" i="1"/>
  <c r="AF4923" i="1" s="1"/>
  <c r="AG4923" i="1"/>
  <c r="AH4923" i="1"/>
  <c r="AE4924" i="1"/>
  <c r="AF4924" i="1" s="1"/>
  <c r="AG4924" i="1"/>
  <c r="AH4924" i="1"/>
  <c r="AE4925" i="1"/>
  <c r="AF4925" i="1" s="1"/>
  <c r="AG4925" i="1"/>
  <c r="AH4925" i="1"/>
  <c r="AE4926" i="1"/>
  <c r="AF4926" i="1" s="1"/>
  <c r="AG4926" i="1"/>
  <c r="AH4926" i="1"/>
  <c r="AE4927" i="1"/>
  <c r="AF4927" i="1" s="1"/>
  <c r="AG4927" i="1"/>
  <c r="AH4927" i="1"/>
  <c r="AE4928" i="1"/>
  <c r="AF4928" i="1" s="1"/>
  <c r="AG4928" i="1"/>
  <c r="AH4928" i="1"/>
  <c r="AE4929" i="1"/>
  <c r="AF4929" i="1" s="1"/>
  <c r="AG4929" i="1"/>
  <c r="AH4929" i="1"/>
  <c r="AE4930" i="1"/>
  <c r="AF4930" i="1" s="1"/>
  <c r="AG4930" i="1"/>
  <c r="AH4930" i="1"/>
  <c r="AE4931" i="1"/>
  <c r="AF4931" i="1" s="1"/>
  <c r="AG4931" i="1"/>
  <c r="AH4931" i="1"/>
  <c r="AE4932" i="1"/>
  <c r="AF4932" i="1" s="1"/>
  <c r="AG4932" i="1"/>
  <c r="AH4932" i="1"/>
  <c r="AE4933" i="1"/>
  <c r="AF4933" i="1" s="1"/>
  <c r="AG4933" i="1"/>
  <c r="AH4933" i="1"/>
  <c r="AE4934" i="1"/>
  <c r="AF4934" i="1" s="1"/>
  <c r="AG4934" i="1"/>
  <c r="AH4934" i="1"/>
  <c r="AE4935" i="1"/>
  <c r="AF4935" i="1" s="1"/>
  <c r="AG4935" i="1"/>
  <c r="AH4935" i="1"/>
  <c r="AE4936" i="1"/>
  <c r="AF4936" i="1" s="1"/>
  <c r="AG4936" i="1"/>
  <c r="AH4936" i="1"/>
  <c r="AE4937" i="1"/>
  <c r="AF4937" i="1" s="1"/>
  <c r="AG4937" i="1"/>
  <c r="AH4937" i="1"/>
  <c r="AE4938" i="1"/>
  <c r="AF4938" i="1" s="1"/>
  <c r="AG4938" i="1"/>
  <c r="AH4938" i="1"/>
  <c r="AE4939" i="1"/>
  <c r="AF4939" i="1" s="1"/>
  <c r="AG4939" i="1"/>
  <c r="AH4939" i="1"/>
  <c r="AE4940" i="1"/>
  <c r="AF4940" i="1" s="1"/>
  <c r="AG4940" i="1"/>
  <c r="AH4940" i="1"/>
  <c r="AE4941" i="1"/>
  <c r="AF4941" i="1" s="1"/>
  <c r="AG4941" i="1"/>
  <c r="AH4941" i="1"/>
  <c r="AE4942" i="1"/>
  <c r="AF4942" i="1" s="1"/>
  <c r="AG4942" i="1"/>
  <c r="AH4942" i="1"/>
  <c r="AE4943" i="1"/>
  <c r="AF4943" i="1" s="1"/>
  <c r="AG4943" i="1"/>
  <c r="AH4943" i="1"/>
  <c r="AE4944" i="1"/>
  <c r="AF4944" i="1" s="1"/>
  <c r="AG4944" i="1"/>
  <c r="AH4944" i="1"/>
  <c r="AE4945" i="1"/>
  <c r="AF4945" i="1" s="1"/>
  <c r="AG4945" i="1"/>
  <c r="AH4945" i="1"/>
  <c r="AE4946" i="1"/>
  <c r="AF4946" i="1" s="1"/>
  <c r="AG4946" i="1"/>
  <c r="AH4946" i="1"/>
  <c r="AE4947" i="1"/>
  <c r="AF4947" i="1" s="1"/>
  <c r="AG4947" i="1"/>
  <c r="AH4947" i="1"/>
  <c r="AE4948" i="1"/>
  <c r="AF4948" i="1" s="1"/>
  <c r="AG4948" i="1"/>
  <c r="AH4948" i="1"/>
  <c r="AE4949" i="1"/>
  <c r="AF4949" i="1" s="1"/>
  <c r="AG4949" i="1"/>
  <c r="AH4949" i="1"/>
  <c r="AE4950" i="1"/>
  <c r="AF4950" i="1" s="1"/>
  <c r="AG4950" i="1"/>
  <c r="AH4950" i="1"/>
  <c r="AE4951" i="1"/>
  <c r="AF4951" i="1" s="1"/>
  <c r="AG4951" i="1"/>
  <c r="AH4951" i="1"/>
  <c r="AE4952" i="1"/>
  <c r="AF4952" i="1" s="1"/>
  <c r="AG4952" i="1"/>
  <c r="AH4952" i="1"/>
  <c r="AE4953" i="1"/>
  <c r="AF4953" i="1" s="1"/>
  <c r="AG4953" i="1"/>
  <c r="AH4953" i="1"/>
  <c r="AE4954" i="1"/>
  <c r="AF4954" i="1" s="1"/>
  <c r="AG4954" i="1"/>
  <c r="AH4954" i="1"/>
  <c r="AE4955" i="1"/>
  <c r="AF4955" i="1" s="1"/>
  <c r="AG4955" i="1"/>
  <c r="AH4955" i="1"/>
  <c r="AE4956" i="1"/>
  <c r="AF4956" i="1" s="1"/>
  <c r="AG4956" i="1"/>
  <c r="AH4956" i="1"/>
  <c r="AE4957" i="1"/>
  <c r="AF4957" i="1" s="1"/>
  <c r="AG4957" i="1"/>
  <c r="AH4957" i="1"/>
  <c r="AE4958" i="1"/>
  <c r="AF4958" i="1" s="1"/>
  <c r="AG4958" i="1"/>
  <c r="AH4958" i="1"/>
  <c r="AE4959" i="1"/>
  <c r="AF4959" i="1" s="1"/>
  <c r="AG4959" i="1"/>
  <c r="AH4959" i="1"/>
  <c r="AE4960" i="1"/>
  <c r="AF4960" i="1" s="1"/>
  <c r="AG4960" i="1"/>
  <c r="AH4960" i="1"/>
  <c r="AE4961" i="1"/>
  <c r="AF4961" i="1" s="1"/>
  <c r="AG4961" i="1"/>
  <c r="AH4961" i="1"/>
  <c r="AE4962" i="1"/>
  <c r="AF4962" i="1" s="1"/>
  <c r="AG4962" i="1"/>
  <c r="AH4962" i="1"/>
  <c r="AE4963" i="1"/>
  <c r="AF4963" i="1" s="1"/>
  <c r="AG4963" i="1"/>
  <c r="AH4963" i="1"/>
  <c r="AE4964" i="1"/>
  <c r="AF4964" i="1" s="1"/>
  <c r="AG4964" i="1"/>
  <c r="AH4964" i="1"/>
  <c r="AE4965" i="1"/>
  <c r="AF4965" i="1" s="1"/>
  <c r="AG4965" i="1"/>
  <c r="AH4965" i="1"/>
  <c r="AE4966" i="1"/>
  <c r="AF4966" i="1" s="1"/>
  <c r="AG4966" i="1"/>
  <c r="AH4966" i="1"/>
  <c r="AE4967" i="1"/>
  <c r="AF4967" i="1" s="1"/>
  <c r="AG4967" i="1"/>
  <c r="AH4967" i="1"/>
  <c r="AE4968" i="1"/>
  <c r="AF4968" i="1" s="1"/>
  <c r="AG4968" i="1"/>
  <c r="AH4968" i="1"/>
  <c r="AE4969" i="1"/>
  <c r="AF4969" i="1" s="1"/>
  <c r="AG4969" i="1"/>
  <c r="AH4969" i="1"/>
  <c r="AE4970" i="1"/>
  <c r="AF4970" i="1" s="1"/>
  <c r="AG4970" i="1"/>
  <c r="AH4970" i="1"/>
  <c r="AE4971" i="1"/>
  <c r="AF4971" i="1" s="1"/>
  <c r="AG4971" i="1"/>
  <c r="AH4971" i="1"/>
  <c r="AE4972" i="1"/>
  <c r="AF4972" i="1" s="1"/>
  <c r="AG4972" i="1"/>
  <c r="AH4972" i="1"/>
  <c r="AE4973" i="1"/>
  <c r="AF4973" i="1" s="1"/>
  <c r="AG4973" i="1"/>
  <c r="AH4973" i="1"/>
  <c r="AE4974" i="1"/>
  <c r="AF4974" i="1" s="1"/>
  <c r="AG4974" i="1"/>
  <c r="AH4974" i="1"/>
  <c r="AE4975" i="1"/>
  <c r="AF4975" i="1" s="1"/>
  <c r="AG4975" i="1"/>
  <c r="AH4975" i="1"/>
  <c r="AE4976" i="1"/>
  <c r="AF4976" i="1" s="1"/>
  <c r="AG4976" i="1"/>
  <c r="AH4976" i="1"/>
  <c r="AE4977" i="1"/>
  <c r="AF4977" i="1" s="1"/>
  <c r="AG4977" i="1"/>
  <c r="AH4977" i="1"/>
  <c r="AE4978" i="1"/>
  <c r="AF4978" i="1" s="1"/>
  <c r="AG4978" i="1"/>
  <c r="AH4978" i="1"/>
  <c r="AE4979" i="1"/>
  <c r="AF4979" i="1" s="1"/>
  <c r="AG4979" i="1"/>
  <c r="AH4979" i="1"/>
  <c r="AE4980" i="1"/>
  <c r="AF4980" i="1" s="1"/>
  <c r="AG4980" i="1"/>
  <c r="AH4980" i="1"/>
  <c r="AE4981" i="1"/>
  <c r="AF4981" i="1" s="1"/>
  <c r="AG4981" i="1"/>
  <c r="AH4981" i="1"/>
  <c r="AE4982" i="1"/>
  <c r="AF4982" i="1" s="1"/>
  <c r="AG4982" i="1"/>
  <c r="AH4982" i="1"/>
  <c r="AE4983" i="1"/>
  <c r="AF4983" i="1" s="1"/>
  <c r="AG4983" i="1"/>
  <c r="AH4983" i="1"/>
  <c r="AE4984" i="1"/>
  <c r="AF4984" i="1" s="1"/>
  <c r="AG4984" i="1"/>
  <c r="AH4984" i="1"/>
  <c r="AE4985" i="1"/>
  <c r="AF4985" i="1" s="1"/>
  <c r="AG4985" i="1"/>
  <c r="AH4985" i="1"/>
  <c r="AE4986" i="1"/>
  <c r="AF4986" i="1" s="1"/>
  <c r="AG4986" i="1"/>
  <c r="AH4986" i="1"/>
  <c r="AE4987" i="1"/>
  <c r="AF4987" i="1" s="1"/>
  <c r="AG4987" i="1"/>
  <c r="AH4987" i="1"/>
  <c r="AE4988" i="1"/>
  <c r="AF4988" i="1" s="1"/>
  <c r="AG4988" i="1"/>
  <c r="AH4988" i="1"/>
  <c r="AE4989" i="1"/>
  <c r="AF4989" i="1" s="1"/>
  <c r="AG4989" i="1"/>
  <c r="AH4989" i="1"/>
  <c r="AE4990" i="1"/>
  <c r="AF4990" i="1" s="1"/>
  <c r="AG4990" i="1"/>
  <c r="AH4990" i="1"/>
  <c r="AE4991" i="1"/>
  <c r="AF4991" i="1" s="1"/>
  <c r="AG4991" i="1"/>
  <c r="AH4991" i="1"/>
  <c r="AE4992" i="1"/>
  <c r="AF4992" i="1" s="1"/>
  <c r="AG4992" i="1"/>
  <c r="AH4992" i="1"/>
  <c r="AE4993" i="1"/>
  <c r="AF4993" i="1" s="1"/>
  <c r="AG4993" i="1"/>
  <c r="AH4993" i="1"/>
  <c r="AE4994" i="1"/>
  <c r="AF4994" i="1" s="1"/>
  <c r="AG4994" i="1"/>
  <c r="AH4994" i="1"/>
  <c r="AE4995" i="1"/>
  <c r="AF4995" i="1" s="1"/>
  <c r="AG4995" i="1"/>
  <c r="AH4995" i="1"/>
  <c r="AE4996" i="1"/>
  <c r="AF4996" i="1" s="1"/>
  <c r="AG4996" i="1"/>
  <c r="AH4996" i="1"/>
  <c r="AE4997" i="1"/>
  <c r="AF4997" i="1" s="1"/>
  <c r="AG4997" i="1"/>
  <c r="AH4997" i="1"/>
  <c r="AE4998" i="1"/>
  <c r="AF4998" i="1"/>
  <c r="AG4998" i="1"/>
  <c r="AH4998" i="1"/>
  <c r="AE4999" i="1"/>
  <c r="AF4999" i="1" s="1"/>
  <c r="AG4999" i="1"/>
  <c r="AH4999" i="1"/>
  <c r="AE5000" i="1"/>
  <c r="AF5000" i="1" s="1"/>
  <c r="AG5000" i="1"/>
  <c r="AH5000" i="1"/>
  <c r="AC4005" i="1"/>
  <c r="AC4006" i="1"/>
  <c r="AC4007" i="1"/>
  <c r="AC4008" i="1"/>
  <c r="AB4009" i="1"/>
  <c r="AC4009" i="1" s="1"/>
  <c r="AB4011" i="1"/>
  <c r="AC4011" i="1"/>
  <c r="AB4012" i="1"/>
  <c r="AC4012" i="1"/>
  <c r="AB4013" i="1"/>
  <c r="AC4013" i="1"/>
  <c r="AB4014" i="1"/>
  <c r="AC4014" i="1"/>
  <c r="AB4015" i="1"/>
  <c r="AC4015" i="1"/>
  <c r="AB4016" i="1"/>
  <c r="AC4016" i="1"/>
  <c r="AB4017" i="1"/>
  <c r="AC4017" i="1"/>
  <c r="AB4018" i="1"/>
  <c r="AC4018" i="1"/>
  <c r="AB4019" i="1"/>
  <c r="AC4019" i="1"/>
  <c r="AB4020" i="1"/>
  <c r="AC4020" i="1"/>
  <c r="AB4021" i="1"/>
  <c r="AC4021" i="1"/>
  <c r="AB4022" i="1"/>
  <c r="AC4022" i="1"/>
  <c r="AB4023" i="1"/>
  <c r="AC4023" i="1"/>
  <c r="AB4024" i="1"/>
  <c r="AC4024" i="1"/>
  <c r="AB4025" i="1"/>
  <c r="AC4025" i="1"/>
  <c r="AB4026" i="1"/>
  <c r="AC4026" i="1"/>
  <c r="AB4027" i="1"/>
  <c r="AC4027" i="1"/>
  <c r="AB4028" i="1"/>
  <c r="AC4028" i="1"/>
  <c r="AB4029" i="1"/>
  <c r="AC4029" i="1"/>
  <c r="AB4030" i="1"/>
  <c r="AC4030" i="1"/>
  <c r="AB4031" i="1"/>
  <c r="AC4031" i="1"/>
  <c r="AB4032" i="1"/>
  <c r="AC4032" i="1"/>
  <c r="AB4033" i="1"/>
  <c r="AC4033" i="1"/>
  <c r="AB4034" i="1"/>
  <c r="AC4034" i="1"/>
  <c r="AB4035" i="1"/>
  <c r="AC4035" i="1"/>
  <c r="AB4036" i="1"/>
  <c r="AC4036" i="1"/>
  <c r="AB4037" i="1"/>
  <c r="AC4037" i="1"/>
  <c r="AB4038" i="1"/>
  <c r="AC4038" i="1"/>
  <c r="AB4039" i="1"/>
  <c r="AC4039" i="1"/>
  <c r="AB4040" i="1"/>
  <c r="AC4040" i="1"/>
  <c r="AB4041" i="1"/>
  <c r="AC4041" i="1"/>
  <c r="AB4042" i="1"/>
  <c r="AC4042" i="1"/>
  <c r="AB4043" i="1"/>
  <c r="AC4043" i="1"/>
  <c r="AB4044" i="1"/>
  <c r="AC4044" i="1"/>
  <c r="AB4045" i="1"/>
  <c r="AC4045" i="1"/>
  <c r="AB4046" i="1"/>
  <c r="AC4046" i="1"/>
  <c r="AB4047" i="1"/>
  <c r="AC4047" i="1"/>
  <c r="AB4048" i="1"/>
  <c r="AC4048" i="1"/>
  <c r="AB4049" i="1"/>
  <c r="AC4049" i="1"/>
  <c r="AB4050" i="1"/>
  <c r="AC4050" i="1"/>
  <c r="AB4051" i="1"/>
  <c r="AC4051" i="1"/>
  <c r="AB4052" i="1"/>
  <c r="AC4052" i="1"/>
  <c r="AB4053" i="1"/>
  <c r="AC4053" i="1"/>
  <c r="AB4054" i="1"/>
  <c r="AC4054" i="1"/>
  <c r="AB4055" i="1"/>
  <c r="AC4055" i="1"/>
  <c r="AB4056" i="1"/>
  <c r="AC4056" i="1"/>
  <c r="AB4057" i="1"/>
  <c r="AC4057" i="1"/>
  <c r="AB4058" i="1"/>
  <c r="AC4058" i="1"/>
  <c r="AB4059" i="1"/>
  <c r="AC4059" i="1"/>
  <c r="AB4060" i="1"/>
  <c r="AC4060" i="1"/>
  <c r="AB4061" i="1"/>
  <c r="AC4061" i="1"/>
  <c r="AB4062" i="1"/>
  <c r="AC4062" i="1"/>
  <c r="AB4063" i="1"/>
  <c r="AC4063" i="1"/>
  <c r="AB4064" i="1"/>
  <c r="AC4064" i="1"/>
  <c r="AB4065" i="1"/>
  <c r="AC4065" i="1"/>
  <c r="AB4066" i="1"/>
  <c r="AC4066" i="1"/>
  <c r="AB4067" i="1"/>
  <c r="AC4067" i="1"/>
  <c r="AB4068" i="1"/>
  <c r="AC4068" i="1"/>
  <c r="AB4069" i="1"/>
  <c r="AC4069" i="1"/>
  <c r="AB4070" i="1"/>
  <c r="AC4070" i="1"/>
  <c r="AB4071" i="1"/>
  <c r="AC4071" i="1"/>
  <c r="AB4072" i="1"/>
  <c r="AC4072" i="1"/>
  <c r="AB4073" i="1"/>
  <c r="AC4073" i="1"/>
  <c r="AB4074" i="1"/>
  <c r="AC4074" i="1"/>
  <c r="AB4075" i="1"/>
  <c r="AC4075" i="1"/>
  <c r="AB4076" i="1"/>
  <c r="AC4076" i="1"/>
  <c r="AB4077" i="1"/>
  <c r="AC4077" i="1"/>
  <c r="AB4078" i="1"/>
  <c r="AC4078" i="1"/>
  <c r="AB4079" i="1"/>
  <c r="AC4079" i="1"/>
  <c r="AB4080" i="1"/>
  <c r="AC4080" i="1"/>
  <c r="AB4081" i="1"/>
  <c r="AC4081" i="1"/>
  <c r="AB4082" i="1"/>
  <c r="AC4082" i="1"/>
  <c r="AB4083" i="1"/>
  <c r="AC4083" i="1"/>
  <c r="AB4084" i="1"/>
  <c r="AC4084" i="1"/>
  <c r="AB4085" i="1"/>
  <c r="AC4085" i="1"/>
  <c r="AB4086" i="1"/>
  <c r="AC4086" i="1"/>
  <c r="AB4087" i="1"/>
  <c r="AC4087" i="1"/>
  <c r="AB4088" i="1"/>
  <c r="AC4088" i="1"/>
  <c r="AB4089" i="1"/>
  <c r="AC4089" i="1"/>
  <c r="AB4090" i="1"/>
  <c r="AC4090" i="1"/>
  <c r="AB4091" i="1"/>
  <c r="AC4091" i="1"/>
  <c r="AB4092" i="1"/>
  <c r="AC4092" i="1"/>
  <c r="AB4093" i="1"/>
  <c r="AC4093" i="1"/>
  <c r="AB4094" i="1"/>
  <c r="AC4094" i="1"/>
  <c r="AB4095" i="1"/>
  <c r="AC4095" i="1"/>
  <c r="AB4096" i="1"/>
  <c r="AC4096" i="1"/>
  <c r="AB4097" i="1"/>
  <c r="AC4097" i="1"/>
  <c r="AB4098" i="1"/>
  <c r="AC4098" i="1"/>
  <c r="AB4099" i="1"/>
  <c r="AC4099" i="1"/>
  <c r="AB4100" i="1"/>
  <c r="AC4100" i="1"/>
  <c r="AB4101" i="1"/>
  <c r="AC4101" i="1"/>
  <c r="AB4102" i="1"/>
  <c r="AC4102" i="1"/>
  <c r="AB4103" i="1"/>
  <c r="AC4103" i="1"/>
  <c r="AB4104" i="1"/>
  <c r="AC4104" i="1"/>
  <c r="AB4105" i="1"/>
  <c r="AC4105" i="1"/>
  <c r="AB4106" i="1"/>
  <c r="AC4106" i="1"/>
  <c r="AB4107" i="1"/>
  <c r="AC4107" i="1"/>
  <c r="AB4108" i="1"/>
  <c r="AC4108" i="1"/>
  <c r="AB4109" i="1"/>
  <c r="AC4109" i="1"/>
  <c r="AB4110" i="1"/>
  <c r="AC4110" i="1"/>
  <c r="AB4111" i="1"/>
  <c r="AC4111" i="1"/>
  <c r="AB4112" i="1"/>
  <c r="AC4112" i="1"/>
  <c r="AB4113" i="1"/>
  <c r="AC4113" i="1"/>
  <c r="AB4114" i="1"/>
  <c r="AC4114" i="1"/>
  <c r="AB4115" i="1"/>
  <c r="AC4115" i="1"/>
  <c r="AB4116" i="1"/>
  <c r="AC4116" i="1"/>
  <c r="AB4117" i="1"/>
  <c r="AC4117" i="1"/>
  <c r="AB4118" i="1"/>
  <c r="AC4118" i="1"/>
  <c r="AB4119" i="1"/>
  <c r="AC4119" i="1"/>
  <c r="AB4120" i="1"/>
  <c r="AC4120" i="1"/>
  <c r="AB4121" i="1"/>
  <c r="AC4121" i="1"/>
  <c r="AB4122" i="1"/>
  <c r="AC4122" i="1"/>
  <c r="AB4123" i="1"/>
  <c r="AC4123" i="1"/>
  <c r="AB4124" i="1"/>
  <c r="AC4124" i="1"/>
  <c r="AB4125" i="1"/>
  <c r="AC4125" i="1"/>
  <c r="AB4126" i="1"/>
  <c r="AC4126" i="1"/>
  <c r="AB4127" i="1"/>
  <c r="AC4127" i="1"/>
  <c r="AB4128" i="1"/>
  <c r="AC4128" i="1"/>
  <c r="AB4129" i="1"/>
  <c r="AC4129" i="1"/>
  <c r="AB4130" i="1"/>
  <c r="AC4130" i="1"/>
  <c r="AB4131" i="1"/>
  <c r="AC4131" i="1"/>
  <c r="AB4132" i="1"/>
  <c r="AC4132" i="1"/>
  <c r="AB4133" i="1"/>
  <c r="AC4133" i="1"/>
  <c r="AB4134" i="1"/>
  <c r="AC4134" i="1"/>
  <c r="AB4135" i="1"/>
  <c r="AC4135" i="1"/>
  <c r="AB4136" i="1"/>
  <c r="AC4136" i="1"/>
  <c r="AB4137" i="1"/>
  <c r="AC4137" i="1"/>
  <c r="AB4138" i="1"/>
  <c r="AC4138" i="1"/>
  <c r="AB4139" i="1"/>
  <c r="AC4139" i="1"/>
  <c r="AB4140" i="1"/>
  <c r="AC4140" i="1"/>
  <c r="AB4141" i="1"/>
  <c r="AC4141" i="1"/>
  <c r="AB4142" i="1"/>
  <c r="AC4142" i="1"/>
  <c r="AB4143" i="1"/>
  <c r="AC4143" i="1"/>
  <c r="AB4144" i="1"/>
  <c r="AC4144" i="1"/>
  <c r="AB4145" i="1"/>
  <c r="AC4145" i="1"/>
  <c r="AB4146" i="1"/>
  <c r="AC4146" i="1"/>
  <c r="AB4147" i="1"/>
  <c r="AC4147" i="1"/>
  <c r="AB4148" i="1"/>
  <c r="AC4148" i="1"/>
  <c r="AB4149" i="1"/>
  <c r="AC4149" i="1"/>
  <c r="AB4150" i="1"/>
  <c r="AC4150" i="1"/>
  <c r="AB4151" i="1"/>
  <c r="AC4151" i="1"/>
  <c r="AB4152" i="1"/>
  <c r="AC4152" i="1"/>
  <c r="AB4153" i="1"/>
  <c r="AC4153" i="1"/>
  <c r="AB4154" i="1"/>
  <c r="AC4154" i="1"/>
  <c r="AB4155" i="1"/>
  <c r="AC4155" i="1"/>
  <c r="AB4156" i="1"/>
  <c r="AC4156" i="1"/>
  <c r="AB4157" i="1"/>
  <c r="AC4157" i="1"/>
  <c r="AB4158" i="1"/>
  <c r="AC4158" i="1"/>
  <c r="AB4159" i="1"/>
  <c r="AC4159" i="1"/>
  <c r="AB4160" i="1"/>
  <c r="AC4160" i="1"/>
  <c r="AB4161" i="1"/>
  <c r="AC4161" i="1"/>
  <c r="AB4162" i="1"/>
  <c r="AC4162" i="1"/>
  <c r="AB4163" i="1"/>
  <c r="AC4163" i="1"/>
  <c r="AB4164" i="1"/>
  <c r="AC4164" i="1"/>
  <c r="AB4165" i="1"/>
  <c r="AC4165" i="1"/>
  <c r="AB4166" i="1"/>
  <c r="AC4166" i="1"/>
  <c r="AB4167" i="1"/>
  <c r="AC4167" i="1"/>
  <c r="AB4168" i="1"/>
  <c r="AC4168" i="1"/>
  <c r="AB4169" i="1"/>
  <c r="AC4169" i="1"/>
  <c r="AB4170" i="1"/>
  <c r="AC4170" i="1"/>
  <c r="AB4171" i="1"/>
  <c r="AC4171" i="1"/>
  <c r="AB4172" i="1"/>
  <c r="AC4172" i="1"/>
  <c r="AB4173" i="1"/>
  <c r="AC4173" i="1"/>
  <c r="AB4174" i="1"/>
  <c r="AC4174" i="1"/>
  <c r="AB4175" i="1"/>
  <c r="AC4175" i="1"/>
  <c r="AB4176" i="1"/>
  <c r="AC4176" i="1"/>
  <c r="AB4177" i="1"/>
  <c r="AC4177" i="1"/>
  <c r="AB4178" i="1"/>
  <c r="AC4178" i="1"/>
  <c r="AB4179" i="1"/>
  <c r="AC4179" i="1"/>
  <c r="AB4180" i="1"/>
  <c r="AC4180" i="1"/>
  <c r="AB4181" i="1"/>
  <c r="AC4181" i="1"/>
  <c r="AB4182" i="1"/>
  <c r="AC4182" i="1"/>
  <c r="AB4183" i="1"/>
  <c r="AC4183" i="1"/>
  <c r="AB4184" i="1"/>
  <c r="AC4184" i="1"/>
  <c r="AB4185" i="1"/>
  <c r="AC4185" i="1"/>
  <c r="AB4186" i="1"/>
  <c r="AC4186" i="1"/>
  <c r="AB4187" i="1"/>
  <c r="AC4187" i="1"/>
  <c r="AB4188" i="1"/>
  <c r="AC4188" i="1"/>
  <c r="AB4189" i="1"/>
  <c r="AC4189" i="1"/>
  <c r="AB4190" i="1"/>
  <c r="AC4190" i="1"/>
  <c r="AB4191" i="1"/>
  <c r="AC4191" i="1"/>
  <c r="AB4192" i="1"/>
  <c r="AC4192" i="1"/>
  <c r="AB4193" i="1"/>
  <c r="AC4193" i="1"/>
  <c r="AB4194" i="1"/>
  <c r="AC4194" i="1"/>
  <c r="AB4195" i="1"/>
  <c r="AC4195" i="1"/>
  <c r="AB4196" i="1"/>
  <c r="AC4196" i="1"/>
  <c r="AB4197" i="1"/>
  <c r="AC4197" i="1"/>
  <c r="AB4198" i="1"/>
  <c r="AC4198" i="1"/>
  <c r="AB4199" i="1"/>
  <c r="AC4199" i="1"/>
  <c r="AB4200" i="1"/>
  <c r="AC4200" i="1"/>
  <c r="AB4201" i="1"/>
  <c r="AC4201" i="1"/>
  <c r="AB4202" i="1"/>
  <c r="AC4202" i="1"/>
  <c r="AB4203" i="1"/>
  <c r="AC4203" i="1"/>
  <c r="AB4204" i="1"/>
  <c r="AC4204" i="1"/>
  <c r="AB4205" i="1"/>
  <c r="AC4205" i="1"/>
  <c r="AB4206" i="1"/>
  <c r="AC4206" i="1"/>
  <c r="AB4207" i="1"/>
  <c r="AC4207" i="1"/>
  <c r="AB4208" i="1"/>
  <c r="AC4208" i="1"/>
  <c r="AB4209" i="1"/>
  <c r="AC4209" i="1"/>
  <c r="AB4210" i="1"/>
  <c r="AC4210" i="1"/>
  <c r="AB4211" i="1"/>
  <c r="AC4211" i="1"/>
  <c r="AB4212" i="1"/>
  <c r="AC4212" i="1"/>
  <c r="AB4213" i="1"/>
  <c r="AC4213" i="1"/>
  <c r="AB4214" i="1"/>
  <c r="AC4214" i="1"/>
  <c r="AB4215" i="1"/>
  <c r="AC4215" i="1"/>
  <c r="AB4216" i="1"/>
  <c r="AC4216" i="1"/>
  <c r="AB4217" i="1"/>
  <c r="AC4217" i="1"/>
  <c r="AB4218" i="1"/>
  <c r="AC4218" i="1"/>
  <c r="AB4219" i="1"/>
  <c r="AC4219" i="1"/>
  <c r="AB4220" i="1"/>
  <c r="AC4220" i="1"/>
  <c r="AB4221" i="1"/>
  <c r="AC4221" i="1"/>
  <c r="AB4222" i="1"/>
  <c r="AC4222" i="1"/>
  <c r="AB4223" i="1"/>
  <c r="AC4223" i="1"/>
  <c r="AB4224" i="1"/>
  <c r="AC4224" i="1"/>
  <c r="AB4225" i="1"/>
  <c r="AC4225" i="1"/>
  <c r="AB4226" i="1"/>
  <c r="AC4226" i="1"/>
  <c r="AB4227" i="1"/>
  <c r="AC4227" i="1"/>
  <c r="AB4228" i="1"/>
  <c r="AC4228" i="1"/>
  <c r="AB4229" i="1"/>
  <c r="AC4229" i="1"/>
  <c r="AB4230" i="1"/>
  <c r="AC4230" i="1"/>
  <c r="AB4231" i="1"/>
  <c r="AC4231" i="1"/>
  <c r="AB4232" i="1"/>
  <c r="AC4232" i="1"/>
  <c r="AB4233" i="1"/>
  <c r="AC4233" i="1"/>
  <c r="AB4234" i="1"/>
  <c r="AC4234" i="1"/>
  <c r="AB4235" i="1"/>
  <c r="AC4235" i="1"/>
  <c r="AB4236" i="1"/>
  <c r="AC4236" i="1"/>
  <c r="AB4237" i="1"/>
  <c r="AC4237" i="1"/>
  <c r="AB4238" i="1"/>
  <c r="AC4238" i="1"/>
  <c r="AB4239" i="1"/>
  <c r="AC4239" i="1"/>
  <c r="AB4240" i="1"/>
  <c r="AC4240" i="1"/>
  <c r="AB4241" i="1"/>
  <c r="AC4241" i="1"/>
  <c r="AB4242" i="1"/>
  <c r="AC4242" i="1"/>
  <c r="AB4243" i="1"/>
  <c r="AC4243" i="1"/>
  <c r="AB4244" i="1"/>
  <c r="AC4244" i="1"/>
  <c r="AB4245" i="1"/>
  <c r="AC4245" i="1"/>
  <c r="AB4246" i="1"/>
  <c r="AC4246" i="1"/>
  <c r="AB4247" i="1"/>
  <c r="AC4247" i="1"/>
  <c r="AB4248" i="1"/>
  <c r="AC4248" i="1"/>
  <c r="AB4249" i="1"/>
  <c r="AC4249" i="1"/>
  <c r="AB4250" i="1"/>
  <c r="AC4250" i="1"/>
  <c r="AB4251" i="1"/>
  <c r="AC4251" i="1"/>
  <c r="AB4252" i="1"/>
  <c r="AC4252" i="1"/>
  <c r="AB4253" i="1"/>
  <c r="AC4253" i="1"/>
  <c r="AB4254" i="1"/>
  <c r="AC4254" i="1"/>
  <c r="AB4255" i="1"/>
  <c r="AC4255" i="1"/>
  <c r="AB4256" i="1"/>
  <c r="AC4256" i="1"/>
  <c r="AB4257" i="1"/>
  <c r="AC4257" i="1"/>
  <c r="AB4258" i="1"/>
  <c r="AC4258" i="1"/>
  <c r="AB4259" i="1"/>
  <c r="AC4259" i="1"/>
  <c r="AB4260" i="1"/>
  <c r="AC4260" i="1"/>
  <c r="AB4261" i="1"/>
  <c r="AC4261" i="1"/>
  <c r="AB4262" i="1"/>
  <c r="AC4262" i="1"/>
  <c r="AB4263" i="1"/>
  <c r="AC4263" i="1"/>
  <c r="AB4264" i="1"/>
  <c r="AC4264" i="1"/>
  <c r="AB4265" i="1"/>
  <c r="AC4265" i="1"/>
  <c r="AB4266" i="1"/>
  <c r="AC4266" i="1"/>
  <c r="AB4267" i="1"/>
  <c r="AC4267" i="1"/>
  <c r="AB4268" i="1"/>
  <c r="AC4268" i="1"/>
  <c r="AB4269" i="1"/>
  <c r="AC4269" i="1"/>
  <c r="AB4270" i="1"/>
  <c r="AC4270" i="1"/>
  <c r="AB4271" i="1"/>
  <c r="AC4271" i="1"/>
  <c r="AB4272" i="1"/>
  <c r="AC4272" i="1"/>
  <c r="AB4273" i="1"/>
  <c r="AC4273" i="1"/>
  <c r="AB4274" i="1"/>
  <c r="AC4274" i="1"/>
  <c r="AB4275" i="1"/>
  <c r="AC4275" i="1"/>
  <c r="AB4276" i="1"/>
  <c r="AC4276" i="1"/>
  <c r="AB4277" i="1"/>
  <c r="AC4277" i="1"/>
  <c r="AB4278" i="1"/>
  <c r="AC4278" i="1"/>
  <c r="AB4279" i="1"/>
  <c r="AC4279" i="1"/>
  <c r="AB4280" i="1"/>
  <c r="AC4280" i="1"/>
  <c r="AB4281" i="1"/>
  <c r="AC4281" i="1"/>
  <c r="AB4282" i="1"/>
  <c r="AC4282" i="1"/>
  <c r="AB4283" i="1"/>
  <c r="AC4283" i="1"/>
  <c r="AB4284" i="1"/>
  <c r="AC4284" i="1"/>
  <c r="AB4285" i="1"/>
  <c r="AC4285" i="1"/>
  <c r="AB4286" i="1"/>
  <c r="AC4286" i="1"/>
  <c r="AB4287" i="1"/>
  <c r="AC4287" i="1"/>
  <c r="AB4288" i="1"/>
  <c r="AC4288" i="1"/>
  <c r="AB4289" i="1"/>
  <c r="AC4289" i="1"/>
  <c r="AB4290" i="1"/>
  <c r="AC4290" i="1"/>
  <c r="AB4291" i="1"/>
  <c r="AC4291" i="1"/>
  <c r="AB4292" i="1"/>
  <c r="AC4292" i="1"/>
  <c r="AB4293" i="1"/>
  <c r="AC4293" i="1"/>
  <c r="AB4294" i="1"/>
  <c r="AC4294" i="1"/>
  <c r="AB4295" i="1"/>
  <c r="AC4295" i="1"/>
  <c r="AB4296" i="1"/>
  <c r="AC4296" i="1"/>
  <c r="AB4297" i="1"/>
  <c r="AC4297" i="1"/>
  <c r="AB4298" i="1"/>
  <c r="AC4298" i="1"/>
  <c r="AB4299" i="1"/>
  <c r="AC4299" i="1"/>
  <c r="AB4300" i="1"/>
  <c r="AC4300" i="1"/>
  <c r="AB4301" i="1"/>
  <c r="AC4301" i="1"/>
  <c r="AB4302" i="1"/>
  <c r="AC4302" i="1"/>
  <c r="AB4303" i="1"/>
  <c r="AC4303" i="1"/>
  <c r="AB4304" i="1"/>
  <c r="AC4304" i="1"/>
  <c r="AB4305" i="1"/>
  <c r="AC4305" i="1"/>
  <c r="AB4306" i="1"/>
  <c r="AC4306" i="1"/>
  <c r="AB4307" i="1"/>
  <c r="AC4307" i="1"/>
  <c r="AB4308" i="1"/>
  <c r="AC4308" i="1"/>
  <c r="AB4309" i="1"/>
  <c r="AC4309" i="1"/>
  <c r="AB4310" i="1"/>
  <c r="AC4310" i="1"/>
  <c r="AB4311" i="1"/>
  <c r="AC4311" i="1"/>
  <c r="AB4312" i="1"/>
  <c r="AC4312" i="1"/>
  <c r="AB4313" i="1"/>
  <c r="AC4313" i="1"/>
  <c r="AB4314" i="1"/>
  <c r="AC4314" i="1"/>
  <c r="AB4315" i="1"/>
  <c r="AC4315" i="1"/>
  <c r="AB4316" i="1"/>
  <c r="AC4316" i="1"/>
  <c r="AB4317" i="1"/>
  <c r="AC4317" i="1"/>
  <c r="AB4318" i="1"/>
  <c r="AC4318" i="1"/>
  <c r="AB4319" i="1"/>
  <c r="AC4319" i="1"/>
  <c r="AB4320" i="1"/>
  <c r="AC4320" i="1"/>
  <c r="AB4321" i="1"/>
  <c r="AC4321" i="1"/>
  <c r="AB4322" i="1"/>
  <c r="AC4322" i="1"/>
  <c r="AB4323" i="1"/>
  <c r="AC4323" i="1"/>
  <c r="AB4324" i="1"/>
  <c r="AC4324" i="1"/>
  <c r="AB4325" i="1"/>
  <c r="AC4325" i="1"/>
  <c r="AB4326" i="1"/>
  <c r="AC4326" i="1"/>
  <c r="AB4327" i="1"/>
  <c r="AC4327" i="1"/>
  <c r="AB4328" i="1"/>
  <c r="AC4328" i="1"/>
  <c r="AB4329" i="1"/>
  <c r="AC4329" i="1"/>
  <c r="AB4330" i="1"/>
  <c r="AC4330" i="1"/>
  <c r="AB4331" i="1"/>
  <c r="AC4331" i="1"/>
  <c r="AB4332" i="1"/>
  <c r="AC4332" i="1"/>
  <c r="AB4333" i="1"/>
  <c r="AC4333" i="1"/>
  <c r="AB4334" i="1"/>
  <c r="AC4334" i="1"/>
  <c r="AB4335" i="1"/>
  <c r="AC4335" i="1"/>
  <c r="AB4336" i="1"/>
  <c r="AC4336" i="1"/>
  <c r="AB4337" i="1"/>
  <c r="AC4337" i="1"/>
  <c r="AB4338" i="1"/>
  <c r="AC4338" i="1"/>
  <c r="AB4339" i="1"/>
  <c r="AC4339" i="1"/>
  <c r="AB4340" i="1"/>
  <c r="AC4340" i="1"/>
  <c r="AB4341" i="1"/>
  <c r="AC4341" i="1"/>
  <c r="AB4342" i="1"/>
  <c r="AC4342" i="1"/>
  <c r="AB4343" i="1"/>
  <c r="AC4343" i="1"/>
  <c r="AB4344" i="1"/>
  <c r="AC4344" i="1"/>
  <c r="AB4345" i="1"/>
  <c r="AC4345" i="1"/>
  <c r="AB4346" i="1"/>
  <c r="AC4346" i="1"/>
  <c r="AB4347" i="1"/>
  <c r="AC4347" i="1"/>
  <c r="AB4348" i="1"/>
  <c r="AC4348" i="1"/>
  <c r="AB4349" i="1"/>
  <c r="AC4349" i="1"/>
  <c r="AB4350" i="1"/>
  <c r="AC4350" i="1"/>
  <c r="AB4351" i="1"/>
  <c r="AC4351" i="1"/>
  <c r="AB4352" i="1"/>
  <c r="AC4352" i="1"/>
  <c r="AB4353" i="1"/>
  <c r="AC4353" i="1"/>
  <c r="AB4354" i="1"/>
  <c r="AC4354" i="1"/>
  <c r="AB4355" i="1"/>
  <c r="AC4355" i="1"/>
  <c r="AB4356" i="1"/>
  <c r="AC4356" i="1"/>
  <c r="AB4357" i="1"/>
  <c r="AC4357" i="1"/>
  <c r="AB4358" i="1"/>
  <c r="AC4358" i="1"/>
  <c r="AB4359" i="1"/>
  <c r="AC4359" i="1"/>
  <c r="AB4360" i="1"/>
  <c r="AC4360" i="1"/>
  <c r="AB4361" i="1"/>
  <c r="AC4361" i="1"/>
  <c r="AB4362" i="1"/>
  <c r="AC4362" i="1"/>
  <c r="AB4363" i="1"/>
  <c r="AC4363" i="1"/>
  <c r="AB4364" i="1"/>
  <c r="AC4364" i="1"/>
  <c r="AB4365" i="1"/>
  <c r="AC4365" i="1"/>
  <c r="AB4366" i="1"/>
  <c r="AC4366" i="1"/>
  <c r="AB4367" i="1"/>
  <c r="AC4367" i="1"/>
  <c r="AB4368" i="1"/>
  <c r="AC4368" i="1"/>
  <c r="AB4369" i="1"/>
  <c r="AC4369" i="1"/>
  <c r="AB4370" i="1"/>
  <c r="AC4370" i="1"/>
  <c r="AB4371" i="1"/>
  <c r="AC4371" i="1"/>
  <c r="AB4372" i="1"/>
  <c r="AC4372" i="1"/>
  <c r="AB4373" i="1"/>
  <c r="AC4373" i="1"/>
  <c r="AB4374" i="1"/>
  <c r="AC4374" i="1"/>
  <c r="AB4375" i="1"/>
  <c r="AC4375" i="1"/>
  <c r="AB4376" i="1"/>
  <c r="AC4376" i="1"/>
  <c r="AB4377" i="1"/>
  <c r="AC4377" i="1"/>
  <c r="AB4378" i="1"/>
  <c r="AC4378" i="1"/>
  <c r="AB4379" i="1"/>
  <c r="AC4379" i="1"/>
  <c r="AB4380" i="1"/>
  <c r="AC4380" i="1"/>
  <c r="AB4381" i="1"/>
  <c r="AC4381" i="1"/>
  <c r="AB4382" i="1"/>
  <c r="AC4382" i="1"/>
  <c r="AB4383" i="1"/>
  <c r="AC4383" i="1"/>
  <c r="AB4384" i="1"/>
  <c r="AC4384" i="1"/>
  <c r="AB4385" i="1"/>
  <c r="AC4385" i="1"/>
  <c r="AB4386" i="1"/>
  <c r="AC4386" i="1"/>
  <c r="AB4387" i="1"/>
  <c r="AC4387" i="1"/>
  <c r="AB4388" i="1"/>
  <c r="AC4388" i="1"/>
  <c r="AB4389" i="1"/>
  <c r="AC4389" i="1"/>
  <c r="AB4390" i="1"/>
  <c r="AC4390" i="1"/>
  <c r="AB4391" i="1"/>
  <c r="AC4391" i="1"/>
  <c r="AB4392" i="1"/>
  <c r="AC4392" i="1"/>
  <c r="AB4393" i="1"/>
  <c r="AC4393" i="1"/>
  <c r="AB4394" i="1"/>
  <c r="AC4394" i="1"/>
  <c r="AB4395" i="1"/>
  <c r="AC4395" i="1"/>
  <c r="AB4396" i="1"/>
  <c r="AC4396" i="1"/>
  <c r="AB4397" i="1"/>
  <c r="AC4397" i="1"/>
  <c r="AB4398" i="1"/>
  <c r="AC4398" i="1"/>
  <c r="AB4399" i="1"/>
  <c r="AC4399" i="1"/>
  <c r="AB4400" i="1"/>
  <c r="AC4400" i="1"/>
  <c r="AB4401" i="1"/>
  <c r="AC4401" i="1"/>
  <c r="AB4402" i="1"/>
  <c r="AC4402" i="1"/>
  <c r="AB4403" i="1"/>
  <c r="AC4403" i="1"/>
  <c r="AB4404" i="1"/>
  <c r="AC4404" i="1"/>
  <c r="AB4405" i="1"/>
  <c r="AC4405" i="1"/>
  <c r="AB4406" i="1"/>
  <c r="AC4406" i="1"/>
  <c r="AB4407" i="1"/>
  <c r="AC4407" i="1"/>
  <c r="AB4408" i="1"/>
  <c r="AC4408" i="1"/>
  <c r="AB4409" i="1"/>
  <c r="AC4409" i="1"/>
  <c r="AB4410" i="1"/>
  <c r="AC4410" i="1"/>
  <c r="AB4411" i="1"/>
  <c r="AC4411" i="1"/>
  <c r="AB4412" i="1"/>
  <c r="AC4412" i="1"/>
  <c r="AB4413" i="1"/>
  <c r="AC4413" i="1"/>
  <c r="AB4414" i="1"/>
  <c r="AC4414" i="1"/>
  <c r="AB4415" i="1"/>
  <c r="AC4415" i="1"/>
  <c r="AB4416" i="1"/>
  <c r="AC4416" i="1"/>
  <c r="AB4417" i="1"/>
  <c r="AC4417" i="1"/>
  <c r="AB4418" i="1"/>
  <c r="AC4418" i="1"/>
  <c r="AB4419" i="1"/>
  <c r="AC4419" i="1"/>
  <c r="AB4420" i="1"/>
  <c r="AC4420" i="1"/>
  <c r="AB4421" i="1"/>
  <c r="AC4421" i="1"/>
  <c r="AB4422" i="1"/>
  <c r="AC4422" i="1"/>
  <c r="AB4423" i="1"/>
  <c r="AC4423" i="1"/>
  <c r="AB4424" i="1"/>
  <c r="AC4424" i="1"/>
  <c r="AB4425" i="1"/>
  <c r="AC4425" i="1"/>
  <c r="AB4426" i="1"/>
  <c r="AC4426" i="1"/>
  <c r="AB4427" i="1"/>
  <c r="AC4427" i="1"/>
  <c r="AB4428" i="1"/>
  <c r="AC4428" i="1"/>
  <c r="AB4429" i="1"/>
  <c r="AC4429" i="1"/>
  <c r="AB4430" i="1"/>
  <c r="AC4430" i="1"/>
  <c r="AB4431" i="1"/>
  <c r="AC4431" i="1"/>
  <c r="AB4432" i="1"/>
  <c r="AC4432" i="1"/>
  <c r="AB4433" i="1"/>
  <c r="AC4433" i="1"/>
  <c r="AB4434" i="1"/>
  <c r="AC4434" i="1"/>
  <c r="AB4435" i="1"/>
  <c r="AC4435" i="1"/>
  <c r="AB4436" i="1"/>
  <c r="AC4436" i="1"/>
  <c r="AB4437" i="1"/>
  <c r="AC4437" i="1"/>
  <c r="AB4438" i="1"/>
  <c r="AC4438" i="1"/>
  <c r="AB4439" i="1"/>
  <c r="AC4439" i="1"/>
  <c r="AB4440" i="1"/>
  <c r="AC4440" i="1"/>
  <c r="AB4441" i="1"/>
  <c r="AC4441" i="1"/>
  <c r="AB4442" i="1"/>
  <c r="AC4442" i="1"/>
  <c r="AB4443" i="1"/>
  <c r="AC4443" i="1"/>
  <c r="AB4444" i="1"/>
  <c r="AC4444" i="1"/>
  <c r="AB4445" i="1"/>
  <c r="AC4445" i="1"/>
  <c r="AB4446" i="1"/>
  <c r="AC4446" i="1"/>
  <c r="AB4447" i="1"/>
  <c r="AC4447" i="1"/>
  <c r="AB4448" i="1"/>
  <c r="AC4448" i="1"/>
  <c r="AB4449" i="1"/>
  <c r="AC4449" i="1"/>
  <c r="AB4450" i="1"/>
  <c r="AC4450" i="1"/>
  <c r="AB4451" i="1"/>
  <c r="AC4451" i="1"/>
  <c r="AB4452" i="1"/>
  <c r="AC4452" i="1"/>
  <c r="AB4453" i="1"/>
  <c r="AC4453" i="1"/>
  <c r="AB4454" i="1"/>
  <c r="AC4454" i="1"/>
  <c r="AB4455" i="1"/>
  <c r="AC4455" i="1"/>
  <c r="AB4456" i="1"/>
  <c r="AC4456" i="1"/>
  <c r="AB4457" i="1"/>
  <c r="AC4457" i="1"/>
  <c r="AB4458" i="1"/>
  <c r="AC4458" i="1"/>
  <c r="AB4459" i="1"/>
  <c r="AC4459" i="1"/>
  <c r="AB4460" i="1"/>
  <c r="AC4460" i="1"/>
  <c r="AB4461" i="1"/>
  <c r="AC4461" i="1"/>
  <c r="AB4462" i="1"/>
  <c r="AC4462" i="1"/>
  <c r="AB4463" i="1"/>
  <c r="AC4463" i="1"/>
  <c r="AB4464" i="1"/>
  <c r="AC4464" i="1"/>
  <c r="AB4465" i="1"/>
  <c r="AC4465" i="1"/>
  <c r="AB4466" i="1"/>
  <c r="AC4466" i="1"/>
  <c r="AB4467" i="1"/>
  <c r="AC4467" i="1"/>
  <c r="AB4468" i="1"/>
  <c r="AC4468" i="1"/>
  <c r="AB4469" i="1"/>
  <c r="AC4469" i="1"/>
  <c r="AB4470" i="1"/>
  <c r="AC4470" i="1"/>
  <c r="AB4471" i="1"/>
  <c r="AC4471" i="1"/>
  <c r="AB4472" i="1"/>
  <c r="AC4472" i="1"/>
  <c r="AB4473" i="1"/>
  <c r="AC4473" i="1"/>
  <c r="AB4474" i="1"/>
  <c r="AC4474" i="1"/>
  <c r="AB4475" i="1"/>
  <c r="AC4475" i="1"/>
  <c r="AB4476" i="1"/>
  <c r="AC4476" i="1"/>
  <c r="AB4477" i="1"/>
  <c r="AC4477" i="1"/>
  <c r="AB4478" i="1"/>
  <c r="AC4478" i="1"/>
  <c r="AB4479" i="1"/>
  <c r="AC4479" i="1"/>
  <c r="AB4480" i="1"/>
  <c r="AC4480" i="1"/>
  <c r="AB4481" i="1"/>
  <c r="AC4481" i="1"/>
  <c r="AB4482" i="1"/>
  <c r="AC4482" i="1"/>
  <c r="AB4483" i="1"/>
  <c r="AC4483" i="1"/>
  <c r="AB4484" i="1"/>
  <c r="AC4484" i="1"/>
  <c r="AB4485" i="1"/>
  <c r="AC4485" i="1"/>
  <c r="AB4486" i="1"/>
  <c r="AC4486" i="1"/>
  <c r="AB4487" i="1"/>
  <c r="AC4487" i="1"/>
  <c r="AB4488" i="1"/>
  <c r="AC4488" i="1"/>
  <c r="AB4489" i="1"/>
  <c r="AC4489" i="1"/>
  <c r="AB4490" i="1"/>
  <c r="AC4490" i="1"/>
  <c r="AB4491" i="1"/>
  <c r="AC4491" i="1"/>
  <c r="AB4492" i="1"/>
  <c r="AC4492" i="1"/>
  <c r="AB4493" i="1"/>
  <c r="AC4493" i="1"/>
  <c r="AB4494" i="1"/>
  <c r="AC4494" i="1"/>
  <c r="AB4495" i="1"/>
  <c r="AC4495" i="1"/>
  <c r="AB4496" i="1"/>
  <c r="AC4496" i="1"/>
  <c r="AB4497" i="1"/>
  <c r="AC4497" i="1"/>
  <c r="AB4498" i="1"/>
  <c r="AC4498" i="1"/>
  <c r="AB4499" i="1"/>
  <c r="AC4499" i="1"/>
  <c r="AB4500" i="1"/>
  <c r="AC4500" i="1"/>
  <c r="AB4501" i="1"/>
  <c r="AC4501" i="1"/>
  <c r="AB4502" i="1"/>
  <c r="AC4502" i="1"/>
  <c r="AB4503" i="1"/>
  <c r="AC4503" i="1"/>
  <c r="AB4504" i="1"/>
  <c r="AC4504" i="1"/>
  <c r="AB4505" i="1"/>
  <c r="AC4505" i="1"/>
  <c r="AB4506" i="1"/>
  <c r="AC4506" i="1"/>
  <c r="AB4507" i="1"/>
  <c r="AC4507" i="1"/>
  <c r="AB4508" i="1"/>
  <c r="AC4508" i="1"/>
  <c r="AB4509" i="1"/>
  <c r="AC4509" i="1"/>
  <c r="AB4510" i="1"/>
  <c r="AC4510" i="1"/>
  <c r="AB4511" i="1"/>
  <c r="AC4511" i="1"/>
  <c r="AB4512" i="1"/>
  <c r="AC4512" i="1"/>
  <c r="AB4513" i="1"/>
  <c r="AC4513" i="1"/>
  <c r="AB4514" i="1"/>
  <c r="AC4514" i="1"/>
  <c r="AB4515" i="1"/>
  <c r="AC4515" i="1"/>
  <c r="AB4516" i="1"/>
  <c r="AC4516" i="1"/>
  <c r="AB4517" i="1"/>
  <c r="AC4517" i="1"/>
  <c r="AB4518" i="1"/>
  <c r="AC4518" i="1"/>
  <c r="AB4519" i="1"/>
  <c r="AC4519" i="1"/>
  <c r="AB4520" i="1"/>
  <c r="AC4520" i="1"/>
  <c r="AB4521" i="1"/>
  <c r="AC4521" i="1"/>
  <c r="AB4522" i="1"/>
  <c r="AC4522" i="1"/>
  <c r="AB4523" i="1"/>
  <c r="AC4523" i="1"/>
  <c r="AB4524" i="1"/>
  <c r="AC4524" i="1"/>
  <c r="AB4525" i="1"/>
  <c r="AC4525" i="1"/>
  <c r="AB4526" i="1"/>
  <c r="AC4526" i="1"/>
  <c r="AB4527" i="1"/>
  <c r="AC4527" i="1"/>
  <c r="AB4528" i="1"/>
  <c r="AC4528" i="1"/>
  <c r="AB4529" i="1"/>
  <c r="AC4529" i="1"/>
  <c r="AB4530" i="1"/>
  <c r="AC4530" i="1"/>
  <c r="AB4531" i="1"/>
  <c r="AC4531" i="1"/>
  <c r="AB4532" i="1"/>
  <c r="AC4532" i="1"/>
  <c r="AB4533" i="1"/>
  <c r="AC4533" i="1"/>
  <c r="AB4534" i="1"/>
  <c r="AC4534" i="1"/>
  <c r="AB4535" i="1"/>
  <c r="AC4535" i="1"/>
  <c r="AB4536" i="1"/>
  <c r="AC4536" i="1"/>
  <c r="AB4537" i="1"/>
  <c r="AC4537" i="1"/>
  <c r="AB4538" i="1"/>
  <c r="AC4538" i="1"/>
  <c r="AB4539" i="1"/>
  <c r="AC4539" i="1"/>
  <c r="AB4540" i="1"/>
  <c r="AC4540" i="1"/>
  <c r="AB4541" i="1"/>
  <c r="AC4541" i="1"/>
  <c r="AB4542" i="1"/>
  <c r="AC4542" i="1"/>
  <c r="AB4543" i="1"/>
  <c r="AC4543" i="1"/>
  <c r="AB4544" i="1"/>
  <c r="AC4544" i="1"/>
  <c r="AB4545" i="1"/>
  <c r="AC4545" i="1"/>
  <c r="AB4546" i="1"/>
  <c r="AC4546" i="1"/>
  <c r="AB4547" i="1"/>
  <c r="AC4547" i="1"/>
  <c r="AB4548" i="1"/>
  <c r="AC4548" i="1"/>
  <c r="AB4549" i="1"/>
  <c r="AC4549" i="1"/>
  <c r="AB4550" i="1"/>
  <c r="AC4550" i="1"/>
  <c r="AB4551" i="1"/>
  <c r="AC4551" i="1"/>
  <c r="AB4552" i="1"/>
  <c r="AC4552" i="1"/>
  <c r="AB4553" i="1"/>
  <c r="AC4553" i="1"/>
  <c r="AB4554" i="1"/>
  <c r="AC4554" i="1"/>
  <c r="AB4555" i="1"/>
  <c r="AC4555" i="1"/>
  <c r="AB4556" i="1"/>
  <c r="AC4556" i="1"/>
  <c r="AB4557" i="1"/>
  <c r="AC4557" i="1"/>
  <c r="AB4558" i="1"/>
  <c r="AC4558" i="1"/>
  <c r="AB4559" i="1"/>
  <c r="AC4559" i="1"/>
  <c r="AB4560" i="1"/>
  <c r="AC4560" i="1"/>
  <c r="AB4561" i="1"/>
  <c r="AC4561" i="1"/>
  <c r="AB4562" i="1"/>
  <c r="AC4562" i="1"/>
  <c r="AB4563" i="1"/>
  <c r="AC4563" i="1"/>
  <c r="AB4564" i="1"/>
  <c r="AC4564" i="1"/>
  <c r="AB4565" i="1"/>
  <c r="AC4565" i="1"/>
  <c r="AB4566" i="1"/>
  <c r="AC4566" i="1"/>
  <c r="AB4567" i="1"/>
  <c r="AC4567" i="1"/>
  <c r="AB4568" i="1"/>
  <c r="AC4568" i="1"/>
  <c r="AB4569" i="1"/>
  <c r="AC4569" i="1"/>
  <c r="AB4570" i="1"/>
  <c r="AC4570" i="1"/>
  <c r="AB4571" i="1"/>
  <c r="AC4571" i="1"/>
  <c r="AB4572" i="1"/>
  <c r="AC4572" i="1"/>
  <c r="AB4573" i="1"/>
  <c r="AC4573" i="1"/>
  <c r="AB4574" i="1"/>
  <c r="AC4574" i="1"/>
  <c r="AB4575" i="1"/>
  <c r="AC4575" i="1"/>
  <c r="AB4576" i="1"/>
  <c r="AC4576" i="1"/>
  <c r="AB4577" i="1"/>
  <c r="AC4577" i="1"/>
  <c r="AB4578" i="1"/>
  <c r="AC4578" i="1"/>
  <c r="AB4579" i="1"/>
  <c r="AC4579" i="1"/>
  <c r="AB4580" i="1"/>
  <c r="AC4580" i="1"/>
  <c r="AB4581" i="1"/>
  <c r="AC4581" i="1"/>
  <c r="AB4582" i="1"/>
  <c r="AC4582" i="1"/>
  <c r="AB4583" i="1"/>
  <c r="AC4583" i="1"/>
  <c r="AB4584" i="1"/>
  <c r="AC4584" i="1"/>
  <c r="AB4585" i="1"/>
  <c r="AC4585" i="1"/>
  <c r="AB4586" i="1"/>
  <c r="AC4586" i="1"/>
  <c r="AB4587" i="1"/>
  <c r="AC4587" i="1"/>
  <c r="AB4588" i="1"/>
  <c r="AC4588" i="1"/>
  <c r="AB4589" i="1"/>
  <c r="AC4589" i="1"/>
  <c r="AB4590" i="1"/>
  <c r="AC4590" i="1"/>
  <c r="AB4591" i="1"/>
  <c r="AC4591" i="1"/>
  <c r="AB4592" i="1"/>
  <c r="AC4592" i="1"/>
  <c r="AB4593" i="1"/>
  <c r="AC4593" i="1"/>
  <c r="AB4594" i="1"/>
  <c r="AC4594" i="1"/>
  <c r="AB4595" i="1"/>
  <c r="AC4595" i="1"/>
  <c r="AB4596" i="1"/>
  <c r="AC4596" i="1"/>
  <c r="AB4597" i="1"/>
  <c r="AC4597" i="1"/>
  <c r="AB4598" i="1"/>
  <c r="AC4598" i="1"/>
  <c r="AB4599" i="1"/>
  <c r="AC4599" i="1"/>
  <c r="AB4600" i="1"/>
  <c r="AC4600" i="1"/>
  <c r="AB4601" i="1"/>
  <c r="AC4601" i="1"/>
  <c r="AB4602" i="1"/>
  <c r="AC4602" i="1"/>
  <c r="AB4603" i="1"/>
  <c r="AC4603" i="1"/>
  <c r="AB4604" i="1"/>
  <c r="AC4604" i="1"/>
  <c r="AB4605" i="1"/>
  <c r="AC4605" i="1"/>
  <c r="AB4606" i="1"/>
  <c r="AC4606" i="1"/>
  <c r="AB4607" i="1"/>
  <c r="AC4607" i="1"/>
  <c r="AB4608" i="1"/>
  <c r="AC4608" i="1"/>
  <c r="AB4609" i="1"/>
  <c r="AC4609" i="1"/>
  <c r="AB4610" i="1"/>
  <c r="AC4610" i="1"/>
  <c r="AB4611" i="1"/>
  <c r="AC4611" i="1"/>
  <c r="AB4612" i="1"/>
  <c r="AC4612" i="1"/>
  <c r="AB4613" i="1"/>
  <c r="AC4613" i="1"/>
  <c r="AB4614" i="1"/>
  <c r="AC4614" i="1"/>
  <c r="AB4615" i="1"/>
  <c r="AC4615" i="1"/>
  <c r="AB4616" i="1"/>
  <c r="AC4616" i="1"/>
  <c r="AB4617" i="1"/>
  <c r="AC4617" i="1"/>
  <c r="AB4618" i="1"/>
  <c r="AC4618" i="1"/>
  <c r="AB4619" i="1"/>
  <c r="AC4619" i="1"/>
  <c r="AB4620" i="1"/>
  <c r="AC4620" i="1"/>
  <c r="AB4621" i="1"/>
  <c r="AC4621" i="1"/>
  <c r="AB4622" i="1"/>
  <c r="AC4622" i="1"/>
  <c r="AB4623" i="1"/>
  <c r="AC4623" i="1"/>
  <c r="AB4624" i="1"/>
  <c r="AC4624" i="1"/>
  <c r="AB4625" i="1"/>
  <c r="AC4625" i="1"/>
  <c r="AB4626" i="1"/>
  <c r="AC4626" i="1"/>
  <c r="AB4627" i="1"/>
  <c r="AC4627" i="1"/>
  <c r="AB4628" i="1"/>
  <c r="AC4628" i="1"/>
  <c r="AB4629" i="1"/>
  <c r="AC4629" i="1"/>
  <c r="AB4630" i="1"/>
  <c r="AC4630" i="1"/>
  <c r="AB4631" i="1"/>
  <c r="AC4631" i="1"/>
  <c r="AB4632" i="1"/>
  <c r="AC4632" i="1"/>
  <c r="AB4633" i="1"/>
  <c r="AC4633" i="1"/>
  <c r="AB4634" i="1"/>
  <c r="AC4634" i="1"/>
  <c r="AB4635" i="1"/>
  <c r="AC4635" i="1"/>
  <c r="AB4636" i="1"/>
  <c r="AC4636" i="1"/>
  <c r="AB4637" i="1"/>
  <c r="AC4637" i="1"/>
  <c r="AB4638" i="1"/>
  <c r="AC4638" i="1"/>
  <c r="AB4639" i="1"/>
  <c r="AC4639" i="1"/>
  <c r="AB4640" i="1"/>
  <c r="AC4640" i="1"/>
  <c r="AB4641" i="1"/>
  <c r="AC4641" i="1"/>
  <c r="AB4642" i="1"/>
  <c r="AC4642" i="1"/>
  <c r="AB4643" i="1"/>
  <c r="AC4643" i="1"/>
  <c r="AB4644" i="1"/>
  <c r="AC4644" i="1"/>
  <c r="AB4645" i="1"/>
  <c r="AC4645" i="1"/>
  <c r="AB4646" i="1"/>
  <c r="AC4646" i="1"/>
  <c r="AB4647" i="1"/>
  <c r="AC4647" i="1"/>
  <c r="AB4648" i="1"/>
  <c r="AC4648" i="1"/>
  <c r="AB4649" i="1"/>
  <c r="AC4649" i="1"/>
  <c r="AB4650" i="1"/>
  <c r="AC4650" i="1"/>
  <c r="AB4651" i="1"/>
  <c r="AC4651" i="1"/>
  <c r="AB4652" i="1"/>
  <c r="AC4652" i="1"/>
  <c r="AB4653" i="1"/>
  <c r="AC4653" i="1"/>
  <c r="AB4654" i="1"/>
  <c r="AC4654" i="1"/>
  <c r="AB4655" i="1"/>
  <c r="AC4655" i="1"/>
  <c r="AB4656" i="1"/>
  <c r="AC4656" i="1"/>
  <c r="AB4657" i="1"/>
  <c r="AC4657" i="1"/>
  <c r="AB4658" i="1"/>
  <c r="AC4658" i="1"/>
  <c r="AB4659" i="1"/>
  <c r="AC4659" i="1"/>
  <c r="AB4660" i="1"/>
  <c r="AC4660" i="1"/>
  <c r="AB4661" i="1"/>
  <c r="AC4661" i="1"/>
  <c r="AB4662" i="1"/>
  <c r="AC4662" i="1"/>
  <c r="AB4663" i="1"/>
  <c r="AC4663" i="1"/>
  <c r="AB4664" i="1"/>
  <c r="AC4664" i="1"/>
  <c r="AB4665" i="1"/>
  <c r="AC4665" i="1"/>
  <c r="AB4666" i="1"/>
  <c r="AC4666" i="1"/>
  <c r="AB4667" i="1"/>
  <c r="AC4667" i="1"/>
  <c r="AB4668" i="1"/>
  <c r="AC4668" i="1"/>
  <c r="AB4669" i="1"/>
  <c r="AC4669" i="1"/>
  <c r="AB4670" i="1"/>
  <c r="AC4670" i="1"/>
  <c r="AB4671" i="1"/>
  <c r="AC4671" i="1"/>
  <c r="AB4672" i="1"/>
  <c r="AC4672" i="1"/>
  <c r="AB4673" i="1"/>
  <c r="AC4673" i="1"/>
  <c r="AB4674" i="1"/>
  <c r="AC4674" i="1"/>
  <c r="AB4675" i="1"/>
  <c r="AC4675" i="1"/>
  <c r="AB4676" i="1"/>
  <c r="AC4676" i="1"/>
  <c r="AB4677" i="1"/>
  <c r="AC4677" i="1"/>
  <c r="AB4678" i="1"/>
  <c r="AC4678" i="1"/>
  <c r="AB4679" i="1"/>
  <c r="AC4679" i="1"/>
  <c r="AB4680" i="1"/>
  <c r="AC4680" i="1"/>
  <c r="AB4681" i="1"/>
  <c r="AC4681" i="1"/>
  <c r="AB4682" i="1"/>
  <c r="AC4682" i="1"/>
  <c r="AB4683" i="1"/>
  <c r="AC4683" i="1"/>
  <c r="AB4684" i="1"/>
  <c r="AC4684" i="1"/>
  <c r="AB4685" i="1"/>
  <c r="AC4685" i="1"/>
  <c r="AB4686" i="1"/>
  <c r="AC4686" i="1"/>
  <c r="AB4687" i="1"/>
  <c r="AC4687" i="1"/>
  <c r="AB4688" i="1"/>
  <c r="AC4688" i="1"/>
  <c r="AB4689" i="1"/>
  <c r="AC4689" i="1"/>
  <c r="AB4690" i="1"/>
  <c r="AC4690" i="1"/>
  <c r="AB4691" i="1"/>
  <c r="AC4691" i="1"/>
  <c r="AB4692" i="1"/>
  <c r="AC4692" i="1"/>
  <c r="AB4693" i="1"/>
  <c r="AC4693" i="1"/>
  <c r="AB4694" i="1"/>
  <c r="AC4694" i="1"/>
  <c r="AB4695" i="1"/>
  <c r="AC4695" i="1"/>
  <c r="AB4696" i="1"/>
  <c r="AC4696" i="1"/>
  <c r="AB4697" i="1"/>
  <c r="AC4697" i="1"/>
  <c r="AB4698" i="1"/>
  <c r="AC4698" i="1"/>
  <c r="AB4699" i="1"/>
  <c r="AC4699" i="1"/>
  <c r="AB4700" i="1"/>
  <c r="AC4700" i="1"/>
  <c r="AB4701" i="1"/>
  <c r="AC4701" i="1"/>
  <c r="AB4702" i="1"/>
  <c r="AC4702" i="1"/>
  <c r="AB4703" i="1"/>
  <c r="AC4703" i="1"/>
  <c r="AB4704" i="1"/>
  <c r="AC4704" i="1"/>
  <c r="AB4705" i="1"/>
  <c r="AC4705" i="1"/>
  <c r="AB4706" i="1"/>
  <c r="AC4706" i="1"/>
  <c r="AB4707" i="1"/>
  <c r="AC4707" i="1"/>
  <c r="AB4708" i="1"/>
  <c r="AC4708" i="1"/>
  <c r="AB4709" i="1"/>
  <c r="AC4709" i="1"/>
  <c r="AB4710" i="1"/>
  <c r="AC4710" i="1"/>
  <c r="AB4711" i="1"/>
  <c r="AC4711" i="1"/>
  <c r="AB4712" i="1"/>
  <c r="AC4712" i="1"/>
  <c r="AB4713" i="1"/>
  <c r="AC4713" i="1"/>
  <c r="AB4714" i="1"/>
  <c r="AC4714" i="1"/>
  <c r="AB4715" i="1"/>
  <c r="AC4715" i="1"/>
  <c r="AB4716" i="1"/>
  <c r="AC4716" i="1"/>
  <c r="AB4717" i="1"/>
  <c r="AC4717" i="1"/>
  <c r="AB4718" i="1"/>
  <c r="AC4718" i="1"/>
  <c r="AB4719" i="1"/>
  <c r="AC4719" i="1"/>
  <c r="AB4720" i="1"/>
  <c r="AC4720" i="1"/>
  <c r="AB4721" i="1"/>
  <c r="AC4721" i="1"/>
  <c r="AB4722" i="1"/>
  <c r="AC4722" i="1"/>
  <c r="AB4723" i="1"/>
  <c r="AC4723" i="1"/>
  <c r="AB4724" i="1"/>
  <c r="AC4724" i="1"/>
  <c r="AB4725" i="1"/>
  <c r="AC4725" i="1"/>
  <c r="AB4726" i="1"/>
  <c r="AC4726" i="1"/>
  <c r="AB4727" i="1"/>
  <c r="AC4727" i="1"/>
  <c r="AB4728" i="1"/>
  <c r="AC4728" i="1"/>
  <c r="AB4729" i="1"/>
  <c r="AC4729" i="1"/>
  <c r="AB4730" i="1"/>
  <c r="AC4730" i="1"/>
  <c r="AB4731" i="1"/>
  <c r="AC4731" i="1"/>
  <c r="AB4732" i="1"/>
  <c r="AC4732" i="1"/>
  <c r="AB4733" i="1"/>
  <c r="AC4733" i="1"/>
  <c r="AB4734" i="1"/>
  <c r="AC4734" i="1"/>
  <c r="AB4735" i="1"/>
  <c r="AC4735" i="1"/>
  <c r="AB4736" i="1"/>
  <c r="AC4736" i="1"/>
  <c r="AB4737" i="1"/>
  <c r="AC4737" i="1"/>
  <c r="AB4738" i="1"/>
  <c r="AC4738" i="1"/>
  <c r="AB4739" i="1"/>
  <c r="AC4739" i="1"/>
  <c r="AB4740" i="1"/>
  <c r="AC4740" i="1"/>
  <c r="AB4741" i="1"/>
  <c r="AC4741" i="1"/>
  <c r="AB4742" i="1"/>
  <c r="AC4742" i="1"/>
  <c r="AB4743" i="1"/>
  <c r="AC4743" i="1"/>
  <c r="AB4744" i="1"/>
  <c r="AC4744" i="1"/>
  <c r="AB4745" i="1"/>
  <c r="AC4745" i="1"/>
  <c r="AB4746" i="1"/>
  <c r="AC4746" i="1"/>
  <c r="AB4747" i="1"/>
  <c r="AC4747" i="1"/>
  <c r="AB4748" i="1"/>
  <c r="AC4748" i="1"/>
  <c r="AB4749" i="1"/>
  <c r="AC4749" i="1"/>
  <c r="AB4750" i="1"/>
  <c r="AC4750" i="1"/>
  <c r="AB4751" i="1"/>
  <c r="AC4751" i="1"/>
  <c r="AB4752" i="1"/>
  <c r="AC4752" i="1"/>
  <c r="AB4753" i="1"/>
  <c r="AC4753" i="1"/>
  <c r="AB4754" i="1"/>
  <c r="AC4754" i="1"/>
  <c r="AB4755" i="1"/>
  <c r="AC4755" i="1"/>
  <c r="AB4756" i="1"/>
  <c r="AC4756" i="1"/>
  <c r="AB4757" i="1"/>
  <c r="AC4757" i="1"/>
  <c r="AB4758" i="1"/>
  <c r="AC4758" i="1"/>
  <c r="AB4759" i="1"/>
  <c r="AC4759" i="1"/>
  <c r="AB4760" i="1"/>
  <c r="AC4760" i="1"/>
  <c r="AB4761" i="1"/>
  <c r="AC4761" i="1"/>
  <c r="AB4762" i="1"/>
  <c r="AC4762" i="1"/>
  <c r="AB4763" i="1"/>
  <c r="AC4763" i="1"/>
  <c r="AB4764" i="1"/>
  <c r="AC4764" i="1"/>
  <c r="AB4765" i="1"/>
  <c r="AC4765" i="1"/>
  <c r="AB4766" i="1"/>
  <c r="AC4766" i="1"/>
  <c r="AB4767" i="1"/>
  <c r="AC4767" i="1"/>
  <c r="AB4768" i="1"/>
  <c r="AC4768" i="1"/>
  <c r="AB4769" i="1"/>
  <c r="AC4769" i="1"/>
  <c r="AB4770" i="1"/>
  <c r="AC4770" i="1"/>
  <c r="AB4771" i="1"/>
  <c r="AC4771" i="1"/>
  <c r="AB4772" i="1"/>
  <c r="AC4772" i="1"/>
  <c r="AB4773" i="1"/>
  <c r="AC4773" i="1"/>
  <c r="AB4774" i="1"/>
  <c r="AC4774" i="1"/>
  <c r="AB4775" i="1"/>
  <c r="AC4775" i="1"/>
  <c r="AB4776" i="1"/>
  <c r="AC4776" i="1"/>
  <c r="AB4777" i="1"/>
  <c r="AC4777" i="1"/>
  <c r="AB4778" i="1"/>
  <c r="AC4778" i="1"/>
  <c r="AB4779" i="1"/>
  <c r="AC4779" i="1"/>
  <c r="AB4780" i="1"/>
  <c r="AC4780" i="1"/>
  <c r="AB4781" i="1"/>
  <c r="AC4781" i="1"/>
  <c r="AB4782" i="1"/>
  <c r="AC4782" i="1"/>
  <c r="AB4783" i="1"/>
  <c r="AC4783" i="1"/>
  <c r="AB4784" i="1"/>
  <c r="AC4784" i="1"/>
  <c r="AB4785" i="1"/>
  <c r="AC4785" i="1"/>
  <c r="AB4786" i="1"/>
  <c r="AC4786" i="1"/>
  <c r="AB4787" i="1"/>
  <c r="AC4787" i="1"/>
  <c r="AB4788" i="1"/>
  <c r="AC4788" i="1"/>
  <c r="AB4789" i="1"/>
  <c r="AC4789" i="1"/>
  <c r="AB4790" i="1"/>
  <c r="AC4790" i="1"/>
  <c r="AB4791" i="1"/>
  <c r="AC4791" i="1"/>
  <c r="AB4792" i="1"/>
  <c r="AC4792" i="1"/>
  <c r="AB4793" i="1"/>
  <c r="AC4793" i="1"/>
  <c r="AB4794" i="1"/>
  <c r="AC4794" i="1"/>
  <c r="AB4795" i="1"/>
  <c r="AC4795" i="1"/>
  <c r="AB4796" i="1"/>
  <c r="AC4796" i="1"/>
  <c r="AB4797" i="1"/>
  <c r="AC4797" i="1"/>
  <c r="AB4798" i="1"/>
  <c r="AC4798" i="1"/>
  <c r="AB4799" i="1"/>
  <c r="AC4799" i="1"/>
  <c r="AB4800" i="1"/>
  <c r="AC4800" i="1"/>
  <c r="AB4801" i="1"/>
  <c r="AC4801" i="1"/>
  <c r="AB4802" i="1"/>
  <c r="AC4802" i="1"/>
  <c r="AB4803" i="1"/>
  <c r="AC4803" i="1"/>
  <c r="AB4804" i="1"/>
  <c r="AC4804" i="1"/>
  <c r="AB4805" i="1"/>
  <c r="AC4805" i="1"/>
  <c r="AB4806" i="1"/>
  <c r="AC4806" i="1"/>
  <c r="AB4807" i="1"/>
  <c r="AC4807" i="1"/>
  <c r="AB4808" i="1"/>
  <c r="AC4808" i="1"/>
  <c r="AB4809" i="1"/>
  <c r="AC4809" i="1"/>
  <c r="AB4810" i="1"/>
  <c r="AC4810" i="1"/>
  <c r="AB4811" i="1"/>
  <c r="AC4811" i="1"/>
  <c r="AB4812" i="1"/>
  <c r="AC4812" i="1"/>
  <c r="AB4813" i="1"/>
  <c r="AC4813" i="1"/>
  <c r="AB4814" i="1"/>
  <c r="AC4814" i="1"/>
  <c r="AB4815" i="1"/>
  <c r="AC4815" i="1"/>
  <c r="AB4816" i="1"/>
  <c r="AC4816" i="1"/>
  <c r="AB4817" i="1"/>
  <c r="AC4817" i="1"/>
  <c r="AB4818" i="1"/>
  <c r="AC4818" i="1"/>
  <c r="AB4819" i="1"/>
  <c r="AC4819" i="1"/>
  <c r="AB4820" i="1"/>
  <c r="AC4820" i="1"/>
  <c r="AB4821" i="1"/>
  <c r="AC4821" i="1"/>
  <c r="AB4822" i="1"/>
  <c r="AC4822" i="1"/>
  <c r="AB4823" i="1"/>
  <c r="AC4823" i="1"/>
  <c r="AB4824" i="1"/>
  <c r="AC4824" i="1"/>
  <c r="AB4825" i="1"/>
  <c r="AC4825" i="1"/>
  <c r="AB4826" i="1"/>
  <c r="AC4826" i="1"/>
  <c r="AB4827" i="1"/>
  <c r="AC4827" i="1"/>
  <c r="AB4828" i="1"/>
  <c r="AC4828" i="1"/>
  <c r="AB4829" i="1"/>
  <c r="AC4829" i="1"/>
  <c r="AB4830" i="1"/>
  <c r="AC4830" i="1"/>
  <c r="AB4831" i="1"/>
  <c r="AC4831" i="1"/>
  <c r="AB4832" i="1"/>
  <c r="AC4832" i="1"/>
  <c r="AB4833" i="1"/>
  <c r="AC4833" i="1"/>
  <c r="AB4834" i="1"/>
  <c r="AC4834" i="1"/>
  <c r="AB4835" i="1"/>
  <c r="AC4835" i="1"/>
  <c r="AB4836" i="1"/>
  <c r="AC4836" i="1"/>
  <c r="AB4837" i="1"/>
  <c r="AC4837" i="1"/>
  <c r="AB4838" i="1"/>
  <c r="AC4838" i="1"/>
  <c r="AB4839" i="1"/>
  <c r="AC4839" i="1"/>
  <c r="AB4840" i="1"/>
  <c r="AC4840" i="1"/>
  <c r="AB4841" i="1"/>
  <c r="AC4841" i="1"/>
  <c r="AB4842" i="1"/>
  <c r="AC4842" i="1"/>
  <c r="AB4843" i="1"/>
  <c r="AC4843" i="1"/>
  <c r="AB4844" i="1"/>
  <c r="AC4844" i="1"/>
  <c r="AB4845" i="1"/>
  <c r="AC4845" i="1"/>
  <c r="AB4846" i="1"/>
  <c r="AC4846" i="1"/>
  <c r="AB4847" i="1"/>
  <c r="AC4847" i="1"/>
  <c r="AB4848" i="1"/>
  <c r="AC4848" i="1"/>
  <c r="AB4849" i="1"/>
  <c r="AC4849" i="1"/>
  <c r="AB4850" i="1"/>
  <c r="AC4850" i="1"/>
  <c r="AB4851" i="1"/>
  <c r="AC4851" i="1"/>
  <c r="AB4852" i="1"/>
  <c r="AC4852" i="1"/>
  <c r="AB4853" i="1"/>
  <c r="AC4853" i="1"/>
  <c r="AB4854" i="1"/>
  <c r="AC4854" i="1"/>
  <c r="AB4855" i="1"/>
  <c r="AC4855" i="1"/>
  <c r="AB4856" i="1"/>
  <c r="AC4856" i="1"/>
  <c r="AB4857" i="1"/>
  <c r="AC4857" i="1"/>
  <c r="AB4858" i="1"/>
  <c r="AC4858" i="1"/>
  <c r="AB4859" i="1"/>
  <c r="AC4859" i="1"/>
  <c r="AB4860" i="1"/>
  <c r="AC4860" i="1"/>
  <c r="AB4861" i="1"/>
  <c r="AC4861" i="1"/>
  <c r="AB4862" i="1"/>
  <c r="AC4862" i="1"/>
  <c r="AB4863" i="1"/>
  <c r="AC4863" i="1"/>
  <c r="AB4864" i="1"/>
  <c r="AC4864" i="1"/>
  <c r="AB4865" i="1"/>
  <c r="AC4865" i="1"/>
  <c r="AB4866" i="1"/>
  <c r="AC4866" i="1"/>
  <c r="AB4867" i="1"/>
  <c r="AC4867" i="1"/>
  <c r="AB4868" i="1"/>
  <c r="AC4868" i="1"/>
  <c r="AB4869" i="1"/>
  <c r="AC4869" i="1"/>
  <c r="AB4870" i="1"/>
  <c r="AC4870" i="1"/>
  <c r="AB4871" i="1"/>
  <c r="AC4871" i="1"/>
  <c r="AB4872" i="1"/>
  <c r="AC4872" i="1"/>
  <c r="AB4873" i="1"/>
  <c r="AC4873" i="1"/>
  <c r="AB4874" i="1"/>
  <c r="AC4874" i="1"/>
  <c r="AB4875" i="1"/>
  <c r="AC4875" i="1"/>
  <c r="AB4876" i="1"/>
  <c r="AC4876" i="1"/>
  <c r="AB4877" i="1"/>
  <c r="AC4877" i="1"/>
  <c r="AB4878" i="1"/>
  <c r="AC4878" i="1"/>
  <c r="AB4879" i="1"/>
  <c r="AC4879" i="1"/>
  <c r="AB4880" i="1"/>
  <c r="AC4880" i="1"/>
  <c r="AB4881" i="1"/>
  <c r="AC4881" i="1"/>
  <c r="AB4882" i="1"/>
  <c r="AC4882" i="1"/>
  <c r="AB4883" i="1"/>
  <c r="AC4883" i="1"/>
  <c r="AB4884" i="1"/>
  <c r="AC4884" i="1"/>
  <c r="AB4885" i="1"/>
  <c r="AC4885" i="1"/>
  <c r="AB4886" i="1"/>
  <c r="AC4886" i="1"/>
  <c r="AB4887" i="1"/>
  <c r="AC4887" i="1"/>
  <c r="AB4888" i="1"/>
  <c r="AC4888" i="1"/>
  <c r="AB4889" i="1"/>
  <c r="AC4889" i="1"/>
  <c r="AB4890" i="1"/>
  <c r="AC4890" i="1"/>
  <c r="AB4891" i="1"/>
  <c r="AC4891" i="1"/>
  <c r="AB4892" i="1"/>
  <c r="AC4892" i="1"/>
  <c r="AB4893" i="1"/>
  <c r="AC4893" i="1"/>
  <c r="AB4894" i="1"/>
  <c r="AC4894" i="1"/>
  <c r="AB4895" i="1"/>
  <c r="AC4895" i="1"/>
  <c r="AB4896" i="1"/>
  <c r="AC4896" i="1"/>
  <c r="AB4897" i="1"/>
  <c r="AC4897" i="1"/>
  <c r="AB4898" i="1"/>
  <c r="AC4898" i="1"/>
  <c r="AB4899" i="1"/>
  <c r="AC4899" i="1"/>
  <c r="AB4900" i="1"/>
  <c r="AC4900" i="1"/>
  <c r="AB4901" i="1"/>
  <c r="AC4901" i="1"/>
  <c r="AB4902" i="1"/>
  <c r="AC4902" i="1"/>
  <c r="AB4903" i="1"/>
  <c r="AC4903" i="1"/>
  <c r="AB4904" i="1"/>
  <c r="AC4904" i="1"/>
  <c r="AB4905" i="1"/>
  <c r="AC4905" i="1"/>
  <c r="AB4906" i="1"/>
  <c r="AC4906" i="1"/>
  <c r="AB4907" i="1"/>
  <c r="AC4907" i="1"/>
  <c r="AB4908" i="1"/>
  <c r="AC4908" i="1"/>
  <c r="AB4909" i="1"/>
  <c r="AC4909" i="1"/>
  <c r="AB4910" i="1"/>
  <c r="AC4910" i="1"/>
  <c r="AB4911" i="1"/>
  <c r="AC4911" i="1"/>
  <c r="AB4912" i="1"/>
  <c r="AC4912" i="1"/>
  <c r="AB4913" i="1"/>
  <c r="AC4913" i="1"/>
  <c r="AB4914" i="1"/>
  <c r="AC4914" i="1"/>
  <c r="AB4915" i="1"/>
  <c r="AC4915" i="1"/>
  <c r="AB4916" i="1"/>
  <c r="AC4916" i="1"/>
  <c r="AB4917" i="1"/>
  <c r="AC4917" i="1"/>
  <c r="AB4918" i="1"/>
  <c r="AC4918" i="1"/>
  <c r="AB4919" i="1"/>
  <c r="AC4919" i="1"/>
  <c r="AB4920" i="1"/>
  <c r="AC4920" i="1"/>
  <c r="AB4921" i="1"/>
  <c r="AC4921" i="1"/>
  <c r="AB4922" i="1"/>
  <c r="AC4922" i="1"/>
  <c r="AB4923" i="1"/>
  <c r="AC4923" i="1"/>
  <c r="AB4924" i="1"/>
  <c r="AC4924" i="1"/>
  <c r="AB4925" i="1"/>
  <c r="AC4925" i="1"/>
  <c r="AB4926" i="1"/>
  <c r="AC4926" i="1"/>
  <c r="AB4927" i="1"/>
  <c r="AC4927" i="1"/>
  <c r="AB4928" i="1"/>
  <c r="AC4928" i="1"/>
  <c r="AB4929" i="1"/>
  <c r="AC4929" i="1"/>
  <c r="AB4930" i="1"/>
  <c r="AC4930" i="1"/>
  <c r="AB4931" i="1"/>
  <c r="AC4931" i="1"/>
  <c r="AB4932" i="1"/>
  <c r="AC4932" i="1"/>
  <c r="AB4933" i="1"/>
  <c r="AC4933" i="1"/>
  <c r="AB4934" i="1"/>
  <c r="AC4934" i="1"/>
  <c r="AB4935" i="1"/>
  <c r="AC4935" i="1"/>
  <c r="AB4936" i="1"/>
  <c r="AC4936" i="1"/>
  <c r="AB4937" i="1"/>
  <c r="AC4937" i="1"/>
  <c r="AB4938" i="1"/>
  <c r="AC4938" i="1"/>
  <c r="AB4939" i="1"/>
  <c r="AC4939" i="1"/>
  <c r="AB4940" i="1"/>
  <c r="AC4940" i="1"/>
  <c r="AB4941" i="1"/>
  <c r="AC4941" i="1"/>
  <c r="AB4942" i="1"/>
  <c r="AC4942" i="1"/>
  <c r="AB4943" i="1"/>
  <c r="AC4943" i="1"/>
  <c r="AB4944" i="1"/>
  <c r="AC4944" i="1"/>
  <c r="AB4945" i="1"/>
  <c r="AC4945" i="1"/>
  <c r="AB4946" i="1"/>
  <c r="AC4946" i="1"/>
  <c r="AB4947" i="1"/>
  <c r="AC4947" i="1"/>
  <c r="AB4948" i="1"/>
  <c r="AC4948" i="1"/>
  <c r="AB4949" i="1"/>
  <c r="AC4949" i="1"/>
  <c r="AB4950" i="1"/>
  <c r="AC4950" i="1"/>
  <c r="AB4951" i="1"/>
  <c r="AC4951" i="1"/>
  <c r="AB4952" i="1"/>
  <c r="AC4952" i="1"/>
  <c r="AB4953" i="1"/>
  <c r="AC4953" i="1"/>
  <c r="AB4954" i="1"/>
  <c r="AC4954" i="1"/>
  <c r="AB4955" i="1"/>
  <c r="AC4955" i="1"/>
  <c r="AB4956" i="1"/>
  <c r="AC4956" i="1"/>
  <c r="AB4957" i="1"/>
  <c r="AC4957" i="1"/>
  <c r="AB4958" i="1"/>
  <c r="AC4958" i="1"/>
  <c r="AB4959" i="1"/>
  <c r="AC4959" i="1"/>
  <c r="AB4960" i="1"/>
  <c r="AC4960" i="1"/>
  <c r="AB4961" i="1"/>
  <c r="AC4961" i="1"/>
  <c r="AB4962" i="1"/>
  <c r="AC4962" i="1"/>
  <c r="AB4963" i="1"/>
  <c r="AC4963" i="1"/>
  <c r="AB4964" i="1"/>
  <c r="AC4964" i="1"/>
  <c r="AB4965" i="1"/>
  <c r="AC4965" i="1"/>
  <c r="AB4966" i="1"/>
  <c r="AC4966" i="1"/>
  <c r="AB4967" i="1"/>
  <c r="AC4967" i="1"/>
  <c r="AB4968" i="1"/>
  <c r="AC4968" i="1"/>
  <c r="AB4969" i="1"/>
  <c r="AC4969" i="1"/>
  <c r="AB4970" i="1"/>
  <c r="AC4970" i="1"/>
  <c r="AB4971" i="1"/>
  <c r="AC4971" i="1"/>
  <c r="AB4972" i="1"/>
  <c r="AC4972" i="1"/>
  <c r="AB4973" i="1"/>
  <c r="AC4973" i="1"/>
  <c r="AB4974" i="1"/>
  <c r="AC4974" i="1"/>
  <c r="AB4975" i="1"/>
  <c r="AC4975" i="1"/>
  <c r="AB4976" i="1"/>
  <c r="AC4976" i="1"/>
  <c r="AB4977" i="1"/>
  <c r="AC4977" i="1"/>
  <c r="AB4978" i="1"/>
  <c r="AC4978" i="1"/>
  <c r="AB4979" i="1"/>
  <c r="AC4979" i="1"/>
  <c r="AB4980" i="1"/>
  <c r="AC4980" i="1"/>
  <c r="AB4981" i="1"/>
  <c r="AC4981" i="1"/>
  <c r="AB4982" i="1"/>
  <c r="AC4982" i="1"/>
  <c r="AB4983" i="1"/>
  <c r="AC4983" i="1"/>
  <c r="AB4984" i="1"/>
  <c r="AC4984" i="1"/>
  <c r="AB4985" i="1"/>
  <c r="AC4985" i="1"/>
  <c r="AB4986" i="1"/>
  <c r="AC4986" i="1"/>
  <c r="AB4987" i="1"/>
  <c r="AC4987" i="1"/>
  <c r="AB4988" i="1"/>
  <c r="AC4988" i="1"/>
  <c r="AB4989" i="1"/>
  <c r="AC4989" i="1"/>
  <c r="AB4990" i="1"/>
  <c r="AC4990" i="1"/>
  <c r="AB4991" i="1"/>
  <c r="AC4991" i="1"/>
  <c r="AB4992" i="1"/>
  <c r="AC4992" i="1"/>
  <c r="AB4993" i="1"/>
  <c r="AC4993" i="1"/>
  <c r="AB4994" i="1"/>
  <c r="AC4994" i="1"/>
  <c r="AB4995" i="1"/>
  <c r="AC4995" i="1"/>
  <c r="AB4996" i="1"/>
  <c r="AC4996" i="1"/>
  <c r="AB4997" i="1"/>
  <c r="AC4997" i="1"/>
  <c r="AB4998" i="1"/>
  <c r="AC4998" i="1"/>
  <c r="AB4999" i="1"/>
  <c r="AC4999" i="1"/>
  <c r="AB5000" i="1"/>
  <c r="AC5000" i="1"/>
  <c r="Z4002" i="1"/>
  <c r="Z4003" i="1"/>
  <c r="Z4004" i="1"/>
  <c r="Z4005" i="1"/>
  <c r="Z4006" i="1"/>
  <c r="Z4007" i="1"/>
  <c r="Z4008" i="1"/>
  <c r="Z4009" i="1"/>
  <c r="Z4010" i="1"/>
  <c r="AB4010" i="1" s="1"/>
  <c r="AC4010" i="1" s="1"/>
  <c r="Z4011" i="1"/>
  <c r="Z4012" i="1"/>
  <c r="Z4013" i="1"/>
  <c r="Z4014" i="1"/>
  <c r="Z4015" i="1"/>
  <c r="Z4016" i="1"/>
  <c r="Z4017" i="1"/>
  <c r="Z4018" i="1"/>
  <c r="Z4019" i="1"/>
  <c r="Z4020" i="1"/>
  <c r="Z4021" i="1"/>
  <c r="Z4022" i="1"/>
  <c r="Z4023" i="1"/>
  <c r="Z4024" i="1"/>
  <c r="Z4025" i="1"/>
  <c r="Z4026" i="1"/>
  <c r="Z4027" i="1"/>
  <c r="Z4028" i="1"/>
  <c r="Z4029" i="1"/>
  <c r="Z4030" i="1"/>
  <c r="Z4031" i="1"/>
  <c r="Z4032" i="1"/>
  <c r="Z4033" i="1"/>
  <c r="Z4034" i="1"/>
  <c r="Z4035" i="1"/>
  <c r="Z4036" i="1"/>
  <c r="Z4037" i="1"/>
  <c r="Z4038" i="1"/>
  <c r="Z4039" i="1"/>
  <c r="Z4040" i="1"/>
  <c r="Z4041" i="1"/>
  <c r="Z4042" i="1"/>
  <c r="Z4043" i="1"/>
  <c r="Z4044" i="1"/>
  <c r="Z4045" i="1"/>
  <c r="Z4046" i="1"/>
  <c r="Z4047" i="1"/>
  <c r="Z4048" i="1"/>
  <c r="Z4049" i="1"/>
  <c r="Z4050" i="1"/>
  <c r="Z4051" i="1"/>
  <c r="Z4052" i="1"/>
  <c r="Z4053" i="1"/>
  <c r="Z4054" i="1"/>
  <c r="Z4055" i="1"/>
  <c r="Z4056" i="1"/>
  <c r="Z4057" i="1"/>
  <c r="Z4058" i="1"/>
  <c r="Z4059" i="1"/>
  <c r="Z4060" i="1"/>
  <c r="Z4061" i="1"/>
  <c r="Z4062" i="1"/>
  <c r="Z4063" i="1"/>
  <c r="Z4064" i="1"/>
  <c r="Z4065" i="1"/>
  <c r="Z4066" i="1"/>
  <c r="Z4067" i="1"/>
  <c r="Z4068" i="1"/>
  <c r="Z4069" i="1"/>
  <c r="Z4070" i="1"/>
  <c r="Z4071" i="1"/>
  <c r="Z4072" i="1"/>
  <c r="Z4073" i="1"/>
  <c r="Z4074" i="1"/>
  <c r="Z4075" i="1"/>
  <c r="Z4076" i="1"/>
  <c r="Z4077" i="1"/>
  <c r="Z4078" i="1"/>
  <c r="Z4079" i="1"/>
  <c r="Z4080" i="1"/>
  <c r="Z4081" i="1"/>
  <c r="Z4082" i="1"/>
  <c r="Z4083" i="1"/>
  <c r="Z4084" i="1"/>
  <c r="Z4085" i="1"/>
  <c r="Z4086" i="1"/>
  <c r="Z4087" i="1"/>
  <c r="Z4088" i="1"/>
  <c r="Z4089" i="1"/>
  <c r="Z4090" i="1"/>
  <c r="Z4091" i="1"/>
  <c r="Z4092" i="1"/>
  <c r="Z4093" i="1"/>
  <c r="Z4094" i="1"/>
  <c r="Z4095" i="1"/>
  <c r="Z4096" i="1"/>
  <c r="Z4097" i="1"/>
  <c r="Z4098" i="1"/>
  <c r="Z4099" i="1"/>
  <c r="Z4100" i="1"/>
  <c r="Z4101" i="1"/>
  <c r="Z4102" i="1"/>
  <c r="Z4103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7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Z4617" i="1"/>
  <c r="Z4618" i="1"/>
  <c r="Z4619" i="1"/>
  <c r="Z4620" i="1"/>
  <c r="Z4621" i="1"/>
  <c r="Z4622" i="1"/>
  <c r="Z4623" i="1"/>
  <c r="Z4624" i="1"/>
  <c r="Z4625" i="1"/>
  <c r="Z4626" i="1"/>
  <c r="Z4627" i="1"/>
  <c r="Z4628" i="1"/>
  <c r="Z4629" i="1"/>
  <c r="Z4630" i="1"/>
  <c r="Z4631" i="1"/>
  <c r="Z4632" i="1"/>
  <c r="Z4633" i="1"/>
  <c r="Z4634" i="1"/>
  <c r="Z4635" i="1"/>
  <c r="Z4636" i="1"/>
  <c r="Z4637" i="1"/>
  <c r="Z4638" i="1"/>
  <c r="Z4639" i="1"/>
  <c r="Z4640" i="1"/>
  <c r="Z4641" i="1"/>
  <c r="Z4642" i="1"/>
  <c r="Z4643" i="1"/>
  <c r="Z4644" i="1"/>
  <c r="Z4645" i="1"/>
  <c r="Z4646" i="1"/>
  <c r="Z4647" i="1"/>
  <c r="Z4648" i="1"/>
  <c r="Z4649" i="1"/>
  <c r="Z4650" i="1"/>
  <c r="Z4651" i="1"/>
  <c r="Z4652" i="1"/>
  <c r="Z4653" i="1"/>
  <c r="Z4654" i="1"/>
  <c r="Z4655" i="1"/>
  <c r="Z4656" i="1"/>
  <c r="Z4657" i="1"/>
  <c r="Z4658" i="1"/>
  <c r="Z4659" i="1"/>
  <c r="Z4660" i="1"/>
  <c r="Z4661" i="1"/>
  <c r="Z4662" i="1"/>
  <c r="Z4663" i="1"/>
  <c r="Z4664" i="1"/>
  <c r="Z4665" i="1"/>
  <c r="Z4666" i="1"/>
  <c r="Z4667" i="1"/>
  <c r="Z4668" i="1"/>
  <c r="Z4669" i="1"/>
  <c r="Z4670" i="1"/>
  <c r="Z4671" i="1"/>
  <c r="Z4672" i="1"/>
  <c r="Z4673" i="1"/>
  <c r="Z4674" i="1"/>
  <c r="Z4675" i="1"/>
  <c r="Z4676" i="1"/>
  <c r="Z4677" i="1"/>
  <c r="Z4678" i="1"/>
  <c r="Z4679" i="1"/>
  <c r="Z4680" i="1"/>
  <c r="Z4681" i="1"/>
  <c r="Z4682" i="1"/>
  <c r="Z4683" i="1"/>
  <c r="Z4684" i="1"/>
  <c r="Z4685" i="1"/>
  <c r="Z4686" i="1"/>
  <c r="Z4687" i="1"/>
  <c r="Z4688" i="1"/>
  <c r="Z4689" i="1"/>
  <c r="Z4690" i="1"/>
  <c r="Z4691" i="1"/>
  <c r="Z4692" i="1"/>
  <c r="Z4693" i="1"/>
  <c r="Z4694" i="1"/>
  <c r="Z4695" i="1"/>
  <c r="Z4696" i="1"/>
  <c r="Z4697" i="1"/>
  <c r="Z4698" i="1"/>
  <c r="Z4699" i="1"/>
  <c r="Z4700" i="1"/>
  <c r="Z4701" i="1"/>
  <c r="Z4702" i="1"/>
  <c r="Z4703" i="1"/>
  <c r="Z4704" i="1"/>
  <c r="Z4705" i="1"/>
  <c r="Z4706" i="1"/>
  <c r="Z4707" i="1"/>
  <c r="Z4708" i="1"/>
  <c r="Z4709" i="1"/>
  <c r="Z4710" i="1"/>
  <c r="Z4711" i="1"/>
  <c r="Z4712" i="1"/>
  <c r="Z4713" i="1"/>
  <c r="Z4714" i="1"/>
  <c r="Z4715" i="1"/>
  <c r="Z4716" i="1"/>
  <c r="Z4717" i="1"/>
  <c r="Z4718" i="1"/>
  <c r="Z4719" i="1"/>
  <c r="Z4720" i="1"/>
  <c r="Z4721" i="1"/>
  <c r="Z4722" i="1"/>
  <c r="Z4723" i="1"/>
  <c r="Z4724" i="1"/>
  <c r="Z4725" i="1"/>
  <c r="Z4726" i="1"/>
  <c r="Z4727" i="1"/>
  <c r="Z4728" i="1"/>
  <c r="Z4729" i="1"/>
  <c r="Z4730" i="1"/>
  <c r="Z4731" i="1"/>
  <c r="Z4732" i="1"/>
  <c r="Z4733" i="1"/>
  <c r="Z4734" i="1"/>
  <c r="Z4735" i="1"/>
  <c r="Z4736" i="1"/>
  <c r="Z4737" i="1"/>
  <c r="Z4738" i="1"/>
  <c r="Z4739" i="1"/>
  <c r="Z4740" i="1"/>
  <c r="Z4741" i="1"/>
  <c r="Z4742" i="1"/>
  <c r="Z4743" i="1"/>
  <c r="Z4744" i="1"/>
  <c r="Z4745" i="1"/>
  <c r="Z4746" i="1"/>
  <c r="Z4747" i="1"/>
  <c r="Z4748" i="1"/>
  <c r="Z4749" i="1"/>
  <c r="Z4750" i="1"/>
  <c r="Z4751" i="1"/>
  <c r="Z4752" i="1"/>
  <c r="Z4753" i="1"/>
  <c r="Z4754" i="1"/>
  <c r="Z4755" i="1"/>
  <c r="Z4756" i="1"/>
  <c r="Z4757" i="1"/>
  <c r="Z4758" i="1"/>
  <c r="Z4759" i="1"/>
  <c r="Z4760" i="1"/>
  <c r="Z4761" i="1"/>
  <c r="Z4762" i="1"/>
  <c r="Z4763" i="1"/>
  <c r="Z4764" i="1"/>
  <c r="Z4765" i="1"/>
  <c r="Z4766" i="1"/>
  <c r="Z4767" i="1"/>
  <c r="Z4768" i="1"/>
  <c r="Z4769" i="1"/>
  <c r="Z4770" i="1"/>
  <c r="Z4771" i="1"/>
  <c r="Z4772" i="1"/>
  <c r="Z4773" i="1"/>
  <c r="Z4774" i="1"/>
  <c r="Z4775" i="1"/>
  <c r="Z4776" i="1"/>
  <c r="Z4777" i="1"/>
  <c r="Z4778" i="1"/>
  <c r="Z4779" i="1"/>
  <c r="Z4780" i="1"/>
  <c r="Z4781" i="1"/>
  <c r="Z4782" i="1"/>
  <c r="Z4783" i="1"/>
  <c r="Z4784" i="1"/>
  <c r="Z4785" i="1"/>
  <c r="Z4786" i="1"/>
  <c r="Z4787" i="1"/>
  <c r="Z4788" i="1"/>
  <c r="Z4789" i="1"/>
  <c r="Z4790" i="1"/>
  <c r="Z4791" i="1"/>
  <c r="Z4792" i="1"/>
  <c r="Z4793" i="1"/>
  <c r="Z4794" i="1"/>
  <c r="Z4795" i="1"/>
  <c r="Z4796" i="1"/>
  <c r="Z4797" i="1"/>
  <c r="Z4798" i="1"/>
  <c r="Z4799" i="1"/>
  <c r="Z4800" i="1"/>
  <c r="Z4801" i="1"/>
  <c r="Z4802" i="1"/>
  <c r="Z4803" i="1"/>
  <c r="Z4804" i="1"/>
  <c r="Z4805" i="1"/>
  <c r="Z4806" i="1"/>
  <c r="Z4807" i="1"/>
  <c r="Z4808" i="1"/>
  <c r="Z4809" i="1"/>
  <c r="Z4810" i="1"/>
  <c r="Z4811" i="1"/>
  <c r="Z4812" i="1"/>
  <c r="Z4813" i="1"/>
  <c r="Z4814" i="1"/>
  <c r="Z4815" i="1"/>
  <c r="Z4816" i="1"/>
  <c r="Z4817" i="1"/>
  <c r="Z4818" i="1"/>
  <c r="Z4819" i="1"/>
  <c r="Z4820" i="1"/>
  <c r="Z4821" i="1"/>
  <c r="Z4822" i="1"/>
  <c r="Z4823" i="1"/>
  <c r="Z4824" i="1"/>
  <c r="Z4825" i="1"/>
  <c r="Z4826" i="1"/>
  <c r="Z4827" i="1"/>
  <c r="Z4828" i="1"/>
  <c r="Z4829" i="1"/>
  <c r="Z4830" i="1"/>
  <c r="Z4831" i="1"/>
  <c r="Z4832" i="1"/>
  <c r="Z4833" i="1"/>
  <c r="Z4834" i="1"/>
  <c r="Z4835" i="1"/>
  <c r="Z4836" i="1"/>
  <c r="Z4837" i="1"/>
  <c r="Z4838" i="1"/>
  <c r="Z4839" i="1"/>
  <c r="Z4840" i="1"/>
  <c r="Z4841" i="1"/>
  <c r="Z4842" i="1"/>
  <c r="Z4843" i="1"/>
  <c r="Z4844" i="1"/>
  <c r="Z4845" i="1"/>
  <c r="Z4846" i="1"/>
  <c r="Z4847" i="1"/>
  <c r="Z4848" i="1"/>
  <c r="Z4849" i="1"/>
  <c r="Z4850" i="1"/>
  <c r="Z4851" i="1"/>
  <c r="Z4852" i="1"/>
  <c r="Z4853" i="1"/>
  <c r="Z4854" i="1"/>
  <c r="Z4855" i="1"/>
  <c r="Z4856" i="1"/>
  <c r="Z4857" i="1"/>
  <c r="Z4858" i="1"/>
  <c r="Z4859" i="1"/>
  <c r="Z4860" i="1"/>
  <c r="Z4861" i="1"/>
  <c r="Z4862" i="1"/>
  <c r="Z4863" i="1"/>
  <c r="Z4864" i="1"/>
  <c r="Z4865" i="1"/>
  <c r="Z4866" i="1"/>
  <c r="Z4867" i="1"/>
  <c r="Z4868" i="1"/>
  <c r="Z4869" i="1"/>
  <c r="Z4870" i="1"/>
  <c r="Z4871" i="1"/>
  <c r="Z4872" i="1"/>
  <c r="Z4873" i="1"/>
  <c r="Z4874" i="1"/>
  <c r="Z4875" i="1"/>
  <c r="Z4876" i="1"/>
  <c r="Z4877" i="1"/>
  <c r="Z4878" i="1"/>
  <c r="Z4879" i="1"/>
  <c r="Z4880" i="1"/>
  <c r="Z4881" i="1"/>
  <c r="Z4882" i="1"/>
  <c r="Z4883" i="1"/>
  <c r="Z4884" i="1"/>
  <c r="Z4885" i="1"/>
  <c r="Z4886" i="1"/>
  <c r="Z4887" i="1"/>
  <c r="Z4888" i="1"/>
  <c r="Z4889" i="1"/>
  <c r="Z4890" i="1"/>
  <c r="Z4891" i="1"/>
  <c r="Z4892" i="1"/>
  <c r="Z4893" i="1"/>
  <c r="Z4894" i="1"/>
  <c r="Z4895" i="1"/>
  <c r="Z4896" i="1"/>
  <c r="Z4897" i="1"/>
  <c r="Z4898" i="1"/>
  <c r="Z4899" i="1"/>
  <c r="Z4900" i="1"/>
  <c r="Z4901" i="1"/>
  <c r="Z4902" i="1"/>
  <c r="Z4903" i="1"/>
  <c r="Z4904" i="1"/>
  <c r="Z4905" i="1"/>
  <c r="Z4906" i="1"/>
  <c r="Z4907" i="1"/>
  <c r="Z4908" i="1"/>
  <c r="Z4909" i="1"/>
  <c r="Z4910" i="1"/>
  <c r="Z4911" i="1"/>
  <c r="Z4912" i="1"/>
  <c r="Z4913" i="1"/>
  <c r="Z4914" i="1"/>
  <c r="Z4915" i="1"/>
  <c r="Z4916" i="1"/>
  <c r="Z4917" i="1"/>
  <c r="Z4918" i="1"/>
  <c r="Z4919" i="1"/>
  <c r="Z4920" i="1"/>
  <c r="Z4921" i="1"/>
  <c r="Z4922" i="1"/>
  <c r="Z4923" i="1"/>
  <c r="Z4924" i="1"/>
  <c r="Z4925" i="1"/>
  <c r="Z4926" i="1"/>
  <c r="Z4927" i="1"/>
  <c r="Z4928" i="1"/>
  <c r="Z4929" i="1"/>
  <c r="Z4930" i="1"/>
  <c r="Z4931" i="1"/>
  <c r="Z4932" i="1"/>
  <c r="Z4933" i="1"/>
  <c r="Z4934" i="1"/>
  <c r="Z4935" i="1"/>
  <c r="Z4936" i="1"/>
  <c r="Z4937" i="1"/>
  <c r="Z4938" i="1"/>
  <c r="Z4939" i="1"/>
  <c r="Z4940" i="1"/>
  <c r="Z4941" i="1"/>
  <c r="Z4942" i="1"/>
  <c r="Z4943" i="1"/>
  <c r="Z4944" i="1"/>
  <c r="Z4945" i="1"/>
  <c r="Z4946" i="1"/>
  <c r="Z4947" i="1"/>
  <c r="Z4948" i="1"/>
  <c r="Z4949" i="1"/>
  <c r="Z4950" i="1"/>
  <c r="Z4951" i="1"/>
  <c r="Z4952" i="1"/>
  <c r="Z4953" i="1"/>
  <c r="Z4954" i="1"/>
  <c r="Z4955" i="1"/>
  <c r="Z4956" i="1"/>
  <c r="Z4957" i="1"/>
  <c r="Z4958" i="1"/>
  <c r="Z4959" i="1"/>
  <c r="Z4960" i="1"/>
  <c r="Z4961" i="1"/>
  <c r="Z4962" i="1"/>
  <c r="Z4963" i="1"/>
  <c r="Z4964" i="1"/>
  <c r="Z4965" i="1"/>
  <c r="Z4966" i="1"/>
  <c r="Z4967" i="1"/>
  <c r="Z4968" i="1"/>
  <c r="Z4969" i="1"/>
  <c r="Z4970" i="1"/>
  <c r="Z4971" i="1"/>
  <c r="Z4972" i="1"/>
  <c r="Z4973" i="1"/>
  <c r="Z4974" i="1"/>
  <c r="Z4975" i="1"/>
  <c r="Z4976" i="1"/>
  <c r="Z4977" i="1"/>
  <c r="Z4978" i="1"/>
  <c r="Z4979" i="1"/>
  <c r="Z4980" i="1"/>
  <c r="Z4981" i="1"/>
  <c r="Z4982" i="1"/>
  <c r="Z4983" i="1"/>
  <c r="Z4984" i="1"/>
  <c r="Z4985" i="1"/>
  <c r="Z4986" i="1"/>
  <c r="Z4987" i="1"/>
  <c r="Z4988" i="1"/>
  <c r="Z4989" i="1"/>
  <c r="Z4990" i="1"/>
  <c r="Z4991" i="1"/>
  <c r="Z4992" i="1"/>
  <c r="Z4993" i="1"/>
  <c r="Z4994" i="1"/>
  <c r="Z4995" i="1"/>
  <c r="Z4996" i="1"/>
  <c r="Z4997" i="1"/>
  <c r="Z4998" i="1"/>
  <c r="Z4999" i="1"/>
  <c r="Z5000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Y4999" i="1"/>
  <c r="Y5000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D4003" i="1"/>
  <c r="A4003" i="1" s="1"/>
  <c r="D4004" i="1"/>
  <c r="A4004" i="1" s="1"/>
  <c r="D4005" i="1"/>
  <c r="A4005" i="1" s="1"/>
  <c r="D4006" i="1"/>
  <c r="A4006" i="1" s="1"/>
  <c r="D4007" i="1"/>
  <c r="D4008" i="1"/>
  <c r="A4008" i="1" s="1"/>
  <c r="D4009" i="1"/>
  <c r="A4009" i="1" s="1"/>
  <c r="D4010" i="1"/>
  <c r="A4010" i="1" s="1"/>
  <c r="D4011" i="1"/>
  <c r="D4012" i="1"/>
  <c r="D4013" i="1"/>
  <c r="A4013" i="1" s="1"/>
  <c r="D4014" i="1"/>
  <c r="A4014" i="1" s="1"/>
  <c r="D4015" i="1"/>
  <c r="D4016" i="1"/>
  <c r="A4016" i="1" s="1"/>
  <c r="D4017" i="1"/>
  <c r="A4017" i="1" s="1"/>
  <c r="D4018" i="1"/>
  <c r="A4018" i="1" s="1"/>
  <c r="D4019" i="1"/>
  <c r="D4020" i="1"/>
  <c r="A4020" i="1" s="1"/>
  <c r="D4021" i="1"/>
  <c r="A4021" i="1" s="1"/>
  <c r="D4022" i="1"/>
  <c r="A4022" i="1" s="1"/>
  <c r="D4023" i="1"/>
  <c r="A4023" i="1" s="1"/>
  <c r="D4024" i="1"/>
  <c r="A4024" i="1" s="1"/>
  <c r="D4025" i="1"/>
  <c r="A4025" i="1" s="1"/>
  <c r="D4026" i="1"/>
  <c r="A4026" i="1" s="1"/>
  <c r="D4027" i="1"/>
  <c r="A4027" i="1" s="1"/>
  <c r="D4028" i="1"/>
  <c r="A4028" i="1" s="1"/>
  <c r="D4029" i="1"/>
  <c r="A4029" i="1" s="1"/>
  <c r="D4030" i="1"/>
  <c r="A4030" i="1" s="1"/>
  <c r="D4031" i="1"/>
  <c r="A4031" i="1" s="1"/>
  <c r="D4032" i="1"/>
  <c r="A4032" i="1" s="1"/>
  <c r="D4033" i="1"/>
  <c r="A4033" i="1" s="1"/>
  <c r="D4034" i="1"/>
  <c r="A4034" i="1" s="1"/>
  <c r="D4035" i="1"/>
  <c r="A4035" i="1" s="1"/>
  <c r="D4036" i="1"/>
  <c r="A4036" i="1" s="1"/>
  <c r="D4037" i="1"/>
  <c r="A4037" i="1" s="1"/>
  <c r="D4038" i="1"/>
  <c r="A4038" i="1" s="1"/>
  <c r="D4039" i="1"/>
  <c r="A4039" i="1" s="1"/>
  <c r="D4040" i="1"/>
  <c r="A4040" i="1" s="1"/>
  <c r="D4041" i="1"/>
  <c r="A4041" i="1" s="1"/>
  <c r="D4042" i="1"/>
  <c r="A4042" i="1" s="1"/>
  <c r="D4043" i="1"/>
  <c r="A4043" i="1" s="1"/>
  <c r="D4044" i="1"/>
  <c r="A4044" i="1" s="1"/>
  <c r="D4045" i="1"/>
  <c r="A4045" i="1" s="1"/>
  <c r="D4046" i="1"/>
  <c r="A4046" i="1" s="1"/>
  <c r="D4047" i="1"/>
  <c r="D4048" i="1"/>
  <c r="A4048" i="1" s="1"/>
  <c r="D4049" i="1"/>
  <c r="A4049" i="1" s="1"/>
  <c r="D4050" i="1"/>
  <c r="A4050" i="1" s="1"/>
  <c r="D4051" i="1"/>
  <c r="D4052" i="1"/>
  <c r="A4052" i="1" s="1"/>
  <c r="D4053" i="1"/>
  <c r="A4053" i="1" s="1"/>
  <c r="D4054" i="1"/>
  <c r="A4054" i="1" s="1"/>
  <c r="D4055" i="1"/>
  <c r="A4055" i="1" s="1"/>
  <c r="D4056" i="1"/>
  <c r="A4056" i="1" s="1"/>
  <c r="D4057" i="1"/>
  <c r="A4057" i="1" s="1"/>
  <c r="D4058" i="1"/>
  <c r="A4058" i="1" s="1"/>
  <c r="D4059" i="1"/>
  <c r="A4059" i="1" s="1"/>
  <c r="D4060" i="1"/>
  <c r="A4060" i="1" s="1"/>
  <c r="D4061" i="1"/>
  <c r="A4061" i="1" s="1"/>
  <c r="D4062" i="1"/>
  <c r="A4062" i="1" s="1"/>
  <c r="D4063" i="1"/>
  <c r="A4063" i="1" s="1"/>
  <c r="D4064" i="1"/>
  <c r="A4064" i="1" s="1"/>
  <c r="D4065" i="1"/>
  <c r="A4065" i="1" s="1"/>
  <c r="D4066" i="1"/>
  <c r="A4066" i="1" s="1"/>
  <c r="D4067" i="1"/>
  <c r="A4067" i="1" s="1"/>
  <c r="D4068" i="1"/>
  <c r="A4068" i="1" s="1"/>
  <c r="D4069" i="1"/>
  <c r="A4069" i="1" s="1"/>
  <c r="D4070" i="1"/>
  <c r="A4070" i="1" s="1"/>
  <c r="D4071" i="1"/>
  <c r="D4072" i="1"/>
  <c r="A4072" i="1" s="1"/>
  <c r="D4073" i="1"/>
  <c r="A4073" i="1" s="1"/>
  <c r="D4074" i="1"/>
  <c r="A4074" i="1" s="1"/>
  <c r="D4075" i="1"/>
  <c r="A4075" i="1" s="1"/>
  <c r="D4076" i="1"/>
  <c r="A4076" i="1" s="1"/>
  <c r="D4077" i="1"/>
  <c r="A4077" i="1" s="1"/>
  <c r="D4078" i="1"/>
  <c r="A4078" i="1" s="1"/>
  <c r="D4079" i="1"/>
  <c r="A4079" i="1" s="1"/>
  <c r="D4080" i="1"/>
  <c r="A4080" i="1" s="1"/>
  <c r="D4081" i="1"/>
  <c r="A4081" i="1" s="1"/>
  <c r="D4082" i="1"/>
  <c r="A4082" i="1" s="1"/>
  <c r="D4083" i="1"/>
  <c r="D4084" i="1"/>
  <c r="A4084" i="1" s="1"/>
  <c r="D4085" i="1"/>
  <c r="A4085" i="1" s="1"/>
  <c r="D4086" i="1"/>
  <c r="A4086" i="1" s="1"/>
  <c r="D4087" i="1"/>
  <c r="A4087" i="1" s="1"/>
  <c r="D4088" i="1"/>
  <c r="A4088" i="1" s="1"/>
  <c r="D4089" i="1"/>
  <c r="A4089" i="1" s="1"/>
  <c r="D4090" i="1"/>
  <c r="A4090" i="1" s="1"/>
  <c r="D4091" i="1"/>
  <c r="A4091" i="1" s="1"/>
  <c r="D4092" i="1"/>
  <c r="A4092" i="1" s="1"/>
  <c r="D4093" i="1"/>
  <c r="A4093" i="1" s="1"/>
  <c r="D4094" i="1"/>
  <c r="A4094" i="1" s="1"/>
  <c r="D4095" i="1"/>
  <c r="A4095" i="1" s="1"/>
  <c r="D4096" i="1"/>
  <c r="D4097" i="1"/>
  <c r="A4097" i="1" s="1"/>
  <c r="D4098" i="1"/>
  <c r="A4098" i="1" s="1"/>
  <c r="D4099" i="1"/>
  <c r="A4099" i="1" s="1"/>
  <c r="D4100" i="1"/>
  <c r="A4100" i="1" s="1"/>
  <c r="D4101" i="1"/>
  <c r="A4101" i="1" s="1"/>
  <c r="D4102" i="1"/>
  <c r="A4102" i="1" s="1"/>
  <c r="D4103" i="1"/>
  <c r="A4103" i="1" s="1"/>
  <c r="D4104" i="1"/>
  <c r="A4104" i="1" s="1"/>
  <c r="D4105" i="1"/>
  <c r="A4105" i="1" s="1"/>
  <c r="D4106" i="1"/>
  <c r="A4106" i="1" s="1"/>
  <c r="D4107" i="1"/>
  <c r="A4107" i="1" s="1"/>
  <c r="D4108" i="1"/>
  <c r="A4108" i="1" s="1"/>
  <c r="D4109" i="1"/>
  <c r="A4109" i="1" s="1"/>
  <c r="D4110" i="1"/>
  <c r="A4110" i="1" s="1"/>
  <c r="D4111" i="1"/>
  <c r="D4112" i="1"/>
  <c r="A4112" i="1" s="1"/>
  <c r="D4113" i="1"/>
  <c r="A4113" i="1" s="1"/>
  <c r="D4114" i="1"/>
  <c r="A4114" i="1" s="1"/>
  <c r="D4115" i="1"/>
  <c r="A4115" i="1" s="1"/>
  <c r="D4116" i="1"/>
  <c r="A4116" i="1" s="1"/>
  <c r="D4117" i="1"/>
  <c r="A4117" i="1" s="1"/>
  <c r="D4118" i="1"/>
  <c r="A4118" i="1" s="1"/>
  <c r="D4119" i="1"/>
  <c r="A4119" i="1" s="1"/>
  <c r="D4120" i="1"/>
  <c r="A4120" i="1" s="1"/>
  <c r="D4121" i="1"/>
  <c r="A4121" i="1" s="1"/>
  <c r="D4122" i="1"/>
  <c r="A4122" i="1" s="1"/>
  <c r="D4123" i="1"/>
  <c r="A4123" i="1" s="1"/>
  <c r="D4124" i="1"/>
  <c r="A4124" i="1" s="1"/>
  <c r="D4125" i="1"/>
  <c r="A4125" i="1" s="1"/>
  <c r="D4126" i="1"/>
  <c r="A4126" i="1" s="1"/>
  <c r="D4127" i="1"/>
  <c r="A4127" i="1" s="1"/>
  <c r="D4128" i="1"/>
  <c r="A4128" i="1" s="1"/>
  <c r="D4129" i="1"/>
  <c r="A4129" i="1" s="1"/>
  <c r="D4130" i="1"/>
  <c r="A4130" i="1" s="1"/>
  <c r="D4131" i="1"/>
  <c r="D4132" i="1"/>
  <c r="A4132" i="1" s="1"/>
  <c r="D4133" i="1"/>
  <c r="A4133" i="1" s="1"/>
  <c r="D4134" i="1"/>
  <c r="A4134" i="1" s="1"/>
  <c r="D4135" i="1"/>
  <c r="A4135" i="1" s="1"/>
  <c r="D4136" i="1"/>
  <c r="A4136" i="1" s="1"/>
  <c r="D4137" i="1"/>
  <c r="A4137" i="1" s="1"/>
  <c r="D4138" i="1"/>
  <c r="A4138" i="1" s="1"/>
  <c r="D4139" i="1"/>
  <c r="D4140" i="1"/>
  <c r="A4140" i="1" s="1"/>
  <c r="D4141" i="1"/>
  <c r="A4141" i="1" s="1"/>
  <c r="D4142" i="1"/>
  <c r="A4142" i="1" s="1"/>
  <c r="D4143" i="1"/>
  <c r="D4144" i="1"/>
  <c r="A4144" i="1" s="1"/>
  <c r="D4145" i="1"/>
  <c r="A4145" i="1" s="1"/>
  <c r="D4146" i="1"/>
  <c r="A4146" i="1" s="1"/>
  <c r="D4147" i="1"/>
  <c r="A4147" i="1" s="1"/>
  <c r="D4148" i="1"/>
  <c r="A4148" i="1" s="1"/>
  <c r="D4149" i="1"/>
  <c r="A4149" i="1" s="1"/>
  <c r="D4150" i="1"/>
  <c r="A4150" i="1" s="1"/>
  <c r="D4151" i="1"/>
  <c r="A4151" i="1" s="1"/>
  <c r="D4152" i="1"/>
  <c r="A4152" i="1" s="1"/>
  <c r="D4153" i="1"/>
  <c r="A4153" i="1" s="1"/>
  <c r="D4154" i="1"/>
  <c r="A4154" i="1" s="1"/>
  <c r="D4155" i="1"/>
  <c r="A4155" i="1" s="1"/>
  <c r="D4156" i="1"/>
  <c r="A4156" i="1" s="1"/>
  <c r="D4157" i="1"/>
  <c r="A4157" i="1" s="1"/>
  <c r="D4158" i="1"/>
  <c r="A4158" i="1" s="1"/>
  <c r="D4159" i="1"/>
  <c r="A4159" i="1" s="1"/>
  <c r="D4160" i="1"/>
  <c r="A4160" i="1" s="1"/>
  <c r="D4161" i="1"/>
  <c r="A4161" i="1" s="1"/>
  <c r="D4162" i="1"/>
  <c r="A4162" i="1" s="1"/>
  <c r="D4163" i="1"/>
  <c r="A4163" i="1" s="1"/>
  <c r="D4164" i="1"/>
  <c r="A4164" i="1" s="1"/>
  <c r="D4165" i="1"/>
  <c r="A4165" i="1" s="1"/>
  <c r="D4166" i="1"/>
  <c r="A4166" i="1" s="1"/>
  <c r="D4167" i="1"/>
  <c r="A4167" i="1" s="1"/>
  <c r="D4168" i="1"/>
  <c r="A4168" i="1" s="1"/>
  <c r="D4169" i="1"/>
  <c r="A4169" i="1" s="1"/>
  <c r="D4170" i="1"/>
  <c r="A4170" i="1" s="1"/>
  <c r="D4171" i="1"/>
  <c r="D4172" i="1"/>
  <c r="A4172" i="1" s="1"/>
  <c r="D4173" i="1"/>
  <c r="A4173" i="1" s="1"/>
  <c r="D4174" i="1"/>
  <c r="A4174" i="1" s="1"/>
  <c r="D4175" i="1"/>
  <c r="A4175" i="1" s="1"/>
  <c r="D4176" i="1"/>
  <c r="A4176" i="1" s="1"/>
  <c r="D4177" i="1"/>
  <c r="A4177" i="1" s="1"/>
  <c r="D4178" i="1"/>
  <c r="A4178" i="1" s="1"/>
  <c r="D4179" i="1"/>
  <c r="A4179" i="1" s="1"/>
  <c r="D4180" i="1"/>
  <c r="A4180" i="1" s="1"/>
  <c r="D4181" i="1"/>
  <c r="A4181" i="1" s="1"/>
  <c r="D4182" i="1"/>
  <c r="A4182" i="1" s="1"/>
  <c r="D4183" i="1"/>
  <c r="A4183" i="1" s="1"/>
  <c r="D4184" i="1"/>
  <c r="A4184" i="1" s="1"/>
  <c r="D4185" i="1"/>
  <c r="A4185" i="1" s="1"/>
  <c r="D4186" i="1"/>
  <c r="A4186" i="1" s="1"/>
  <c r="D4187" i="1"/>
  <c r="A4187" i="1" s="1"/>
  <c r="D4188" i="1"/>
  <c r="A4188" i="1" s="1"/>
  <c r="D4189" i="1"/>
  <c r="A4189" i="1" s="1"/>
  <c r="D4190" i="1"/>
  <c r="A4190" i="1" s="1"/>
  <c r="D4191" i="1"/>
  <c r="A4191" i="1" s="1"/>
  <c r="D4192" i="1"/>
  <c r="A4192" i="1" s="1"/>
  <c r="D4193" i="1"/>
  <c r="A4193" i="1" s="1"/>
  <c r="D4194" i="1"/>
  <c r="A4194" i="1" s="1"/>
  <c r="D4195" i="1"/>
  <c r="A4195" i="1" s="1"/>
  <c r="D4196" i="1"/>
  <c r="A4196" i="1" s="1"/>
  <c r="D4197" i="1"/>
  <c r="A4197" i="1" s="1"/>
  <c r="D4198" i="1"/>
  <c r="A4198" i="1" s="1"/>
  <c r="D4199" i="1"/>
  <c r="A4199" i="1" s="1"/>
  <c r="D4200" i="1"/>
  <c r="A4200" i="1" s="1"/>
  <c r="D4201" i="1"/>
  <c r="A4201" i="1" s="1"/>
  <c r="D4202" i="1"/>
  <c r="A4202" i="1" s="1"/>
  <c r="D4203" i="1"/>
  <c r="D4204" i="1"/>
  <c r="D4205" i="1"/>
  <c r="A4205" i="1" s="1"/>
  <c r="D4206" i="1"/>
  <c r="A4206" i="1" s="1"/>
  <c r="D4207" i="1"/>
  <c r="A4207" i="1" s="1"/>
  <c r="D4208" i="1"/>
  <c r="A4208" i="1" s="1"/>
  <c r="D4209" i="1"/>
  <c r="A4209" i="1" s="1"/>
  <c r="D4210" i="1"/>
  <c r="A4210" i="1" s="1"/>
  <c r="D4211" i="1"/>
  <c r="A4211" i="1" s="1"/>
  <c r="D4212" i="1"/>
  <c r="A4212" i="1" s="1"/>
  <c r="D4213" i="1"/>
  <c r="A4213" i="1" s="1"/>
  <c r="D4214" i="1"/>
  <c r="A4214" i="1" s="1"/>
  <c r="D4215" i="1"/>
  <c r="D4216" i="1"/>
  <c r="A4216" i="1" s="1"/>
  <c r="D4217" i="1"/>
  <c r="A4217" i="1" s="1"/>
  <c r="D4218" i="1"/>
  <c r="A4218" i="1" s="1"/>
  <c r="D4219" i="1"/>
  <c r="A4219" i="1" s="1"/>
  <c r="D4220" i="1"/>
  <c r="D4221" i="1"/>
  <c r="A4221" i="1" s="1"/>
  <c r="D4222" i="1"/>
  <c r="A4222" i="1" s="1"/>
  <c r="D4223" i="1"/>
  <c r="A4223" i="1" s="1"/>
  <c r="D4224" i="1"/>
  <c r="A4224" i="1" s="1"/>
  <c r="D4225" i="1"/>
  <c r="A4225" i="1" s="1"/>
  <c r="D4226" i="1"/>
  <c r="A4226" i="1" s="1"/>
  <c r="D4227" i="1"/>
  <c r="A4227" i="1" s="1"/>
  <c r="D4228" i="1"/>
  <c r="A4228" i="1" s="1"/>
  <c r="D4229" i="1"/>
  <c r="A4229" i="1" s="1"/>
  <c r="D4230" i="1"/>
  <c r="A4230" i="1" s="1"/>
  <c r="D4231" i="1"/>
  <c r="D4232" i="1"/>
  <c r="A4232" i="1" s="1"/>
  <c r="D4233" i="1"/>
  <c r="A4233" i="1" s="1"/>
  <c r="D4234" i="1"/>
  <c r="A4234" i="1" s="1"/>
  <c r="D4235" i="1"/>
  <c r="A4235" i="1" s="1"/>
  <c r="D4236" i="1"/>
  <c r="D4237" i="1"/>
  <c r="A4237" i="1" s="1"/>
  <c r="D4238" i="1"/>
  <c r="A4238" i="1" s="1"/>
  <c r="D4239" i="1"/>
  <c r="A4239" i="1" s="1"/>
  <c r="D4240" i="1"/>
  <c r="A4240" i="1" s="1"/>
  <c r="D4241" i="1"/>
  <c r="D4242" i="1"/>
  <c r="A4242" i="1" s="1"/>
  <c r="D4243" i="1"/>
  <c r="A4243" i="1" s="1"/>
  <c r="D4244" i="1"/>
  <c r="A4244" i="1" s="1"/>
  <c r="D4245" i="1"/>
  <c r="A4245" i="1" s="1"/>
  <c r="D4246" i="1"/>
  <c r="A4246" i="1" s="1"/>
  <c r="D4247" i="1"/>
  <c r="A4247" i="1" s="1"/>
  <c r="D4248" i="1"/>
  <c r="A4248" i="1" s="1"/>
  <c r="D4249" i="1"/>
  <c r="A4249" i="1" s="1"/>
  <c r="D4250" i="1"/>
  <c r="A4250" i="1" s="1"/>
  <c r="D4251" i="1"/>
  <c r="D4252" i="1"/>
  <c r="A4252" i="1" s="1"/>
  <c r="D4253" i="1"/>
  <c r="A4253" i="1" s="1"/>
  <c r="D4254" i="1"/>
  <c r="A4254" i="1" s="1"/>
  <c r="D4255" i="1"/>
  <c r="A4255" i="1" s="1"/>
  <c r="D4256" i="1"/>
  <c r="A4256" i="1" s="1"/>
  <c r="D4257" i="1"/>
  <c r="A4257" i="1" s="1"/>
  <c r="D4258" i="1"/>
  <c r="A4258" i="1" s="1"/>
  <c r="D4259" i="1"/>
  <c r="D4260" i="1"/>
  <c r="A4260" i="1" s="1"/>
  <c r="D4261" i="1"/>
  <c r="A4261" i="1" s="1"/>
  <c r="D4262" i="1"/>
  <c r="A4262" i="1" s="1"/>
  <c r="D4263" i="1"/>
  <c r="A4263" i="1" s="1"/>
  <c r="D4264" i="1"/>
  <c r="A4264" i="1" s="1"/>
  <c r="D4265" i="1"/>
  <c r="A4265" i="1" s="1"/>
  <c r="D4266" i="1"/>
  <c r="A4266" i="1" s="1"/>
  <c r="D4267" i="1"/>
  <c r="A4267" i="1" s="1"/>
  <c r="D4268" i="1"/>
  <c r="A4268" i="1" s="1"/>
  <c r="D4269" i="1"/>
  <c r="A4269" i="1" s="1"/>
  <c r="D4270" i="1"/>
  <c r="A4270" i="1" s="1"/>
  <c r="D4271" i="1"/>
  <c r="D4272" i="1"/>
  <c r="A4272" i="1" s="1"/>
  <c r="D4273" i="1"/>
  <c r="A4273" i="1" s="1"/>
  <c r="D4274" i="1"/>
  <c r="A4274" i="1" s="1"/>
  <c r="D4275" i="1"/>
  <c r="A4275" i="1" s="1"/>
  <c r="D4276" i="1"/>
  <c r="A4276" i="1" s="1"/>
  <c r="D4277" i="1"/>
  <c r="A4277" i="1" s="1"/>
  <c r="D4278" i="1"/>
  <c r="A4278" i="1" s="1"/>
  <c r="D4279" i="1"/>
  <c r="A4279" i="1" s="1"/>
  <c r="D4280" i="1"/>
  <c r="A4280" i="1" s="1"/>
  <c r="D4281" i="1"/>
  <c r="A4281" i="1" s="1"/>
  <c r="D4282" i="1"/>
  <c r="A4282" i="1" s="1"/>
  <c r="D4283" i="1"/>
  <c r="A4283" i="1" s="1"/>
  <c r="D4284" i="1"/>
  <c r="A4284" i="1" s="1"/>
  <c r="D4285" i="1"/>
  <c r="A4285" i="1" s="1"/>
  <c r="D4286" i="1"/>
  <c r="A4286" i="1" s="1"/>
  <c r="D4287" i="1"/>
  <c r="A4287" i="1" s="1"/>
  <c r="D4288" i="1"/>
  <c r="A4288" i="1" s="1"/>
  <c r="D4289" i="1"/>
  <c r="D4290" i="1"/>
  <c r="A4290" i="1" s="1"/>
  <c r="D4291" i="1"/>
  <c r="A4291" i="1" s="1"/>
  <c r="D4292" i="1"/>
  <c r="A4292" i="1" s="1"/>
  <c r="D4293" i="1"/>
  <c r="A4293" i="1" s="1"/>
  <c r="D4294" i="1"/>
  <c r="A4294" i="1" s="1"/>
  <c r="D4295" i="1"/>
  <c r="A4295" i="1" s="1"/>
  <c r="D4296" i="1"/>
  <c r="A4296" i="1" s="1"/>
  <c r="D4297" i="1"/>
  <c r="A4297" i="1" s="1"/>
  <c r="D4298" i="1"/>
  <c r="A4298" i="1" s="1"/>
  <c r="D4299" i="1"/>
  <c r="D4300" i="1"/>
  <c r="A4300" i="1" s="1"/>
  <c r="D4301" i="1"/>
  <c r="A4301" i="1" s="1"/>
  <c r="D4302" i="1"/>
  <c r="A4302" i="1" s="1"/>
  <c r="D4303" i="1"/>
  <c r="A4303" i="1" s="1"/>
  <c r="D4304" i="1"/>
  <c r="A4304" i="1" s="1"/>
  <c r="D4305" i="1"/>
  <c r="D4306" i="1"/>
  <c r="A4306" i="1" s="1"/>
  <c r="D4307" i="1"/>
  <c r="A4307" i="1" s="1"/>
  <c r="D4308" i="1"/>
  <c r="A4308" i="1" s="1"/>
  <c r="D4309" i="1"/>
  <c r="A4309" i="1" s="1"/>
  <c r="D4310" i="1"/>
  <c r="A4310" i="1" s="1"/>
  <c r="D4311" i="1"/>
  <c r="A4311" i="1" s="1"/>
  <c r="D4312" i="1"/>
  <c r="A4312" i="1" s="1"/>
  <c r="D4313" i="1"/>
  <c r="A4313" i="1" s="1"/>
  <c r="D4314" i="1"/>
  <c r="A4314" i="1" s="1"/>
  <c r="D4315" i="1"/>
  <c r="A4315" i="1" s="1"/>
  <c r="D4316" i="1"/>
  <c r="A4316" i="1" s="1"/>
  <c r="D4317" i="1"/>
  <c r="A4317" i="1" s="1"/>
  <c r="D4318" i="1"/>
  <c r="A4318" i="1" s="1"/>
  <c r="D4319" i="1"/>
  <c r="A4319" i="1" s="1"/>
  <c r="D4320" i="1"/>
  <c r="A4320" i="1" s="1"/>
  <c r="D4321" i="1"/>
  <c r="A4321" i="1" s="1"/>
  <c r="D4322" i="1"/>
  <c r="A4322" i="1" s="1"/>
  <c r="D4323" i="1"/>
  <c r="A4323" i="1" s="1"/>
  <c r="D4324" i="1"/>
  <c r="A4324" i="1" s="1"/>
  <c r="D4325" i="1"/>
  <c r="A4325" i="1" s="1"/>
  <c r="D4326" i="1"/>
  <c r="A4326" i="1" s="1"/>
  <c r="D4327" i="1"/>
  <c r="A4327" i="1" s="1"/>
  <c r="D4328" i="1"/>
  <c r="A4328" i="1" s="1"/>
  <c r="D4329" i="1"/>
  <c r="A4329" i="1" s="1"/>
  <c r="D4330" i="1"/>
  <c r="A4330" i="1" s="1"/>
  <c r="D4331" i="1"/>
  <c r="A4331" i="1" s="1"/>
  <c r="D4332" i="1"/>
  <c r="A4332" i="1" s="1"/>
  <c r="D4333" i="1"/>
  <c r="A4333" i="1" s="1"/>
  <c r="D4334" i="1"/>
  <c r="A4334" i="1" s="1"/>
  <c r="D4335" i="1"/>
  <c r="A4335" i="1" s="1"/>
  <c r="D4336" i="1"/>
  <c r="A4336" i="1" s="1"/>
  <c r="D4337" i="1"/>
  <c r="A4337" i="1" s="1"/>
  <c r="D4338" i="1"/>
  <c r="A4338" i="1" s="1"/>
  <c r="D4339" i="1"/>
  <c r="D4340" i="1"/>
  <c r="A4340" i="1" s="1"/>
  <c r="D4341" i="1"/>
  <c r="A4341" i="1" s="1"/>
  <c r="D4342" i="1"/>
  <c r="A4342" i="1" s="1"/>
  <c r="D4343" i="1"/>
  <c r="D4344" i="1"/>
  <c r="A4344" i="1" s="1"/>
  <c r="D4345" i="1"/>
  <c r="A4345" i="1" s="1"/>
  <c r="D4346" i="1"/>
  <c r="A4346" i="1" s="1"/>
  <c r="D4347" i="1"/>
  <c r="A4347" i="1" s="1"/>
  <c r="D4348" i="1"/>
  <c r="A4348" i="1" s="1"/>
  <c r="D4349" i="1"/>
  <c r="A4349" i="1" s="1"/>
  <c r="D4350" i="1"/>
  <c r="A4350" i="1" s="1"/>
  <c r="D4351" i="1"/>
  <c r="A4351" i="1" s="1"/>
  <c r="D4352" i="1"/>
  <c r="A4352" i="1" s="1"/>
  <c r="D4353" i="1"/>
  <c r="A4353" i="1" s="1"/>
  <c r="D4354" i="1"/>
  <c r="A4354" i="1" s="1"/>
  <c r="D4355" i="1"/>
  <c r="D4356" i="1"/>
  <c r="A4356" i="1" s="1"/>
  <c r="D4357" i="1"/>
  <c r="A4357" i="1" s="1"/>
  <c r="D4358" i="1"/>
  <c r="A4358" i="1" s="1"/>
  <c r="D4359" i="1"/>
  <c r="A4359" i="1" s="1"/>
  <c r="D4360" i="1"/>
  <c r="A4360" i="1" s="1"/>
  <c r="D4361" i="1"/>
  <c r="A4361" i="1" s="1"/>
  <c r="D4362" i="1"/>
  <c r="A4362" i="1" s="1"/>
  <c r="D4363" i="1"/>
  <c r="A4363" i="1" s="1"/>
  <c r="D4364" i="1"/>
  <c r="D4365" i="1"/>
  <c r="A4365" i="1" s="1"/>
  <c r="D4366" i="1"/>
  <c r="A4366" i="1" s="1"/>
  <c r="D4367" i="1"/>
  <c r="D4368" i="1"/>
  <c r="A4368" i="1" s="1"/>
  <c r="D4369" i="1"/>
  <c r="A4369" i="1" s="1"/>
  <c r="D4370" i="1"/>
  <c r="A4370" i="1" s="1"/>
  <c r="D4371" i="1"/>
  <c r="A4371" i="1" s="1"/>
  <c r="D4372" i="1"/>
  <c r="A4372" i="1" s="1"/>
  <c r="D4373" i="1"/>
  <c r="A4373" i="1" s="1"/>
  <c r="D4374" i="1"/>
  <c r="A4374" i="1" s="1"/>
  <c r="D4375" i="1"/>
  <c r="A4375" i="1" s="1"/>
  <c r="D4376" i="1"/>
  <c r="A4376" i="1" s="1"/>
  <c r="D4377" i="1"/>
  <c r="A4377" i="1" s="1"/>
  <c r="D4378" i="1"/>
  <c r="A4378" i="1" s="1"/>
  <c r="D4379" i="1"/>
  <c r="A4379" i="1" s="1"/>
  <c r="D4380" i="1"/>
  <c r="A4380" i="1" s="1"/>
  <c r="D4381" i="1"/>
  <c r="A4381" i="1" s="1"/>
  <c r="D4382" i="1"/>
  <c r="A4382" i="1" s="1"/>
  <c r="D4383" i="1"/>
  <c r="A4383" i="1" s="1"/>
  <c r="D4384" i="1"/>
  <c r="A4384" i="1" s="1"/>
  <c r="D4385" i="1"/>
  <c r="A4385" i="1" s="1"/>
  <c r="D4386" i="1"/>
  <c r="A4386" i="1" s="1"/>
  <c r="D4387" i="1"/>
  <c r="A4387" i="1" s="1"/>
  <c r="D4388" i="1"/>
  <c r="D4389" i="1"/>
  <c r="A4389" i="1" s="1"/>
  <c r="D4390" i="1"/>
  <c r="A4390" i="1" s="1"/>
  <c r="D4391" i="1"/>
  <c r="A4391" i="1" s="1"/>
  <c r="D4392" i="1"/>
  <c r="A4392" i="1" s="1"/>
  <c r="D4393" i="1"/>
  <c r="A4393" i="1" s="1"/>
  <c r="D4394" i="1"/>
  <c r="A4394" i="1" s="1"/>
  <c r="D4395" i="1"/>
  <c r="D4396" i="1"/>
  <c r="A4396" i="1" s="1"/>
  <c r="D4397" i="1"/>
  <c r="A4397" i="1" s="1"/>
  <c r="D4398" i="1"/>
  <c r="A4398" i="1" s="1"/>
  <c r="D4399" i="1"/>
  <c r="D4400" i="1"/>
  <c r="A4400" i="1" s="1"/>
  <c r="D4401" i="1"/>
  <c r="A4401" i="1" s="1"/>
  <c r="D4402" i="1"/>
  <c r="A4402" i="1" s="1"/>
  <c r="D4403" i="1"/>
  <c r="D4404" i="1"/>
  <c r="A4404" i="1" s="1"/>
  <c r="D4405" i="1"/>
  <c r="A4405" i="1" s="1"/>
  <c r="D4406" i="1"/>
  <c r="A4406" i="1" s="1"/>
  <c r="D4407" i="1"/>
  <c r="A4407" i="1" s="1"/>
  <c r="D4408" i="1"/>
  <c r="A4408" i="1" s="1"/>
  <c r="D4409" i="1"/>
  <c r="A4409" i="1" s="1"/>
  <c r="D4410" i="1"/>
  <c r="A4410" i="1" s="1"/>
  <c r="D4411" i="1"/>
  <c r="D4412" i="1"/>
  <c r="A4412" i="1" s="1"/>
  <c r="D4413" i="1"/>
  <c r="A4413" i="1" s="1"/>
  <c r="D4414" i="1"/>
  <c r="A4414" i="1" s="1"/>
  <c r="D4415" i="1"/>
  <c r="A4415" i="1" s="1"/>
  <c r="D4416" i="1"/>
  <c r="A4416" i="1" s="1"/>
  <c r="D4417" i="1"/>
  <c r="A4417" i="1" s="1"/>
  <c r="D4418" i="1"/>
  <c r="A4418" i="1" s="1"/>
  <c r="D4419" i="1"/>
  <c r="A4419" i="1" s="1"/>
  <c r="D4420" i="1"/>
  <c r="A4420" i="1" s="1"/>
  <c r="D4421" i="1"/>
  <c r="A4421" i="1" s="1"/>
  <c r="D4422" i="1"/>
  <c r="A4422" i="1" s="1"/>
  <c r="D4423" i="1"/>
  <c r="A4423" i="1" s="1"/>
  <c r="D4424" i="1"/>
  <c r="A4424" i="1" s="1"/>
  <c r="D4425" i="1"/>
  <c r="A4425" i="1" s="1"/>
  <c r="D4426" i="1"/>
  <c r="A4426" i="1" s="1"/>
  <c r="D4427" i="1"/>
  <c r="A4427" i="1" s="1"/>
  <c r="D4428" i="1"/>
  <c r="D4429" i="1"/>
  <c r="A4429" i="1" s="1"/>
  <c r="D4430" i="1"/>
  <c r="A4430" i="1" s="1"/>
  <c r="D4431" i="1"/>
  <c r="A4431" i="1" s="1"/>
  <c r="D4432" i="1"/>
  <c r="A4432" i="1" s="1"/>
  <c r="D4433" i="1"/>
  <c r="A4433" i="1" s="1"/>
  <c r="D4434" i="1"/>
  <c r="A4434" i="1" s="1"/>
  <c r="D4435" i="1"/>
  <c r="A4435" i="1" s="1"/>
  <c r="D4436" i="1"/>
  <c r="A4436" i="1" s="1"/>
  <c r="D4437" i="1"/>
  <c r="A4437" i="1" s="1"/>
  <c r="D4438" i="1"/>
  <c r="A4438" i="1" s="1"/>
  <c r="D4439" i="1"/>
  <c r="D4440" i="1"/>
  <c r="A4440" i="1" s="1"/>
  <c r="D4441" i="1"/>
  <c r="A4441" i="1" s="1"/>
  <c r="D4442" i="1"/>
  <c r="A4442" i="1" s="1"/>
  <c r="D4443" i="1"/>
  <c r="A4443" i="1" s="1"/>
  <c r="D4444" i="1"/>
  <c r="A4444" i="1" s="1"/>
  <c r="D4445" i="1"/>
  <c r="A4445" i="1" s="1"/>
  <c r="D4446" i="1"/>
  <c r="A4446" i="1" s="1"/>
  <c r="D4447" i="1"/>
  <c r="A4447" i="1" s="1"/>
  <c r="D4448" i="1"/>
  <c r="A4448" i="1" s="1"/>
  <c r="D4449" i="1"/>
  <c r="A4449" i="1" s="1"/>
  <c r="D4450" i="1"/>
  <c r="A4450" i="1" s="1"/>
  <c r="D4451" i="1"/>
  <c r="A4451" i="1" s="1"/>
  <c r="D4452" i="1"/>
  <c r="A4452" i="1" s="1"/>
  <c r="D4453" i="1"/>
  <c r="A4453" i="1" s="1"/>
  <c r="D4454" i="1"/>
  <c r="A4454" i="1" s="1"/>
  <c r="D4455" i="1"/>
  <c r="A4455" i="1" s="1"/>
  <c r="D4456" i="1"/>
  <c r="A4456" i="1" s="1"/>
  <c r="D4457" i="1"/>
  <c r="A4457" i="1" s="1"/>
  <c r="D4458" i="1"/>
  <c r="A4458" i="1" s="1"/>
  <c r="D4459" i="1"/>
  <c r="D4460" i="1"/>
  <c r="A4460" i="1" s="1"/>
  <c r="D4461" i="1"/>
  <c r="A4461" i="1" s="1"/>
  <c r="D4462" i="1"/>
  <c r="A4462" i="1" s="1"/>
  <c r="D4463" i="1"/>
  <c r="A4463" i="1" s="1"/>
  <c r="D4464" i="1"/>
  <c r="A4464" i="1" s="1"/>
  <c r="D4465" i="1"/>
  <c r="A4465" i="1" s="1"/>
  <c r="D4466" i="1"/>
  <c r="A4466" i="1" s="1"/>
  <c r="D4467" i="1"/>
  <c r="A4467" i="1" s="1"/>
  <c r="D4468" i="1"/>
  <c r="A4468" i="1" s="1"/>
  <c r="D4469" i="1"/>
  <c r="A4469" i="1" s="1"/>
  <c r="D4470" i="1"/>
  <c r="A4470" i="1" s="1"/>
  <c r="D4471" i="1"/>
  <c r="D4472" i="1"/>
  <c r="A4472" i="1" s="1"/>
  <c r="D4473" i="1"/>
  <c r="A4473" i="1" s="1"/>
  <c r="D4474" i="1"/>
  <c r="A4474" i="1" s="1"/>
  <c r="D4475" i="1"/>
  <c r="A4475" i="1" s="1"/>
  <c r="D4476" i="1"/>
  <c r="A4476" i="1" s="1"/>
  <c r="D4477" i="1"/>
  <c r="A4477" i="1" s="1"/>
  <c r="D4478" i="1"/>
  <c r="A4478" i="1" s="1"/>
  <c r="D4479" i="1"/>
  <c r="A4479" i="1" s="1"/>
  <c r="D4480" i="1"/>
  <c r="A4480" i="1" s="1"/>
  <c r="D4481" i="1"/>
  <c r="A4481" i="1" s="1"/>
  <c r="D4482" i="1"/>
  <c r="A4482" i="1" s="1"/>
  <c r="D4483" i="1"/>
  <c r="A4483" i="1" s="1"/>
  <c r="D4484" i="1"/>
  <c r="A4484" i="1" s="1"/>
  <c r="D4485" i="1"/>
  <c r="A4485" i="1" s="1"/>
  <c r="D4486" i="1"/>
  <c r="A4486" i="1" s="1"/>
  <c r="D4487" i="1"/>
  <c r="A4487" i="1" s="1"/>
  <c r="D4488" i="1"/>
  <c r="A4488" i="1" s="1"/>
  <c r="D4489" i="1"/>
  <c r="A4489" i="1" s="1"/>
  <c r="D4490" i="1"/>
  <c r="A4490" i="1" s="1"/>
  <c r="D4491" i="1"/>
  <c r="A4491" i="1" s="1"/>
  <c r="D4492" i="1"/>
  <c r="A4492" i="1" s="1"/>
  <c r="D4493" i="1"/>
  <c r="A4493" i="1" s="1"/>
  <c r="D4494" i="1"/>
  <c r="A4494" i="1" s="1"/>
  <c r="D4495" i="1"/>
  <c r="A4495" i="1" s="1"/>
  <c r="D4496" i="1"/>
  <c r="A4496" i="1" s="1"/>
  <c r="D4497" i="1"/>
  <c r="A4497" i="1" s="1"/>
  <c r="D4498" i="1"/>
  <c r="A4498" i="1" s="1"/>
  <c r="D4499" i="1"/>
  <c r="A4499" i="1" s="1"/>
  <c r="D4500" i="1"/>
  <c r="A4500" i="1" s="1"/>
  <c r="D4501" i="1"/>
  <c r="A4501" i="1" s="1"/>
  <c r="D4502" i="1"/>
  <c r="A4502" i="1" s="1"/>
  <c r="D4503" i="1"/>
  <c r="A4503" i="1" s="1"/>
  <c r="D4504" i="1"/>
  <c r="A4504" i="1" s="1"/>
  <c r="D4505" i="1"/>
  <c r="A4505" i="1" s="1"/>
  <c r="D4506" i="1"/>
  <c r="A4506" i="1" s="1"/>
  <c r="D4507" i="1"/>
  <c r="D4508" i="1"/>
  <c r="D4509" i="1"/>
  <c r="A4509" i="1" s="1"/>
  <c r="D4510" i="1"/>
  <c r="A4510" i="1" s="1"/>
  <c r="D4511" i="1"/>
  <c r="A4511" i="1" s="1"/>
  <c r="D4512" i="1"/>
  <c r="A4512" i="1" s="1"/>
  <c r="D4513" i="1"/>
  <c r="A4513" i="1" s="1"/>
  <c r="D4514" i="1"/>
  <c r="A4514" i="1" s="1"/>
  <c r="D4515" i="1"/>
  <c r="D4516" i="1"/>
  <c r="A4516" i="1" s="1"/>
  <c r="D4517" i="1"/>
  <c r="A4517" i="1" s="1"/>
  <c r="D4518" i="1"/>
  <c r="A4518" i="1" s="1"/>
  <c r="D4519" i="1"/>
  <c r="A4519" i="1" s="1"/>
  <c r="D4520" i="1"/>
  <c r="A4520" i="1" s="1"/>
  <c r="D4521" i="1"/>
  <c r="A4521" i="1" s="1"/>
  <c r="D4522" i="1"/>
  <c r="A4522" i="1" s="1"/>
  <c r="D4523" i="1"/>
  <c r="D4524" i="1"/>
  <c r="A4524" i="1" s="1"/>
  <c r="D4525" i="1"/>
  <c r="A4525" i="1" s="1"/>
  <c r="D4526" i="1"/>
  <c r="A4526" i="1" s="1"/>
  <c r="D4527" i="1"/>
  <c r="A4527" i="1" s="1"/>
  <c r="D4528" i="1"/>
  <c r="A4528" i="1" s="1"/>
  <c r="D4529" i="1"/>
  <c r="A4529" i="1" s="1"/>
  <c r="D4530" i="1"/>
  <c r="A4530" i="1" s="1"/>
  <c r="D4531" i="1"/>
  <c r="A4531" i="1" s="1"/>
  <c r="D4532" i="1"/>
  <c r="A4532" i="1" s="1"/>
  <c r="D4533" i="1"/>
  <c r="A4533" i="1" s="1"/>
  <c r="D4534" i="1"/>
  <c r="A4534" i="1" s="1"/>
  <c r="D4535" i="1"/>
  <c r="D4536" i="1"/>
  <c r="A4536" i="1" s="1"/>
  <c r="D4537" i="1"/>
  <c r="A4537" i="1" s="1"/>
  <c r="D4538" i="1"/>
  <c r="A4538" i="1" s="1"/>
  <c r="D4539" i="1"/>
  <c r="A4539" i="1" s="1"/>
  <c r="D4540" i="1"/>
  <c r="A4540" i="1" s="1"/>
  <c r="D4541" i="1"/>
  <c r="A4541" i="1" s="1"/>
  <c r="D4542" i="1"/>
  <c r="A4542" i="1" s="1"/>
  <c r="D4543" i="1"/>
  <c r="A4543" i="1" s="1"/>
  <c r="D4544" i="1"/>
  <c r="A4544" i="1" s="1"/>
  <c r="D4545" i="1"/>
  <c r="A4545" i="1" s="1"/>
  <c r="D4546" i="1"/>
  <c r="A4546" i="1" s="1"/>
  <c r="D4547" i="1"/>
  <c r="A4547" i="1" s="1"/>
  <c r="D4548" i="1"/>
  <c r="A4548" i="1" s="1"/>
  <c r="D4549" i="1"/>
  <c r="A4549" i="1" s="1"/>
  <c r="D4550" i="1"/>
  <c r="A4550" i="1" s="1"/>
  <c r="D4551" i="1"/>
  <c r="A4551" i="1" s="1"/>
  <c r="D4552" i="1"/>
  <c r="A4552" i="1" s="1"/>
  <c r="D4553" i="1"/>
  <c r="A4553" i="1" s="1"/>
  <c r="D4554" i="1"/>
  <c r="A4554" i="1" s="1"/>
  <c r="D4555" i="1"/>
  <c r="A4555" i="1" s="1"/>
  <c r="D4556" i="1"/>
  <c r="A4556" i="1" s="1"/>
  <c r="D4557" i="1"/>
  <c r="A4557" i="1" s="1"/>
  <c r="D4558" i="1"/>
  <c r="A4558" i="1" s="1"/>
  <c r="D4559" i="1"/>
  <c r="A4559" i="1" s="1"/>
  <c r="D4560" i="1"/>
  <c r="A4560" i="1" s="1"/>
  <c r="D4561" i="1"/>
  <c r="A4561" i="1" s="1"/>
  <c r="D4562" i="1"/>
  <c r="A4562" i="1" s="1"/>
  <c r="D4563" i="1"/>
  <c r="D4564" i="1"/>
  <c r="A4564" i="1" s="1"/>
  <c r="D4565" i="1"/>
  <c r="A4565" i="1" s="1"/>
  <c r="D4566" i="1"/>
  <c r="A4566" i="1" s="1"/>
  <c r="D4567" i="1"/>
  <c r="D4568" i="1"/>
  <c r="A4568" i="1" s="1"/>
  <c r="D4569" i="1"/>
  <c r="A4569" i="1" s="1"/>
  <c r="D4570" i="1"/>
  <c r="A4570" i="1" s="1"/>
  <c r="D4571" i="1"/>
  <c r="D4572" i="1"/>
  <c r="A4572" i="1" s="1"/>
  <c r="D4573" i="1"/>
  <c r="A4573" i="1" s="1"/>
  <c r="D4574" i="1"/>
  <c r="A4574" i="1" s="1"/>
  <c r="D4575" i="1"/>
  <c r="A4575" i="1" s="1"/>
  <c r="D4576" i="1"/>
  <c r="A4576" i="1" s="1"/>
  <c r="D4577" i="1"/>
  <c r="A4577" i="1" s="1"/>
  <c r="D4578" i="1"/>
  <c r="A4578" i="1" s="1"/>
  <c r="D4579" i="1"/>
  <c r="D4580" i="1"/>
  <c r="A4580" i="1" s="1"/>
  <c r="D4581" i="1"/>
  <c r="A4581" i="1" s="1"/>
  <c r="D4582" i="1"/>
  <c r="A4582" i="1" s="1"/>
  <c r="D4583" i="1"/>
  <c r="A4583" i="1" s="1"/>
  <c r="D4584" i="1"/>
  <c r="A4584" i="1" s="1"/>
  <c r="D4585" i="1"/>
  <c r="A4585" i="1" s="1"/>
  <c r="D4586" i="1"/>
  <c r="A4586" i="1" s="1"/>
  <c r="D4587" i="1"/>
  <c r="A4587" i="1" s="1"/>
  <c r="D4588" i="1"/>
  <c r="D4589" i="1"/>
  <c r="A4589" i="1" s="1"/>
  <c r="D4590" i="1"/>
  <c r="A4590" i="1" s="1"/>
  <c r="D4591" i="1"/>
  <c r="A4591" i="1" s="1"/>
  <c r="D4592" i="1"/>
  <c r="A4592" i="1" s="1"/>
  <c r="D4593" i="1"/>
  <c r="A4593" i="1" s="1"/>
  <c r="D4594" i="1"/>
  <c r="A4594" i="1" s="1"/>
  <c r="D4595" i="1"/>
  <c r="A4595" i="1" s="1"/>
  <c r="D4596" i="1"/>
  <c r="A4596" i="1" s="1"/>
  <c r="D4597" i="1"/>
  <c r="A4597" i="1" s="1"/>
  <c r="D4598" i="1"/>
  <c r="A4598" i="1" s="1"/>
  <c r="D4599" i="1"/>
  <c r="A4599" i="1" s="1"/>
  <c r="D4600" i="1"/>
  <c r="A4600" i="1" s="1"/>
  <c r="D4601" i="1"/>
  <c r="A4601" i="1" s="1"/>
  <c r="D4602" i="1"/>
  <c r="A4602" i="1" s="1"/>
  <c r="D4603" i="1"/>
  <c r="A4603" i="1" s="1"/>
  <c r="D4604" i="1"/>
  <c r="D4605" i="1"/>
  <c r="A4605" i="1" s="1"/>
  <c r="D4606" i="1"/>
  <c r="A4606" i="1" s="1"/>
  <c r="D4607" i="1"/>
  <c r="A4607" i="1" s="1"/>
  <c r="D4608" i="1"/>
  <c r="A4608" i="1" s="1"/>
  <c r="D4609" i="1"/>
  <c r="A4609" i="1" s="1"/>
  <c r="D4610" i="1"/>
  <c r="A4610" i="1" s="1"/>
  <c r="D4611" i="1"/>
  <c r="A4611" i="1" s="1"/>
  <c r="D4612" i="1"/>
  <c r="A4612" i="1" s="1"/>
  <c r="D4613" i="1"/>
  <c r="A4613" i="1" s="1"/>
  <c r="D4614" i="1"/>
  <c r="A4614" i="1" s="1"/>
  <c r="D4615" i="1"/>
  <c r="A4615" i="1" s="1"/>
  <c r="D4616" i="1"/>
  <c r="A4616" i="1" s="1"/>
  <c r="D4617" i="1"/>
  <c r="A4617" i="1" s="1"/>
  <c r="D4618" i="1"/>
  <c r="A4618" i="1" s="1"/>
  <c r="D4619" i="1"/>
  <c r="A4619" i="1" s="1"/>
  <c r="D4620" i="1"/>
  <c r="A4620" i="1" s="1"/>
  <c r="D4621" i="1"/>
  <c r="A4621" i="1" s="1"/>
  <c r="D4622" i="1"/>
  <c r="A4622" i="1" s="1"/>
  <c r="D4623" i="1"/>
  <c r="A4623" i="1" s="1"/>
  <c r="D4624" i="1"/>
  <c r="A4624" i="1" s="1"/>
  <c r="D4625" i="1"/>
  <c r="A4625" i="1" s="1"/>
  <c r="D4626" i="1"/>
  <c r="A4626" i="1" s="1"/>
  <c r="D4627" i="1"/>
  <c r="D4628" i="1"/>
  <c r="A4628" i="1" s="1"/>
  <c r="D4629" i="1"/>
  <c r="A4629" i="1" s="1"/>
  <c r="D4630" i="1"/>
  <c r="A4630" i="1" s="1"/>
  <c r="D4631" i="1"/>
  <c r="A4631" i="1" s="1"/>
  <c r="D4632" i="1"/>
  <c r="A4632" i="1" s="1"/>
  <c r="D4633" i="1"/>
  <c r="A4633" i="1" s="1"/>
  <c r="D4634" i="1"/>
  <c r="A4634" i="1" s="1"/>
  <c r="D4635" i="1"/>
  <c r="A4635" i="1" s="1"/>
  <c r="D4636" i="1"/>
  <c r="A4636" i="1" s="1"/>
  <c r="D4637" i="1"/>
  <c r="A4637" i="1" s="1"/>
  <c r="D4638" i="1"/>
  <c r="A4638" i="1" s="1"/>
  <c r="D4639" i="1"/>
  <c r="A4639" i="1" s="1"/>
  <c r="D4640" i="1"/>
  <c r="A4640" i="1" s="1"/>
  <c r="D4641" i="1"/>
  <c r="A4641" i="1" s="1"/>
  <c r="D4642" i="1"/>
  <c r="A4642" i="1" s="1"/>
  <c r="D4643" i="1"/>
  <c r="D4644" i="1"/>
  <c r="A4644" i="1" s="1"/>
  <c r="D4645" i="1"/>
  <c r="A4645" i="1" s="1"/>
  <c r="D4646" i="1"/>
  <c r="A4646" i="1" s="1"/>
  <c r="D4647" i="1"/>
  <c r="D4648" i="1"/>
  <c r="A4648" i="1" s="1"/>
  <c r="D4649" i="1"/>
  <c r="A4649" i="1" s="1"/>
  <c r="D4650" i="1"/>
  <c r="A4650" i="1" s="1"/>
  <c r="D4651" i="1"/>
  <c r="A4651" i="1" s="1"/>
  <c r="D4652" i="1"/>
  <c r="A4652" i="1" s="1"/>
  <c r="D4653" i="1"/>
  <c r="A4653" i="1" s="1"/>
  <c r="D4654" i="1"/>
  <c r="A4654" i="1" s="1"/>
  <c r="D4655" i="1"/>
  <c r="A4655" i="1" s="1"/>
  <c r="D4656" i="1"/>
  <c r="A4656" i="1" s="1"/>
  <c r="D4657" i="1"/>
  <c r="A4657" i="1" s="1"/>
  <c r="D4658" i="1"/>
  <c r="A4658" i="1" s="1"/>
  <c r="D4659" i="1"/>
  <c r="A4659" i="1" s="1"/>
  <c r="D4660" i="1"/>
  <c r="A4660" i="1" s="1"/>
  <c r="D4661" i="1"/>
  <c r="A4661" i="1" s="1"/>
  <c r="D4662" i="1"/>
  <c r="A4662" i="1" s="1"/>
  <c r="D4663" i="1"/>
  <c r="D4664" i="1"/>
  <c r="A4664" i="1" s="1"/>
  <c r="D4665" i="1"/>
  <c r="A4665" i="1" s="1"/>
  <c r="D4666" i="1"/>
  <c r="A4666" i="1" s="1"/>
  <c r="D4667" i="1"/>
  <c r="A4667" i="1" s="1"/>
  <c r="D4668" i="1"/>
  <c r="A4668" i="1" s="1"/>
  <c r="D4669" i="1"/>
  <c r="A4669" i="1" s="1"/>
  <c r="D4670" i="1"/>
  <c r="A4670" i="1" s="1"/>
  <c r="D4671" i="1"/>
  <c r="A4671" i="1" s="1"/>
  <c r="D4672" i="1"/>
  <c r="A4672" i="1" s="1"/>
  <c r="D4673" i="1"/>
  <c r="A4673" i="1" s="1"/>
  <c r="D4674" i="1"/>
  <c r="A4674" i="1" s="1"/>
  <c r="D4675" i="1"/>
  <c r="D4676" i="1"/>
  <c r="A4676" i="1" s="1"/>
  <c r="D4677" i="1"/>
  <c r="A4677" i="1" s="1"/>
  <c r="D4678" i="1"/>
  <c r="A4678" i="1" s="1"/>
  <c r="D4679" i="1"/>
  <c r="D4680" i="1"/>
  <c r="A4680" i="1" s="1"/>
  <c r="D4681" i="1"/>
  <c r="A4681" i="1" s="1"/>
  <c r="D4682" i="1"/>
  <c r="A4682" i="1" s="1"/>
  <c r="D4683" i="1"/>
  <c r="A4683" i="1" s="1"/>
  <c r="D4684" i="1"/>
  <c r="A4684" i="1" s="1"/>
  <c r="D4685" i="1"/>
  <c r="A4685" i="1" s="1"/>
  <c r="D4686" i="1"/>
  <c r="A4686" i="1" s="1"/>
  <c r="D4687" i="1"/>
  <c r="D4688" i="1"/>
  <c r="A4688" i="1" s="1"/>
  <c r="D4689" i="1"/>
  <c r="A4689" i="1" s="1"/>
  <c r="D4690" i="1"/>
  <c r="A4690" i="1" s="1"/>
  <c r="D4691" i="1"/>
  <c r="A4691" i="1" s="1"/>
  <c r="D4692" i="1"/>
  <c r="A4692" i="1" s="1"/>
  <c r="D4693" i="1"/>
  <c r="A4693" i="1" s="1"/>
  <c r="D4694" i="1"/>
  <c r="A4694" i="1" s="1"/>
  <c r="D4695" i="1"/>
  <c r="A4695" i="1" s="1"/>
  <c r="D4696" i="1"/>
  <c r="A4696" i="1" s="1"/>
  <c r="D4697" i="1"/>
  <c r="A4697" i="1" s="1"/>
  <c r="D4698" i="1"/>
  <c r="A4698" i="1" s="1"/>
  <c r="D4699" i="1"/>
  <c r="A4699" i="1" s="1"/>
  <c r="D4700" i="1"/>
  <c r="A4700" i="1" s="1"/>
  <c r="D4701" i="1"/>
  <c r="A4701" i="1" s="1"/>
  <c r="D4702" i="1"/>
  <c r="A4702" i="1" s="1"/>
  <c r="D4703" i="1"/>
  <c r="A4703" i="1" s="1"/>
  <c r="D4704" i="1"/>
  <c r="A4704" i="1" s="1"/>
  <c r="D4705" i="1"/>
  <c r="A4705" i="1" s="1"/>
  <c r="D4706" i="1"/>
  <c r="A4706" i="1" s="1"/>
  <c r="D4707" i="1"/>
  <c r="A4707" i="1" s="1"/>
  <c r="D4708" i="1"/>
  <c r="A4708" i="1" s="1"/>
  <c r="D4709" i="1"/>
  <c r="A4709" i="1" s="1"/>
  <c r="D4710" i="1"/>
  <c r="A4710" i="1" s="1"/>
  <c r="D4711" i="1"/>
  <c r="A4711" i="1" s="1"/>
  <c r="D4712" i="1"/>
  <c r="A4712" i="1" s="1"/>
  <c r="D4713" i="1"/>
  <c r="A4713" i="1" s="1"/>
  <c r="D4714" i="1"/>
  <c r="A4714" i="1" s="1"/>
  <c r="D4715" i="1"/>
  <c r="D4716" i="1"/>
  <c r="A4716" i="1" s="1"/>
  <c r="D4717" i="1"/>
  <c r="A4717" i="1" s="1"/>
  <c r="D4718" i="1"/>
  <c r="A4718" i="1" s="1"/>
  <c r="D4719" i="1"/>
  <c r="A4719" i="1" s="1"/>
  <c r="D4720" i="1"/>
  <c r="A4720" i="1" s="1"/>
  <c r="D4721" i="1"/>
  <c r="A4721" i="1" s="1"/>
  <c r="D4722" i="1"/>
  <c r="A4722" i="1" s="1"/>
  <c r="D4723" i="1"/>
  <c r="A4723" i="1" s="1"/>
  <c r="D4724" i="1"/>
  <c r="A4724" i="1" s="1"/>
  <c r="D4725" i="1"/>
  <c r="A4725" i="1" s="1"/>
  <c r="D4726" i="1"/>
  <c r="A4726" i="1" s="1"/>
  <c r="D4727" i="1"/>
  <c r="A4727" i="1" s="1"/>
  <c r="D4728" i="1"/>
  <c r="A4728" i="1" s="1"/>
  <c r="D4729" i="1"/>
  <c r="D4730" i="1"/>
  <c r="A4730" i="1" s="1"/>
  <c r="D4731" i="1"/>
  <c r="D4732" i="1"/>
  <c r="A4732" i="1" s="1"/>
  <c r="D4733" i="1"/>
  <c r="A4733" i="1" s="1"/>
  <c r="D4734" i="1"/>
  <c r="A4734" i="1" s="1"/>
  <c r="D4735" i="1"/>
  <c r="A4735" i="1" s="1"/>
  <c r="D4736" i="1"/>
  <c r="A4736" i="1" s="1"/>
  <c r="D4737" i="1"/>
  <c r="A4737" i="1" s="1"/>
  <c r="D4738" i="1"/>
  <c r="A4738" i="1" s="1"/>
  <c r="D4739" i="1"/>
  <c r="A4739" i="1" s="1"/>
  <c r="D4740" i="1"/>
  <c r="A4740" i="1" s="1"/>
  <c r="D4741" i="1"/>
  <c r="A4741" i="1" s="1"/>
  <c r="D4742" i="1"/>
  <c r="A4742" i="1" s="1"/>
  <c r="D4743" i="1"/>
  <c r="A4743" i="1" s="1"/>
  <c r="D4744" i="1"/>
  <c r="A4744" i="1" s="1"/>
  <c r="D4745" i="1"/>
  <c r="A4745" i="1" s="1"/>
  <c r="D4746" i="1"/>
  <c r="A4746" i="1" s="1"/>
  <c r="D4747" i="1"/>
  <c r="A4747" i="1" s="1"/>
  <c r="D4748" i="1"/>
  <c r="D4749" i="1"/>
  <c r="A4749" i="1" s="1"/>
  <c r="D4750" i="1"/>
  <c r="A4750" i="1" s="1"/>
  <c r="D4751" i="1"/>
  <c r="A4751" i="1" s="1"/>
  <c r="D4752" i="1"/>
  <c r="A4752" i="1" s="1"/>
  <c r="D4753" i="1"/>
  <c r="A4753" i="1" s="1"/>
  <c r="D4754" i="1"/>
  <c r="A4754" i="1" s="1"/>
  <c r="D4755" i="1"/>
  <c r="A4755" i="1" s="1"/>
  <c r="D4756" i="1"/>
  <c r="A4756" i="1" s="1"/>
  <c r="D4757" i="1"/>
  <c r="A4757" i="1" s="1"/>
  <c r="D4758" i="1"/>
  <c r="A4758" i="1" s="1"/>
  <c r="D4759" i="1"/>
  <c r="A4759" i="1" s="1"/>
  <c r="D4760" i="1"/>
  <c r="A4760" i="1" s="1"/>
  <c r="D4761" i="1"/>
  <c r="A4761" i="1" s="1"/>
  <c r="D4762" i="1"/>
  <c r="A4762" i="1" s="1"/>
  <c r="D4763" i="1"/>
  <c r="A4763" i="1" s="1"/>
  <c r="D4764" i="1"/>
  <c r="A4764" i="1" s="1"/>
  <c r="D4765" i="1"/>
  <c r="A4765" i="1" s="1"/>
  <c r="D4766" i="1"/>
  <c r="A4766" i="1" s="1"/>
  <c r="D4767" i="1"/>
  <c r="A4767" i="1" s="1"/>
  <c r="D4768" i="1"/>
  <c r="A4768" i="1" s="1"/>
  <c r="D4769" i="1"/>
  <c r="A4769" i="1" s="1"/>
  <c r="D4770" i="1"/>
  <c r="A4770" i="1" s="1"/>
  <c r="D4771" i="1"/>
  <c r="D4772" i="1"/>
  <c r="A4772" i="1" s="1"/>
  <c r="D4773" i="1"/>
  <c r="A4773" i="1" s="1"/>
  <c r="D4774" i="1"/>
  <c r="A4774" i="1" s="1"/>
  <c r="D4775" i="1"/>
  <c r="D4776" i="1"/>
  <c r="A4776" i="1" s="1"/>
  <c r="D4777" i="1"/>
  <c r="A4777" i="1" s="1"/>
  <c r="D4778" i="1"/>
  <c r="A4778" i="1" s="1"/>
  <c r="D4779" i="1"/>
  <c r="D4780" i="1"/>
  <c r="A4780" i="1" s="1"/>
  <c r="D4781" i="1"/>
  <c r="A4781" i="1" s="1"/>
  <c r="D4782" i="1"/>
  <c r="A4782" i="1" s="1"/>
  <c r="D4783" i="1"/>
  <c r="A4783" i="1" s="1"/>
  <c r="D4784" i="1"/>
  <c r="A4784" i="1" s="1"/>
  <c r="D4785" i="1"/>
  <c r="A4785" i="1" s="1"/>
  <c r="D4786" i="1"/>
  <c r="A4786" i="1" s="1"/>
  <c r="D4787" i="1"/>
  <c r="D4788" i="1"/>
  <c r="A4788" i="1" s="1"/>
  <c r="D4789" i="1"/>
  <c r="A4789" i="1" s="1"/>
  <c r="D4790" i="1"/>
  <c r="A4790" i="1" s="1"/>
  <c r="D4791" i="1"/>
  <c r="A4791" i="1" s="1"/>
  <c r="D4792" i="1"/>
  <c r="A4792" i="1" s="1"/>
  <c r="D4793" i="1"/>
  <c r="A4793" i="1" s="1"/>
  <c r="D4794" i="1"/>
  <c r="A4794" i="1" s="1"/>
  <c r="D4795" i="1"/>
  <c r="A4795" i="1" s="1"/>
  <c r="D4796" i="1"/>
  <c r="A4796" i="1" s="1"/>
  <c r="D4797" i="1"/>
  <c r="A4797" i="1" s="1"/>
  <c r="D4798" i="1"/>
  <c r="A4798" i="1" s="1"/>
  <c r="D4799" i="1"/>
  <c r="A4799" i="1" s="1"/>
  <c r="D4800" i="1"/>
  <c r="A4800" i="1" s="1"/>
  <c r="D4801" i="1"/>
  <c r="A4801" i="1" s="1"/>
  <c r="D4802" i="1"/>
  <c r="A4802" i="1" s="1"/>
  <c r="D4803" i="1"/>
  <c r="A4803" i="1" s="1"/>
  <c r="D4804" i="1"/>
  <c r="A4804" i="1" s="1"/>
  <c r="D4805" i="1"/>
  <c r="A4805" i="1" s="1"/>
  <c r="D4806" i="1"/>
  <c r="A4806" i="1" s="1"/>
  <c r="D4807" i="1"/>
  <c r="A4807" i="1" s="1"/>
  <c r="D4808" i="1"/>
  <c r="A4808" i="1" s="1"/>
  <c r="D4809" i="1"/>
  <c r="A4809" i="1" s="1"/>
  <c r="D4810" i="1"/>
  <c r="A4810" i="1" s="1"/>
  <c r="D4811" i="1"/>
  <c r="A4811" i="1" s="1"/>
  <c r="D4812" i="1"/>
  <c r="A4812" i="1" s="1"/>
  <c r="D4813" i="1"/>
  <c r="A4813" i="1" s="1"/>
  <c r="D4814" i="1"/>
  <c r="A4814" i="1" s="1"/>
  <c r="D4815" i="1"/>
  <c r="D4816" i="1"/>
  <c r="A4816" i="1" s="1"/>
  <c r="D4817" i="1"/>
  <c r="A4817" i="1" s="1"/>
  <c r="D4818" i="1"/>
  <c r="A4818" i="1" s="1"/>
  <c r="D4819" i="1"/>
  <c r="D4820" i="1"/>
  <c r="A4820" i="1" s="1"/>
  <c r="D4821" i="1"/>
  <c r="A4821" i="1" s="1"/>
  <c r="D4822" i="1"/>
  <c r="A4822" i="1" s="1"/>
  <c r="D4823" i="1"/>
  <c r="A4823" i="1" s="1"/>
  <c r="D4824" i="1"/>
  <c r="A4824" i="1" s="1"/>
  <c r="D4825" i="1"/>
  <c r="A4825" i="1" s="1"/>
  <c r="D4826" i="1"/>
  <c r="A4826" i="1" s="1"/>
  <c r="D4827" i="1"/>
  <c r="A4827" i="1" s="1"/>
  <c r="D4828" i="1"/>
  <c r="A4828" i="1" s="1"/>
  <c r="D4829" i="1"/>
  <c r="A4829" i="1" s="1"/>
  <c r="D4830" i="1"/>
  <c r="A4830" i="1" s="1"/>
  <c r="D4831" i="1"/>
  <c r="A4831" i="1" s="1"/>
  <c r="D4832" i="1"/>
  <c r="A4832" i="1" s="1"/>
  <c r="D4833" i="1"/>
  <c r="A4833" i="1" s="1"/>
  <c r="D4834" i="1"/>
  <c r="A4834" i="1" s="1"/>
  <c r="D4835" i="1"/>
  <c r="D4836" i="1"/>
  <c r="A4836" i="1" s="1"/>
  <c r="D4837" i="1"/>
  <c r="A4837" i="1" s="1"/>
  <c r="D4838" i="1"/>
  <c r="A4838" i="1" s="1"/>
  <c r="D4839" i="1"/>
  <c r="A4839" i="1" s="1"/>
  <c r="D4840" i="1"/>
  <c r="A4840" i="1" s="1"/>
  <c r="D4841" i="1"/>
  <c r="A4841" i="1" s="1"/>
  <c r="D4842" i="1"/>
  <c r="A4842" i="1" s="1"/>
  <c r="D4843" i="1"/>
  <c r="D4844" i="1"/>
  <c r="A4844" i="1" s="1"/>
  <c r="D4845" i="1"/>
  <c r="A4845" i="1" s="1"/>
  <c r="D4846" i="1"/>
  <c r="A4846" i="1" s="1"/>
  <c r="D4847" i="1"/>
  <c r="A4847" i="1" s="1"/>
  <c r="D4848" i="1"/>
  <c r="A4848" i="1" s="1"/>
  <c r="D4849" i="1"/>
  <c r="A4849" i="1" s="1"/>
  <c r="D4850" i="1"/>
  <c r="A4850" i="1" s="1"/>
  <c r="D4851" i="1"/>
  <c r="A4851" i="1" s="1"/>
  <c r="D4852" i="1"/>
  <c r="A4852" i="1" s="1"/>
  <c r="D4853" i="1"/>
  <c r="A4853" i="1" s="1"/>
  <c r="D4854" i="1"/>
  <c r="A4854" i="1" s="1"/>
  <c r="D4855" i="1"/>
  <c r="D4856" i="1"/>
  <c r="A4856" i="1" s="1"/>
  <c r="D4857" i="1"/>
  <c r="A4857" i="1" s="1"/>
  <c r="D4858" i="1"/>
  <c r="A4858" i="1" s="1"/>
  <c r="D4859" i="1"/>
  <c r="A4859" i="1" s="1"/>
  <c r="D4860" i="1"/>
  <c r="A4860" i="1" s="1"/>
  <c r="D4861" i="1"/>
  <c r="A4861" i="1" s="1"/>
  <c r="D4862" i="1"/>
  <c r="A4862" i="1" s="1"/>
  <c r="D4863" i="1"/>
  <c r="A4863" i="1" s="1"/>
  <c r="D4864" i="1"/>
  <c r="A4864" i="1" s="1"/>
  <c r="D4865" i="1"/>
  <c r="D4866" i="1"/>
  <c r="A4866" i="1" s="1"/>
  <c r="D4867" i="1"/>
  <c r="A4867" i="1" s="1"/>
  <c r="D4868" i="1"/>
  <c r="A4868" i="1" s="1"/>
  <c r="D4869" i="1"/>
  <c r="A4869" i="1" s="1"/>
  <c r="D4870" i="1"/>
  <c r="A4870" i="1" s="1"/>
  <c r="D4871" i="1"/>
  <c r="A4871" i="1" s="1"/>
  <c r="D4872" i="1"/>
  <c r="A4872" i="1" s="1"/>
  <c r="D4873" i="1"/>
  <c r="A4873" i="1" s="1"/>
  <c r="D4874" i="1"/>
  <c r="A4874" i="1" s="1"/>
  <c r="D4875" i="1"/>
  <c r="D4876" i="1"/>
  <c r="A4876" i="1" s="1"/>
  <c r="D4877" i="1"/>
  <c r="A4877" i="1" s="1"/>
  <c r="D4878" i="1"/>
  <c r="A4878" i="1" s="1"/>
  <c r="D4879" i="1"/>
  <c r="D4880" i="1"/>
  <c r="A4880" i="1" s="1"/>
  <c r="D4881" i="1"/>
  <c r="A4881" i="1" s="1"/>
  <c r="D4882" i="1"/>
  <c r="A4882" i="1" s="1"/>
  <c r="D4883" i="1"/>
  <c r="D4884" i="1"/>
  <c r="A4884" i="1" s="1"/>
  <c r="D4885" i="1"/>
  <c r="A4885" i="1" s="1"/>
  <c r="D4886" i="1"/>
  <c r="A4886" i="1" s="1"/>
  <c r="D4887" i="1"/>
  <c r="A4887" i="1" s="1"/>
  <c r="D4888" i="1"/>
  <c r="A4888" i="1" s="1"/>
  <c r="D4889" i="1"/>
  <c r="A4889" i="1" s="1"/>
  <c r="D4890" i="1"/>
  <c r="A4890" i="1" s="1"/>
  <c r="D4891" i="1"/>
  <c r="D4892" i="1"/>
  <c r="A4892" i="1" s="1"/>
  <c r="D4893" i="1"/>
  <c r="A4893" i="1" s="1"/>
  <c r="D4894" i="1"/>
  <c r="A4894" i="1" s="1"/>
  <c r="D4895" i="1"/>
  <c r="D4896" i="1"/>
  <c r="A4896" i="1" s="1"/>
  <c r="D4897" i="1"/>
  <c r="A4897" i="1" s="1"/>
  <c r="D4898" i="1"/>
  <c r="A4898" i="1" s="1"/>
  <c r="D4899" i="1"/>
  <c r="A4899" i="1" s="1"/>
  <c r="D4900" i="1"/>
  <c r="A4900" i="1" s="1"/>
  <c r="D4901" i="1"/>
  <c r="A4901" i="1" s="1"/>
  <c r="D4902" i="1"/>
  <c r="A4902" i="1" s="1"/>
  <c r="D4903" i="1"/>
  <c r="A4903" i="1" s="1"/>
  <c r="D4904" i="1"/>
  <c r="A4904" i="1" s="1"/>
  <c r="D4905" i="1"/>
  <c r="A4905" i="1" s="1"/>
  <c r="D4906" i="1"/>
  <c r="A4906" i="1" s="1"/>
  <c r="D4907" i="1"/>
  <c r="A4907" i="1" s="1"/>
  <c r="D4908" i="1"/>
  <c r="A4908" i="1" s="1"/>
  <c r="D4909" i="1"/>
  <c r="A4909" i="1" s="1"/>
  <c r="D4910" i="1"/>
  <c r="A4910" i="1" s="1"/>
  <c r="D4911" i="1"/>
  <c r="A4911" i="1" s="1"/>
  <c r="D4912" i="1"/>
  <c r="A4912" i="1" s="1"/>
  <c r="D4913" i="1"/>
  <c r="A4913" i="1" s="1"/>
  <c r="D4914" i="1"/>
  <c r="A4914" i="1" s="1"/>
  <c r="D4915" i="1"/>
  <c r="A4915" i="1" s="1"/>
  <c r="D4916" i="1"/>
  <c r="A4916" i="1" s="1"/>
  <c r="D4917" i="1"/>
  <c r="A4917" i="1" s="1"/>
  <c r="D4918" i="1"/>
  <c r="A4918" i="1" s="1"/>
  <c r="D4919" i="1"/>
  <c r="A4919" i="1" s="1"/>
  <c r="D4920" i="1"/>
  <c r="A4920" i="1" s="1"/>
  <c r="D4921" i="1"/>
  <c r="A4921" i="1" s="1"/>
  <c r="D4922" i="1"/>
  <c r="A4922" i="1" s="1"/>
  <c r="D4923" i="1"/>
  <c r="D4924" i="1"/>
  <c r="A4924" i="1" s="1"/>
  <c r="D4925" i="1"/>
  <c r="A4925" i="1" s="1"/>
  <c r="D4926" i="1"/>
  <c r="A4926" i="1" s="1"/>
  <c r="D4927" i="1"/>
  <c r="A4927" i="1" s="1"/>
  <c r="D4928" i="1"/>
  <c r="A4928" i="1" s="1"/>
  <c r="D4929" i="1"/>
  <c r="A4929" i="1" s="1"/>
  <c r="D4930" i="1"/>
  <c r="A4930" i="1" s="1"/>
  <c r="D4931" i="1"/>
  <c r="A4931" i="1" s="1"/>
  <c r="D4932" i="1"/>
  <c r="A4932" i="1" s="1"/>
  <c r="D4933" i="1"/>
  <c r="A4933" i="1" s="1"/>
  <c r="D4934" i="1"/>
  <c r="A4934" i="1" s="1"/>
  <c r="D4935" i="1"/>
  <c r="A4935" i="1" s="1"/>
  <c r="D4936" i="1"/>
  <c r="A4936" i="1" s="1"/>
  <c r="D4937" i="1"/>
  <c r="A4937" i="1" s="1"/>
  <c r="D4938" i="1"/>
  <c r="A4938" i="1" s="1"/>
  <c r="D4939" i="1"/>
  <c r="D4940" i="1"/>
  <c r="A4940" i="1" s="1"/>
  <c r="D4941" i="1"/>
  <c r="A4941" i="1" s="1"/>
  <c r="D4942" i="1"/>
  <c r="A4942" i="1" s="1"/>
  <c r="D4943" i="1"/>
  <c r="D4944" i="1"/>
  <c r="A4944" i="1" s="1"/>
  <c r="D4945" i="1"/>
  <c r="A4945" i="1" s="1"/>
  <c r="D4946" i="1"/>
  <c r="A4946" i="1" s="1"/>
  <c r="D4947" i="1"/>
  <c r="A4947" i="1" s="1"/>
  <c r="D4948" i="1"/>
  <c r="A4948" i="1" s="1"/>
  <c r="D4949" i="1"/>
  <c r="A4949" i="1" s="1"/>
  <c r="D4950" i="1"/>
  <c r="A4950" i="1" s="1"/>
  <c r="D4951" i="1"/>
  <c r="A4951" i="1" s="1"/>
  <c r="D4952" i="1"/>
  <c r="A4952" i="1" s="1"/>
  <c r="D4953" i="1"/>
  <c r="A4953" i="1" s="1"/>
  <c r="D4954" i="1"/>
  <c r="A4954" i="1" s="1"/>
  <c r="D4955" i="1"/>
  <c r="A4955" i="1" s="1"/>
  <c r="D4956" i="1"/>
  <c r="A4956" i="1" s="1"/>
  <c r="D4957" i="1"/>
  <c r="A4957" i="1" s="1"/>
  <c r="D4958" i="1"/>
  <c r="A4958" i="1" s="1"/>
  <c r="D4959" i="1"/>
  <c r="A4959" i="1" s="1"/>
  <c r="D4960" i="1"/>
  <c r="A4960" i="1" s="1"/>
  <c r="D4961" i="1"/>
  <c r="A4961" i="1" s="1"/>
  <c r="D4962" i="1"/>
  <c r="A4962" i="1" s="1"/>
  <c r="D4963" i="1"/>
  <c r="A4963" i="1" s="1"/>
  <c r="D4964" i="1"/>
  <c r="A4964" i="1" s="1"/>
  <c r="D4965" i="1"/>
  <c r="A4965" i="1" s="1"/>
  <c r="D4966" i="1"/>
  <c r="A4966" i="1" s="1"/>
  <c r="D4967" i="1"/>
  <c r="A4967" i="1" s="1"/>
  <c r="D4968" i="1"/>
  <c r="A4968" i="1" s="1"/>
  <c r="D4969" i="1"/>
  <c r="A4969" i="1" s="1"/>
  <c r="D4970" i="1"/>
  <c r="A4970" i="1" s="1"/>
  <c r="D4971" i="1"/>
  <c r="A4971" i="1" s="1"/>
  <c r="D4972" i="1"/>
  <c r="D4973" i="1"/>
  <c r="A4973" i="1" s="1"/>
  <c r="D4974" i="1"/>
  <c r="A4974" i="1" s="1"/>
  <c r="D4975" i="1"/>
  <c r="D4976" i="1"/>
  <c r="A4976" i="1" s="1"/>
  <c r="D4977" i="1"/>
  <c r="A4977" i="1" s="1"/>
  <c r="D4978" i="1"/>
  <c r="A4978" i="1" s="1"/>
  <c r="D4979" i="1"/>
  <c r="A4979" i="1" s="1"/>
  <c r="D4980" i="1"/>
  <c r="A4980" i="1" s="1"/>
  <c r="D4981" i="1"/>
  <c r="A4981" i="1" s="1"/>
  <c r="D4982" i="1"/>
  <c r="A4982" i="1" s="1"/>
  <c r="D4983" i="1"/>
  <c r="A4983" i="1" s="1"/>
  <c r="D4984" i="1"/>
  <c r="A4984" i="1" s="1"/>
  <c r="D4985" i="1"/>
  <c r="A4985" i="1" s="1"/>
  <c r="D4986" i="1"/>
  <c r="A4986" i="1" s="1"/>
  <c r="D4987" i="1"/>
  <c r="A4987" i="1" s="1"/>
  <c r="D4988" i="1"/>
  <c r="A4988" i="1" s="1"/>
  <c r="D4989" i="1"/>
  <c r="A4989" i="1" s="1"/>
  <c r="D4990" i="1"/>
  <c r="A4990" i="1" s="1"/>
  <c r="D4991" i="1"/>
  <c r="D4992" i="1"/>
  <c r="A4992" i="1" s="1"/>
  <c r="D4993" i="1"/>
  <c r="A4993" i="1" s="1"/>
  <c r="D4994" i="1"/>
  <c r="A4994" i="1" s="1"/>
  <c r="D4995" i="1"/>
  <c r="D4996" i="1"/>
  <c r="A4996" i="1" s="1"/>
  <c r="D4997" i="1"/>
  <c r="A4997" i="1" s="1"/>
  <c r="D4998" i="1"/>
  <c r="A4998" i="1" s="1"/>
  <c r="D4999" i="1"/>
  <c r="A4999" i="1" s="1"/>
  <c r="D5000" i="1"/>
  <c r="A5000" i="1" s="1"/>
  <c r="A4007" i="1"/>
  <c r="A4011" i="1"/>
  <c r="A4012" i="1"/>
  <c r="A4015" i="1"/>
  <c r="A4019" i="1"/>
  <c r="A4047" i="1"/>
  <c r="A4051" i="1"/>
  <c r="A4071" i="1"/>
  <c r="A4083" i="1"/>
  <c r="A4096" i="1"/>
  <c r="A4111" i="1"/>
  <c r="A4131" i="1"/>
  <c r="A4139" i="1"/>
  <c r="A4143" i="1"/>
  <c r="A4171" i="1"/>
  <c r="A4203" i="1"/>
  <c r="A4204" i="1"/>
  <c r="A4215" i="1"/>
  <c r="A4220" i="1"/>
  <c r="A4231" i="1"/>
  <c r="A4236" i="1"/>
  <c r="A4241" i="1"/>
  <c r="A4251" i="1"/>
  <c r="A4259" i="1"/>
  <c r="A4271" i="1"/>
  <c r="A4289" i="1"/>
  <c r="A4299" i="1"/>
  <c r="A4305" i="1"/>
  <c r="A4339" i="1"/>
  <c r="A4343" i="1"/>
  <c r="A4355" i="1"/>
  <c r="A4364" i="1"/>
  <c r="A4367" i="1"/>
  <c r="A4388" i="1"/>
  <c r="A4395" i="1"/>
  <c r="A4399" i="1"/>
  <c r="A4403" i="1"/>
  <c r="A4411" i="1"/>
  <c r="A4428" i="1"/>
  <c r="A4439" i="1"/>
  <c r="A4459" i="1"/>
  <c r="A4471" i="1"/>
  <c r="A4507" i="1"/>
  <c r="A4508" i="1"/>
  <c r="A4515" i="1"/>
  <c r="A4523" i="1"/>
  <c r="A4535" i="1"/>
  <c r="A4563" i="1"/>
  <c r="A4567" i="1"/>
  <c r="A4571" i="1"/>
  <c r="A4579" i="1"/>
  <c r="A4588" i="1"/>
  <c r="A4604" i="1"/>
  <c r="A4627" i="1"/>
  <c r="A4643" i="1"/>
  <c r="A4647" i="1"/>
  <c r="A4663" i="1"/>
  <c r="A4675" i="1"/>
  <c r="A4679" i="1"/>
  <c r="A4687" i="1"/>
  <c r="A4715" i="1"/>
  <c r="A4729" i="1"/>
  <c r="A4731" i="1"/>
  <c r="A4748" i="1"/>
  <c r="A4771" i="1"/>
  <c r="A4775" i="1"/>
  <c r="A4779" i="1"/>
  <c r="A4787" i="1"/>
  <c r="A4815" i="1"/>
  <c r="A4819" i="1"/>
  <c r="A4835" i="1"/>
  <c r="A4843" i="1"/>
  <c r="A4855" i="1"/>
  <c r="A4865" i="1"/>
  <c r="A4875" i="1"/>
  <c r="A4879" i="1"/>
  <c r="A4883" i="1"/>
  <c r="A4891" i="1"/>
  <c r="A4895" i="1"/>
  <c r="A4923" i="1"/>
  <c r="A4939" i="1"/>
  <c r="A4943" i="1"/>
  <c r="A4972" i="1"/>
  <c r="A4975" i="1"/>
  <c r="A4991" i="1"/>
  <c r="A4995" i="1"/>
  <c r="I4002" i="1"/>
  <c r="I4003" i="1"/>
  <c r="I4004" i="1"/>
  <c r="I4005" i="1"/>
  <c r="I4006" i="1"/>
  <c r="I4007" i="1"/>
  <c r="I4008" i="1"/>
  <c r="I4009" i="1"/>
  <c r="E4009" i="1" s="1"/>
  <c r="I4010" i="1"/>
  <c r="E4010" i="1" s="1"/>
  <c r="I4011" i="1"/>
  <c r="E4011" i="1" s="1"/>
  <c r="I4012" i="1"/>
  <c r="E4012" i="1" s="1"/>
  <c r="I4013" i="1"/>
  <c r="E4013" i="1" s="1"/>
  <c r="I4014" i="1"/>
  <c r="E4014" i="1" s="1"/>
  <c r="I4015" i="1"/>
  <c r="E4015" i="1" s="1"/>
  <c r="I4016" i="1"/>
  <c r="E4016" i="1" s="1"/>
  <c r="I4017" i="1"/>
  <c r="E4017" i="1" s="1"/>
  <c r="I4018" i="1"/>
  <c r="E4018" i="1" s="1"/>
  <c r="I4019" i="1"/>
  <c r="E4019" i="1" s="1"/>
  <c r="I4020" i="1"/>
  <c r="E4020" i="1" s="1"/>
  <c r="I4021" i="1"/>
  <c r="E4021" i="1" s="1"/>
  <c r="I4022" i="1"/>
  <c r="E4022" i="1" s="1"/>
  <c r="I4023" i="1"/>
  <c r="E4023" i="1" s="1"/>
  <c r="I4024" i="1"/>
  <c r="E4024" i="1" s="1"/>
  <c r="I4025" i="1"/>
  <c r="E4025" i="1" s="1"/>
  <c r="I4026" i="1"/>
  <c r="E4026" i="1" s="1"/>
  <c r="I4027" i="1"/>
  <c r="E4027" i="1" s="1"/>
  <c r="I4028" i="1"/>
  <c r="E4028" i="1" s="1"/>
  <c r="I4029" i="1"/>
  <c r="E4029" i="1" s="1"/>
  <c r="I4030" i="1"/>
  <c r="E4030" i="1" s="1"/>
  <c r="I4031" i="1"/>
  <c r="E4031" i="1" s="1"/>
  <c r="I4032" i="1"/>
  <c r="E4032" i="1" s="1"/>
  <c r="I4033" i="1"/>
  <c r="E4033" i="1" s="1"/>
  <c r="I4034" i="1"/>
  <c r="E4034" i="1" s="1"/>
  <c r="I4035" i="1"/>
  <c r="E4035" i="1" s="1"/>
  <c r="I4036" i="1"/>
  <c r="E4036" i="1" s="1"/>
  <c r="I4037" i="1"/>
  <c r="E4037" i="1" s="1"/>
  <c r="I4038" i="1"/>
  <c r="E4038" i="1" s="1"/>
  <c r="I4039" i="1"/>
  <c r="E4039" i="1" s="1"/>
  <c r="I4040" i="1"/>
  <c r="E4040" i="1" s="1"/>
  <c r="I4041" i="1"/>
  <c r="E4041" i="1" s="1"/>
  <c r="I4042" i="1"/>
  <c r="E4042" i="1" s="1"/>
  <c r="I4043" i="1"/>
  <c r="E4043" i="1" s="1"/>
  <c r="I4044" i="1"/>
  <c r="E4044" i="1" s="1"/>
  <c r="I4045" i="1"/>
  <c r="E4045" i="1" s="1"/>
  <c r="I4046" i="1"/>
  <c r="E4046" i="1" s="1"/>
  <c r="I4047" i="1"/>
  <c r="E4047" i="1" s="1"/>
  <c r="I4048" i="1"/>
  <c r="E4048" i="1" s="1"/>
  <c r="I4049" i="1"/>
  <c r="E4049" i="1" s="1"/>
  <c r="I4050" i="1"/>
  <c r="E4050" i="1" s="1"/>
  <c r="I4051" i="1"/>
  <c r="E4051" i="1" s="1"/>
  <c r="I4052" i="1"/>
  <c r="E4052" i="1" s="1"/>
  <c r="I4053" i="1"/>
  <c r="E4053" i="1" s="1"/>
  <c r="I4054" i="1"/>
  <c r="E4054" i="1" s="1"/>
  <c r="I4055" i="1"/>
  <c r="E4055" i="1" s="1"/>
  <c r="I4056" i="1"/>
  <c r="E4056" i="1" s="1"/>
  <c r="I4057" i="1"/>
  <c r="E4057" i="1" s="1"/>
  <c r="I4058" i="1"/>
  <c r="E4058" i="1" s="1"/>
  <c r="I4059" i="1"/>
  <c r="E4059" i="1" s="1"/>
  <c r="I4060" i="1"/>
  <c r="E4060" i="1" s="1"/>
  <c r="I4061" i="1"/>
  <c r="E4061" i="1" s="1"/>
  <c r="I4062" i="1"/>
  <c r="E4062" i="1" s="1"/>
  <c r="I4063" i="1"/>
  <c r="E4063" i="1" s="1"/>
  <c r="I4064" i="1"/>
  <c r="E4064" i="1" s="1"/>
  <c r="I4065" i="1"/>
  <c r="E4065" i="1" s="1"/>
  <c r="I4066" i="1"/>
  <c r="E4066" i="1" s="1"/>
  <c r="I4067" i="1"/>
  <c r="E4067" i="1" s="1"/>
  <c r="I4068" i="1"/>
  <c r="E4068" i="1" s="1"/>
  <c r="I4069" i="1"/>
  <c r="E4069" i="1" s="1"/>
  <c r="I4070" i="1"/>
  <c r="E4070" i="1" s="1"/>
  <c r="I4071" i="1"/>
  <c r="E4071" i="1" s="1"/>
  <c r="I4072" i="1"/>
  <c r="E4072" i="1" s="1"/>
  <c r="I4073" i="1"/>
  <c r="E4073" i="1" s="1"/>
  <c r="I4074" i="1"/>
  <c r="E4074" i="1" s="1"/>
  <c r="I4075" i="1"/>
  <c r="E4075" i="1" s="1"/>
  <c r="I4076" i="1"/>
  <c r="E4076" i="1" s="1"/>
  <c r="I4077" i="1"/>
  <c r="E4077" i="1" s="1"/>
  <c r="I4078" i="1"/>
  <c r="E4078" i="1" s="1"/>
  <c r="I4079" i="1"/>
  <c r="E4079" i="1" s="1"/>
  <c r="I4080" i="1"/>
  <c r="E4080" i="1" s="1"/>
  <c r="I4081" i="1"/>
  <c r="E4081" i="1" s="1"/>
  <c r="I4082" i="1"/>
  <c r="E4082" i="1" s="1"/>
  <c r="I4083" i="1"/>
  <c r="E4083" i="1" s="1"/>
  <c r="I4084" i="1"/>
  <c r="E4084" i="1" s="1"/>
  <c r="I4085" i="1"/>
  <c r="E4085" i="1" s="1"/>
  <c r="I4086" i="1"/>
  <c r="E4086" i="1" s="1"/>
  <c r="I4087" i="1"/>
  <c r="E4087" i="1" s="1"/>
  <c r="I4088" i="1"/>
  <c r="E4088" i="1" s="1"/>
  <c r="I4089" i="1"/>
  <c r="E4089" i="1" s="1"/>
  <c r="I4090" i="1"/>
  <c r="E4090" i="1" s="1"/>
  <c r="I4091" i="1"/>
  <c r="E4091" i="1" s="1"/>
  <c r="I4092" i="1"/>
  <c r="E4092" i="1" s="1"/>
  <c r="I4093" i="1"/>
  <c r="E4093" i="1" s="1"/>
  <c r="I4094" i="1"/>
  <c r="E4094" i="1" s="1"/>
  <c r="I4095" i="1"/>
  <c r="E4095" i="1" s="1"/>
  <c r="I4096" i="1"/>
  <c r="E4096" i="1" s="1"/>
  <c r="I4097" i="1"/>
  <c r="E4097" i="1" s="1"/>
  <c r="I4098" i="1"/>
  <c r="E4098" i="1" s="1"/>
  <c r="I4099" i="1"/>
  <c r="E4099" i="1" s="1"/>
  <c r="I4100" i="1"/>
  <c r="E4100" i="1" s="1"/>
  <c r="I4101" i="1"/>
  <c r="E4101" i="1" s="1"/>
  <c r="I4102" i="1"/>
  <c r="E4102" i="1" s="1"/>
  <c r="I4103" i="1"/>
  <c r="E4103" i="1" s="1"/>
  <c r="I4104" i="1"/>
  <c r="E4104" i="1" s="1"/>
  <c r="I4105" i="1"/>
  <c r="E4105" i="1" s="1"/>
  <c r="I4106" i="1"/>
  <c r="E4106" i="1" s="1"/>
  <c r="I4107" i="1"/>
  <c r="E4107" i="1" s="1"/>
  <c r="I4108" i="1"/>
  <c r="E4108" i="1" s="1"/>
  <c r="I4109" i="1"/>
  <c r="E4109" i="1" s="1"/>
  <c r="I4110" i="1"/>
  <c r="E4110" i="1" s="1"/>
  <c r="I4111" i="1"/>
  <c r="E4111" i="1" s="1"/>
  <c r="I4112" i="1"/>
  <c r="E4112" i="1" s="1"/>
  <c r="I4113" i="1"/>
  <c r="E4113" i="1" s="1"/>
  <c r="I4114" i="1"/>
  <c r="E4114" i="1" s="1"/>
  <c r="I4115" i="1"/>
  <c r="E4115" i="1" s="1"/>
  <c r="I4116" i="1"/>
  <c r="E4116" i="1" s="1"/>
  <c r="I4117" i="1"/>
  <c r="E4117" i="1" s="1"/>
  <c r="I4118" i="1"/>
  <c r="E4118" i="1" s="1"/>
  <c r="I4119" i="1"/>
  <c r="E4119" i="1" s="1"/>
  <c r="I4120" i="1"/>
  <c r="E4120" i="1" s="1"/>
  <c r="I4121" i="1"/>
  <c r="E4121" i="1" s="1"/>
  <c r="I4122" i="1"/>
  <c r="E4122" i="1" s="1"/>
  <c r="I4123" i="1"/>
  <c r="E4123" i="1" s="1"/>
  <c r="I4124" i="1"/>
  <c r="E4124" i="1" s="1"/>
  <c r="I4125" i="1"/>
  <c r="E4125" i="1" s="1"/>
  <c r="I4126" i="1"/>
  <c r="E4126" i="1" s="1"/>
  <c r="I4127" i="1"/>
  <c r="E4127" i="1" s="1"/>
  <c r="I4128" i="1"/>
  <c r="E4128" i="1" s="1"/>
  <c r="I4129" i="1"/>
  <c r="E4129" i="1" s="1"/>
  <c r="I4130" i="1"/>
  <c r="E4130" i="1" s="1"/>
  <c r="I4131" i="1"/>
  <c r="E4131" i="1" s="1"/>
  <c r="I4132" i="1"/>
  <c r="E4132" i="1" s="1"/>
  <c r="I4133" i="1"/>
  <c r="E4133" i="1" s="1"/>
  <c r="I4134" i="1"/>
  <c r="E4134" i="1" s="1"/>
  <c r="I4135" i="1"/>
  <c r="E4135" i="1" s="1"/>
  <c r="I4136" i="1"/>
  <c r="E4136" i="1" s="1"/>
  <c r="I4137" i="1"/>
  <c r="E4137" i="1" s="1"/>
  <c r="I4138" i="1"/>
  <c r="E4138" i="1" s="1"/>
  <c r="I4139" i="1"/>
  <c r="E4139" i="1" s="1"/>
  <c r="I4140" i="1"/>
  <c r="E4140" i="1" s="1"/>
  <c r="I4141" i="1"/>
  <c r="E4141" i="1" s="1"/>
  <c r="I4142" i="1"/>
  <c r="E4142" i="1" s="1"/>
  <c r="I4143" i="1"/>
  <c r="E4143" i="1" s="1"/>
  <c r="I4144" i="1"/>
  <c r="E4144" i="1" s="1"/>
  <c r="I4145" i="1"/>
  <c r="E4145" i="1" s="1"/>
  <c r="I4146" i="1"/>
  <c r="E4146" i="1" s="1"/>
  <c r="I4147" i="1"/>
  <c r="E4147" i="1" s="1"/>
  <c r="I4148" i="1"/>
  <c r="E4148" i="1" s="1"/>
  <c r="I4149" i="1"/>
  <c r="E4149" i="1" s="1"/>
  <c r="I4150" i="1"/>
  <c r="E4150" i="1" s="1"/>
  <c r="I4151" i="1"/>
  <c r="E4151" i="1" s="1"/>
  <c r="I4152" i="1"/>
  <c r="E4152" i="1" s="1"/>
  <c r="I4153" i="1"/>
  <c r="E4153" i="1" s="1"/>
  <c r="I4154" i="1"/>
  <c r="E4154" i="1" s="1"/>
  <c r="I4155" i="1"/>
  <c r="E4155" i="1" s="1"/>
  <c r="I4156" i="1"/>
  <c r="E4156" i="1" s="1"/>
  <c r="I4157" i="1"/>
  <c r="E4157" i="1" s="1"/>
  <c r="I4158" i="1"/>
  <c r="E4158" i="1" s="1"/>
  <c r="I4159" i="1"/>
  <c r="E4159" i="1" s="1"/>
  <c r="I4160" i="1"/>
  <c r="E4160" i="1" s="1"/>
  <c r="I4161" i="1"/>
  <c r="E4161" i="1" s="1"/>
  <c r="I4162" i="1"/>
  <c r="E4162" i="1" s="1"/>
  <c r="I4163" i="1"/>
  <c r="E4163" i="1" s="1"/>
  <c r="I4164" i="1"/>
  <c r="E4164" i="1" s="1"/>
  <c r="I4165" i="1"/>
  <c r="E4165" i="1" s="1"/>
  <c r="I4166" i="1"/>
  <c r="E4166" i="1" s="1"/>
  <c r="I4167" i="1"/>
  <c r="E4167" i="1" s="1"/>
  <c r="I4168" i="1"/>
  <c r="E4168" i="1" s="1"/>
  <c r="I4169" i="1"/>
  <c r="E4169" i="1" s="1"/>
  <c r="I4170" i="1"/>
  <c r="E4170" i="1" s="1"/>
  <c r="I4171" i="1"/>
  <c r="E4171" i="1" s="1"/>
  <c r="I4172" i="1"/>
  <c r="E4172" i="1" s="1"/>
  <c r="I4173" i="1"/>
  <c r="E4173" i="1" s="1"/>
  <c r="I4174" i="1"/>
  <c r="E4174" i="1" s="1"/>
  <c r="I4175" i="1"/>
  <c r="E4175" i="1" s="1"/>
  <c r="I4176" i="1"/>
  <c r="E4176" i="1" s="1"/>
  <c r="I4177" i="1"/>
  <c r="E4177" i="1" s="1"/>
  <c r="I4178" i="1"/>
  <c r="E4178" i="1" s="1"/>
  <c r="I4179" i="1"/>
  <c r="E4179" i="1" s="1"/>
  <c r="I4180" i="1"/>
  <c r="E4180" i="1" s="1"/>
  <c r="I4181" i="1"/>
  <c r="E4181" i="1" s="1"/>
  <c r="I4182" i="1"/>
  <c r="E4182" i="1" s="1"/>
  <c r="I4183" i="1"/>
  <c r="E4183" i="1" s="1"/>
  <c r="I4184" i="1"/>
  <c r="E4184" i="1" s="1"/>
  <c r="I4185" i="1"/>
  <c r="E4185" i="1" s="1"/>
  <c r="I4186" i="1"/>
  <c r="E4186" i="1" s="1"/>
  <c r="I4187" i="1"/>
  <c r="E4187" i="1" s="1"/>
  <c r="I4188" i="1"/>
  <c r="E4188" i="1" s="1"/>
  <c r="I4189" i="1"/>
  <c r="E4189" i="1" s="1"/>
  <c r="I4190" i="1"/>
  <c r="E4190" i="1" s="1"/>
  <c r="I4191" i="1"/>
  <c r="E4191" i="1" s="1"/>
  <c r="I4192" i="1"/>
  <c r="E4192" i="1" s="1"/>
  <c r="I4193" i="1"/>
  <c r="E4193" i="1" s="1"/>
  <c r="I4194" i="1"/>
  <c r="E4194" i="1" s="1"/>
  <c r="I4195" i="1"/>
  <c r="E4195" i="1" s="1"/>
  <c r="I4196" i="1"/>
  <c r="E4196" i="1" s="1"/>
  <c r="I4197" i="1"/>
  <c r="E4197" i="1" s="1"/>
  <c r="I4198" i="1"/>
  <c r="E4198" i="1" s="1"/>
  <c r="I4199" i="1"/>
  <c r="E4199" i="1" s="1"/>
  <c r="I4200" i="1"/>
  <c r="E4200" i="1" s="1"/>
  <c r="I4201" i="1"/>
  <c r="E4201" i="1" s="1"/>
  <c r="I4202" i="1"/>
  <c r="E4202" i="1" s="1"/>
  <c r="I4203" i="1"/>
  <c r="E4203" i="1" s="1"/>
  <c r="I4204" i="1"/>
  <c r="E4204" i="1" s="1"/>
  <c r="I4205" i="1"/>
  <c r="E4205" i="1" s="1"/>
  <c r="I4206" i="1"/>
  <c r="E4206" i="1" s="1"/>
  <c r="I4207" i="1"/>
  <c r="E4207" i="1" s="1"/>
  <c r="I4208" i="1"/>
  <c r="E4208" i="1" s="1"/>
  <c r="I4209" i="1"/>
  <c r="E4209" i="1" s="1"/>
  <c r="I4210" i="1"/>
  <c r="E4210" i="1" s="1"/>
  <c r="I4211" i="1"/>
  <c r="E4211" i="1" s="1"/>
  <c r="I4212" i="1"/>
  <c r="E4212" i="1" s="1"/>
  <c r="I4213" i="1"/>
  <c r="E4213" i="1" s="1"/>
  <c r="I4214" i="1"/>
  <c r="E4214" i="1" s="1"/>
  <c r="I4215" i="1"/>
  <c r="E4215" i="1" s="1"/>
  <c r="I4216" i="1"/>
  <c r="E4216" i="1" s="1"/>
  <c r="I4217" i="1"/>
  <c r="E4217" i="1" s="1"/>
  <c r="I4218" i="1"/>
  <c r="E4218" i="1" s="1"/>
  <c r="I4219" i="1"/>
  <c r="E4219" i="1" s="1"/>
  <c r="I4220" i="1"/>
  <c r="E4220" i="1" s="1"/>
  <c r="I4221" i="1"/>
  <c r="E4221" i="1" s="1"/>
  <c r="I4222" i="1"/>
  <c r="E4222" i="1" s="1"/>
  <c r="I4223" i="1"/>
  <c r="E4223" i="1" s="1"/>
  <c r="I4224" i="1"/>
  <c r="E4224" i="1" s="1"/>
  <c r="I4225" i="1"/>
  <c r="E4225" i="1" s="1"/>
  <c r="I4226" i="1"/>
  <c r="E4226" i="1" s="1"/>
  <c r="I4227" i="1"/>
  <c r="E4227" i="1" s="1"/>
  <c r="I4228" i="1"/>
  <c r="E4228" i="1" s="1"/>
  <c r="I4229" i="1"/>
  <c r="E4229" i="1" s="1"/>
  <c r="I4230" i="1"/>
  <c r="E4230" i="1" s="1"/>
  <c r="I4231" i="1"/>
  <c r="E4231" i="1" s="1"/>
  <c r="I4232" i="1"/>
  <c r="E4232" i="1" s="1"/>
  <c r="I4233" i="1"/>
  <c r="E4233" i="1" s="1"/>
  <c r="I4234" i="1"/>
  <c r="E4234" i="1" s="1"/>
  <c r="I4235" i="1"/>
  <c r="E4235" i="1" s="1"/>
  <c r="I4236" i="1"/>
  <c r="E4236" i="1" s="1"/>
  <c r="I4237" i="1"/>
  <c r="E4237" i="1" s="1"/>
  <c r="I4238" i="1"/>
  <c r="E4238" i="1" s="1"/>
  <c r="I4239" i="1"/>
  <c r="E4239" i="1" s="1"/>
  <c r="I4240" i="1"/>
  <c r="E4240" i="1" s="1"/>
  <c r="I4241" i="1"/>
  <c r="E4241" i="1" s="1"/>
  <c r="I4242" i="1"/>
  <c r="E4242" i="1" s="1"/>
  <c r="I4243" i="1"/>
  <c r="E4243" i="1" s="1"/>
  <c r="I4244" i="1"/>
  <c r="E4244" i="1" s="1"/>
  <c r="I4245" i="1"/>
  <c r="E4245" i="1" s="1"/>
  <c r="I4246" i="1"/>
  <c r="E4246" i="1" s="1"/>
  <c r="I4247" i="1"/>
  <c r="E4247" i="1" s="1"/>
  <c r="I4248" i="1"/>
  <c r="E4248" i="1" s="1"/>
  <c r="I4249" i="1"/>
  <c r="E4249" i="1" s="1"/>
  <c r="I4250" i="1"/>
  <c r="E4250" i="1" s="1"/>
  <c r="I4251" i="1"/>
  <c r="E4251" i="1" s="1"/>
  <c r="I4252" i="1"/>
  <c r="E4252" i="1" s="1"/>
  <c r="I4253" i="1"/>
  <c r="E4253" i="1" s="1"/>
  <c r="I4254" i="1"/>
  <c r="E4254" i="1" s="1"/>
  <c r="I4255" i="1"/>
  <c r="E4255" i="1" s="1"/>
  <c r="I4256" i="1"/>
  <c r="E4256" i="1" s="1"/>
  <c r="I4257" i="1"/>
  <c r="E4257" i="1" s="1"/>
  <c r="I4258" i="1"/>
  <c r="E4258" i="1" s="1"/>
  <c r="I4259" i="1"/>
  <c r="E4259" i="1" s="1"/>
  <c r="I4260" i="1"/>
  <c r="E4260" i="1" s="1"/>
  <c r="I4261" i="1"/>
  <c r="E4261" i="1" s="1"/>
  <c r="I4262" i="1"/>
  <c r="E4262" i="1" s="1"/>
  <c r="I4263" i="1"/>
  <c r="E4263" i="1" s="1"/>
  <c r="I4264" i="1"/>
  <c r="E4264" i="1" s="1"/>
  <c r="I4265" i="1"/>
  <c r="E4265" i="1" s="1"/>
  <c r="I4266" i="1"/>
  <c r="E4266" i="1" s="1"/>
  <c r="I4267" i="1"/>
  <c r="E4267" i="1" s="1"/>
  <c r="I4268" i="1"/>
  <c r="E4268" i="1" s="1"/>
  <c r="I4269" i="1"/>
  <c r="E4269" i="1" s="1"/>
  <c r="I4270" i="1"/>
  <c r="E4270" i="1" s="1"/>
  <c r="I4271" i="1"/>
  <c r="E4271" i="1" s="1"/>
  <c r="I4272" i="1"/>
  <c r="E4272" i="1" s="1"/>
  <c r="I4273" i="1"/>
  <c r="E4273" i="1" s="1"/>
  <c r="I4274" i="1"/>
  <c r="E4274" i="1" s="1"/>
  <c r="I4275" i="1"/>
  <c r="E4275" i="1" s="1"/>
  <c r="I4276" i="1"/>
  <c r="E4276" i="1" s="1"/>
  <c r="I4277" i="1"/>
  <c r="E4277" i="1" s="1"/>
  <c r="I4278" i="1"/>
  <c r="E4278" i="1" s="1"/>
  <c r="I4279" i="1"/>
  <c r="E4279" i="1" s="1"/>
  <c r="I4280" i="1"/>
  <c r="E4280" i="1" s="1"/>
  <c r="I4281" i="1"/>
  <c r="E4281" i="1" s="1"/>
  <c r="I4282" i="1"/>
  <c r="E4282" i="1" s="1"/>
  <c r="I4283" i="1"/>
  <c r="E4283" i="1" s="1"/>
  <c r="I4284" i="1"/>
  <c r="E4284" i="1" s="1"/>
  <c r="I4285" i="1"/>
  <c r="E4285" i="1" s="1"/>
  <c r="I4286" i="1"/>
  <c r="E4286" i="1" s="1"/>
  <c r="I4287" i="1"/>
  <c r="E4287" i="1" s="1"/>
  <c r="I4288" i="1"/>
  <c r="E4288" i="1" s="1"/>
  <c r="I4289" i="1"/>
  <c r="E4289" i="1" s="1"/>
  <c r="I4290" i="1"/>
  <c r="E4290" i="1" s="1"/>
  <c r="I4291" i="1"/>
  <c r="E4291" i="1" s="1"/>
  <c r="I4292" i="1"/>
  <c r="E4292" i="1" s="1"/>
  <c r="I4293" i="1"/>
  <c r="E4293" i="1" s="1"/>
  <c r="I4294" i="1"/>
  <c r="E4294" i="1" s="1"/>
  <c r="I4295" i="1"/>
  <c r="E4295" i="1" s="1"/>
  <c r="I4296" i="1"/>
  <c r="E4296" i="1" s="1"/>
  <c r="I4297" i="1"/>
  <c r="E4297" i="1" s="1"/>
  <c r="I4298" i="1"/>
  <c r="E4298" i="1" s="1"/>
  <c r="I4299" i="1"/>
  <c r="E4299" i="1" s="1"/>
  <c r="I4300" i="1"/>
  <c r="E4300" i="1" s="1"/>
  <c r="I4301" i="1"/>
  <c r="E4301" i="1" s="1"/>
  <c r="I4302" i="1"/>
  <c r="E4302" i="1" s="1"/>
  <c r="I4303" i="1"/>
  <c r="E4303" i="1" s="1"/>
  <c r="I4304" i="1"/>
  <c r="E4304" i="1" s="1"/>
  <c r="I4305" i="1"/>
  <c r="E4305" i="1" s="1"/>
  <c r="I4306" i="1"/>
  <c r="E4306" i="1" s="1"/>
  <c r="I4307" i="1"/>
  <c r="E4307" i="1" s="1"/>
  <c r="I4308" i="1"/>
  <c r="E4308" i="1" s="1"/>
  <c r="I4309" i="1"/>
  <c r="E4309" i="1" s="1"/>
  <c r="I4310" i="1"/>
  <c r="E4310" i="1" s="1"/>
  <c r="I4311" i="1"/>
  <c r="E4311" i="1" s="1"/>
  <c r="I4312" i="1"/>
  <c r="E4312" i="1" s="1"/>
  <c r="I4313" i="1"/>
  <c r="E4313" i="1" s="1"/>
  <c r="I4314" i="1"/>
  <c r="E4314" i="1" s="1"/>
  <c r="I4315" i="1"/>
  <c r="E4315" i="1" s="1"/>
  <c r="I4316" i="1"/>
  <c r="E4316" i="1" s="1"/>
  <c r="I4317" i="1"/>
  <c r="E4317" i="1" s="1"/>
  <c r="I4318" i="1"/>
  <c r="E4318" i="1" s="1"/>
  <c r="I4319" i="1"/>
  <c r="E4319" i="1" s="1"/>
  <c r="I4320" i="1"/>
  <c r="E4320" i="1" s="1"/>
  <c r="I4321" i="1"/>
  <c r="E4321" i="1" s="1"/>
  <c r="I4322" i="1"/>
  <c r="E4322" i="1" s="1"/>
  <c r="I4323" i="1"/>
  <c r="E4323" i="1" s="1"/>
  <c r="I4324" i="1"/>
  <c r="E4324" i="1" s="1"/>
  <c r="I4325" i="1"/>
  <c r="E4325" i="1" s="1"/>
  <c r="I4326" i="1"/>
  <c r="E4326" i="1" s="1"/>
  <c r="I4327" i="1"/>
  <c r="E4327" i="1" s="1"/>
  <c r="I4328" i="1"/>
  <c r="E4328" i="1" s="1"/>
  <c r="I4329" i="1"/>
  <c r="E4329" i="1" s="1"/>
  <c r="I4330" i="1"/>
  <c r="E4330" i="1" s="1"/>
  <c r="I4331" i="1"/>
  <c r="E4331" i="1" s="1"/>
  <c r="I4332" i="1"/>
  <c r="E4332" i="1" s="1"/>
  <c r="I4333" i="1"/>
  <c r="E4333" i="1" s="1"/>
  <c r="I4334" i="1"/>
  <c r="E4334" i="1" s="1"/>
  <c r="I4335" i="1"/>
  <c r="E4335" i="1" s="1"/>
  <c r="I4336" i="1"/>
  <c r="E4336" i="1" s="1"/>
  <c r="I4337" i="1"/>
  <c r="E4337" i="1" s="1"/>
  <c r="I4338" i="1"/>
  <c r="E4338" i="1" s="1"/>
  <c r="I4339" i="1"/>
  <c r="E4339" i="1" s="1"/>
  <c r="I4340" i="1"/>
  <c r="E4340" i="1" s="1"/>
  <c r="I4341" i="1"/>
  <c r="E4341" i="1" s="1"/>
  <c r="I4342" i="1"/>
  <c r="E4342" i="1" s="1"/>
  <c r="I4343" i="1"/>
  <c r="E4343" i="1" s="1"/>
  <c r="I4344" i="1"/>
  <c r="E4344" i="1" s="1"/>
  <c r="I4345" i="1"/>
  <c r="E4345" i="1" s="1"/>
  <c r="I4346" i="1"/>
  <c r="E4346" i="1" s="1"/>
  <c r="I4347" i="1"/>
  <c r="E4347" i="1" s="1"/>
  <c r="I4348" i="1"/>
  <c r="E4348" i="1" s="1"/>
  <c r="I4349" i="1"/>
  <c r="E4349" i="1" s="1"/>
  <c r="I4350" i="1"/>
  <c r="E4350" i="1" s="1"/>
  <c r="I4351" i="1"/>
  <c r="E4351" i="1" s="1"/>
  <c r="I4352" i="1"/>
  <c r="E4352" i="1" s="1"/>
  <c r="I4353" i="1"/>
  <c r="E4353" i="1" s="1"/>
  <c r="I4354" i="1"/>
  <c r="E4354" i="1" s="1"/>
  <c r="I4355" i="1"/>
  <c r="E4355" i="1" s="1"/>
  <c r="I4356" i="1"/>
  <c r="E4356" i="1" s="1"/>
  <c r="I4357" i="1"/>
  <c r="E4357" i="1" s="1"/>
  <c r="I4358" i="1"/>
  <c r="E4358" i="1" s="1"/>
  <c r="I4359" i="1"/>
  <c r="E4359" i="1" s="1"/>
  <c r="I4360" i="1"/>
  <c r="E4360" i="1" s="1"/>
  <c r="I4361" i="1"/>
  <c r="E4361" i="1" s="1"/>
  <c r="I4362" i="1"/>
  <c r="E4362" i="1" s="1"/>
  <c r="I4363" i="1"/>
  <c r="E4363" i="1" s="1"/>
  <c r="I4364" i="1"/>
  <c r="E4364" i="1" s="1"/>
  <c r="I4365" i="1"/>
  <c r="E4365" i="1" s="1"/>
  <c r="I4366" i="1"/>
  <c r="E4366" i="1" s="1"/>
  <c r="I4367" i="1"/>
  <c r="E4367" i="1" s="1"/>
  <c r="I4368" i="1"/>
  <c r="E4368" i="1" s="1"/>
  <c r="I4369" i="1"/>
  <c r="E4369" i="1" s="1"/>
  <c r="I4370" i="1"/>
  <c r="E4370" i="1" s="1"/>
  <c r="I4371" i="1"/>
  <c r="E4371" i="1" s="1"/>
  <c r="I4372" i="1"/>
  <c r="E4372" i="1" s="1"/>
  <c r="I4373" i="1"/>
  <c r="E4373" i="1" s="1"/>
  <c r="I4374" i="1"/>
  <c r="E4374" i="1" s="1"/>
  <c r="I4375" i="1"/>
  <c r="E4375" i="1" s="1"/>
  <c r="I4376" i="1"/>
  <c r="E4376" i="1" s="1"/>
  <c r="I4377" i="1"/>
  <c r="E4377" i="1" s="1"/>
  <c r="I4378" i="1"/>
  <c r="E4378" i="1" s="1"/>
  <c r="I4379" i="1"/>
  <c r="E4379" i="1" s="1"/>
  <c r="I4380" i="1"/>
  <c r="E4380" i="1" s="1"/>
  <c r="I4381" i="1"/>
  <c r="E4381" i="1" s="1"/>
  <c r="I4382" i="1"/>
  <c r="E4382" i="1" s="1"/>
  <c r="I4383" i="1"/>
  <c r="E4383" i="1" s="1"/>
  <c r="I4384" i="1"/>
  <c r="E4384" i="1" s="1"/>
  <c r="I4385" i="1"/>
  <c r="E4385" i="1" s="1"/>
  <c r="I4386" i="1"/>
  <c r="E4386" i="1" s="1"/>
  <c r="I4387" i="1"/>
  <c r="E4387" i="1" s="1"/>
  <c r="I4388" i="1"/>
  <c r="E4388" i="1" s="1"/>
  <c r="I4389" i="1"/>
  <c r="E4389" i="1" s="1"/>
  <c r="I4390" i="1"/>
  <c r="E4390" i="1" s="1"/>
  <c r="I4391" i="1"/>
  <c r="E4391" i="1" s="1"/>
  <c r="I4392" i="1"/>
  <c r="E4392" i="1" s="1"/>
  <c r="I4393" i="1"/>
  <c r="E4393" i="1" s="1"/>
  <c r="I4394" i="1"/>
  <c r="E4394" i="1" s="1"/>
  <c r="I4395" i="1"/>
  <c r="E4395" i="1" s="1"/>
  <c r="I4396" i="1"/>
  <c r="E4396" i="1" s="1"/>
  <c r="I4397" i="1"/>
  <c r="E4397" i="1" s="1"/>
  <c r="I4398" i="1"/>
  <c r="E4398" i="1" s="1"/>
  <c r="I4399" i="1"/>
  <c r="E4399" i="1" s="1"/>
  <c r="I4400" i="1"/>
  <c r="E4400" i="1" s="1"/>
  <c r="I4401" i="1"/>
  <c r="E4401" i="1" s="1"/>
  <c r="I4402" i="1"/>
  <c r="E4402" i="1" s="1"/>
  <c r="I4403" i="1"/>
  <c r="E4403" i="1" s="1"/>
  <c r="I4404" i="1"/>
  <c r="E4404" i="1" s="1"/>
  <c r="I4405" i="1"/>
  <c r="E4405" i="1" s="1"/>
  <c r="I4406" i="1"/>
  <c r="E4406" i="1" s="1"/>
  <c r="I4407" i="1"/>
  <c r="E4407" i="1" s="1"/>
  <c r="I4408" i="1"/>
  <c r="E4408" i="1" s="1"/>
  <c r="I4409" i="1"/>
  <c r="E4409" i="1" s="1"/>
  <c r="I4410" i="1"/>
  <c r="E4410" i="1" s="1"/>
  <c r="I4411" i="1"/>
  <c r="E4411" i="1" s="1"/>
  <c r="I4412" i="1"/>
  <c r="E4412" i="1" s="1"/>
  <c r="I4413" i="1"/>
  <c r="E4413" i="1" s="1"/>
  <c r="I4414" i="1"/>
  <c r="E4414" i="1" s="1"/>
  <c r="I4415" i="1"/>
  <c r="E4415" i="1" s="1"/>
  <c r="I4416" i="1"/>
  <c r="E4416" i="1" s="1"/>
  <c r="I4417" i="1"/>
  <c r="E4417" i="1" s="1"/>
  <c r="I4418" i="1"/>
  <c r="E4418" i="1" s="1"/>
  <c r="I4419" i="1"/>
  <c r="E4419" i="1" s="1"/>
  <c r="I4420" i="1"/>
  <c r="E4420" i="1" s="1"/>
  <c r="I4421" i="1"/>
  <c r="E4421" i="1" s="1"/>
  <c r="I4422" i="1"/>
  <c r="E4422" i="1" s="1"/>
  <c r="I4423" i="1"/>
  <c r="E4423" i="1" s="1"/>
  <c r="I4424" i="1"/>
  <c r="E4424" i="1" s="1"/>
  <c r="I4425" i="1"/>
  <c r="E4425" i="1" s="1"/>
  <c r="I4426" i="1"/>
  <c r="E4426" i="1" s="1"/>
  <c r="I4427" i="1"/>
  <c r="E4427" i="1" s="1"/>
  <c r="I4428" i="1"/>
  <c r="E4428" i="1" s="1"/>
  <c r="I4429" i="1"/>
  <c r="E4429" i="1" s="1"/>
  <c r="I4430" i="1"/>
  <c r="E4430" i="1" s="1"/>
  <c r="I4431" i="1"/>
  <c r="E4431" i="1" s="1"/>
  <c r="I4432" i="1"/>
  <c r="E4432" i="1" s="1"/>
  <c r="I4433" i="1"/>
  <c r="E4433" i="1" s="1"/>
  <c r="I4434" i="1"/>
  <c r="E4434" i="1" s="1"/>
  <c r="I4435" i="1"/>
  <c r="E4435" i="1" s="1"/>
  <c r="I4436" i="1"/>
  <c r="E4436" i="1" s="1"/>
  <c r="I4437" i="1"/>
  <c r="E4437" i="1" s="1"/>
  <c r="I4438" i="1"/>
  <c r="E4438" i="1" s="1"/>
  <c r="I4439" i="1"/>
  <c r="E4439" i="1" s="1"/>
  <c r="I4440" i="1"/>
  <c r="E4440" i="1" s="1"/>
  <c r="I4441" i="1"/>
  <c r="E4441" i="1" s="1"/>
  <c r="I4442" i="1"/>
  <c r="E4442" i="1" s="1"/>
  <c r="I4443" i="1"/>
  <c r="E4443" i="1" s="1"/>
  <c r="I4444" i="1"/>
  <c r="E4444" i="1" s="1"/>
  <c r="I4445" i="1"/>
  <c r="E4445" i="1" s="1"/>
  <c r="I4446" i="1"/>
  <c r="E4446" i="1" s="1"/>
  <c r="I4447" i="1"/>
  <c r="E4447" i="1" s="1"/>
  <c r="I4448" i="1"/>
  <c r="E4448" i="1" s="1"/>
  <c r="I4449" i="1"/>
  <c r="E4449" i="1" s="1"/>
  <c r="I4450" i="1"/>
  <c r="E4450" i="1" s="1"/>
  <c r="I4451" i="1"/>
  <c r="E4451" i="1" s="1"/>
  <c r="I4452" i="1"/>
  <c r="E4452" i="1" s="1"/>
  <c r="I4453" i="1"/>
  <c r="E4453" i="1" s="1"/>
  <c r="I4454" i="1"/>
  <c r="E4454" i="1" s="1"/>
  <c r="I4455" i="1"/>
  <c r="E4455" i="1" s="1"/>
  <c r="I4456" i="1"/>
  <c r="E4456" i="1" s="1"/>
  <c r="I4457" i="1"/>
  <c r="E4457" i="1" s="1"/>
  <c r="I4458" i="1"/>
  <c r="E4458" i="1" s="1"/>
  <c r="I4459" i="1"/>
  <c r="E4459" i="1" s="1"/>
  <c r="I4460" i="1"/>
  <c r="E4460" i="1" s="1"/>
  <c r="I4461" i="1"/>
  <c r="E4461" i="1" s="1"/>
  <c r="I4462" i="1"/>
  <c r="E4462" i="1" s="1"/>
  <c r="I4463" i="1"/>
  <c r="E4463" i="1" s="1"/>
  <c r="I4464" i="1"/>
  <c r="E4464" i="1" s="1"/>
  <c r="I4465" i="1"/>
  <c r="E4465" i="1" s="1"/>
  <c r="I4466" i="1"/>
  <c r="E4466" i="1" s="1"/>
  <c r="I4467" i="1"/>
  <c r="E4467" i="1" s="1"/>
  <c r="I4468" i="1"/>
  <c r="E4468" i="1" s="1"/>
  <c r="I4469" i="1"/>
  <c r="E4469" i="1" s="1"/>
  <c r="I4470" i="1"/>
  <c r="E4470" i="1" s="1"/>
  <c r="I4471" i="1"/>
  <c r="E4471" i="1" s="1"/>
  <c r="I4472" i="1"/>
  <c r="E4472" i="1" s="1"/>
  <c r="I4473" i="1"/>
  <c r="E4473" i="1" s="1"/>
  <c r="I4474" i="1"/>
  <c r="E4474" i="1" s="1"/>
  <c r="I4475" i="1"/>
  <c r="E4475" i="1" s="1"/>
  <c r="I4476" i="1"/>
  <c r="E4476" i="1" s="1"/>
  <c r="I4477" i="1"/>
  <c r="E4477" i="1" s="1"/>
  <c r="I4478" i="1"/>
  <c r="E4478" i="1" s="1"/>
  <c r="I4479" i="1"/>
  <c r="E4479" i="1" s="1"/>
  <c r="I4480" i="1"/>
  <c r="E4480" i="1" s="1"/>
  <c r="I4481" i="1"/>
  <c r="E4481" i="1" s="1"/>
  <c r="I4482" i="1"/>
  <c r="E4482" i="1" s="1"/>
  <c r="I4483" i="1"/>
  <c r="E4483" i="1" s="1"/>
  <c r="I4484" i="1"/>
  <c r="E4484" i="1" s="1"/>
  <c r="I4485" i="1"/>
  <c r="E4485" i="1" s="1"/>
  <c r="I4486" i="1"/>
  <c r="E4486" i="1" s="1"/>
  <c r="I4487" i="1"/>
  <c r="E4487" i="1" s="1"/>
  <c r="I4488" i="1"/>
  <c r="E4488" i="1" s="1"/>
  <c r="I4489" i="1"/>
  <c r="E4489" i="1" s="1"/>
  <c r="I4490" i="1"/>
  <c r="E4490" i="1" s="1"/>
  <c r="I4491" i="1"/>
  <c r="E4491" i="1" s="1"/>
  <c r="I4492" i="1"/>
  <c r="E4492" i="1" s="1"/>
  <c r="I4493" i="1"/>
  <c r="E4493" i="1" s="1"/>
  <c r="I4494" i="1"/>
  <c r="E4494" i="1" s="1"/>
  <c r="I4495" i="1"/>
  <c r="E4495" i="1" s="1"/>
  <c r="I4496" i="1"/>
  <c r="E4496" i="1" s="1"/>
  <c r="I4497" i="1"/>
  <c r="E4497" i="1" s="1"/>
  <c r="I4498" i="1"/>
  <c r="E4498" i="1" s="1"/>
  <c r="I4499" i="1"/>
  <c r="E4499" i="1" s="1"/>
  <c r="I4500" i="1"/>
  <c r="E4500" i="1" s="1"/>
  <c r="I4501" i="1"/>
  <c r="E4501" i="1" s="1"/>
  <c r="I4502" i="1"/>
  <c r="E4502" i="1" s="1"/>
  <c r="I4503" i="1"/>
  <c r="E4503" i="1" s="1"/>
  <c r="I4504" i="1"/>
  <c r="E4504" i="1" s="1"/>
  <c r="I4505" i="1"/>
  <c r="E4505" i="1" s="1"/>
  <c r="I4506" i="1"/>
  <c r="E4506" i="1" s="1"/>
  <c r="I4507" i="1"/>
  <c r="E4507" i="1" s="1"/>
  <c r="I4508" i="1"/>
  <c r="E4508" i="1" s="1"/>
  <c r="I4509" i="1"/>
  <c r="E4509" i="1" s="1"/>
  <c r="I4510" i="1"/>
  <c r="E4510" i="1" s="1"/>
  <c r="I4511" i="1"/>
  <c r="E4511" i="1" s="1"/>
  <c r="I4512" i="1"/>
  <c r="E4512" i="1" s="1"/>
  <c r="I4513" i="1"/>
  <c r="E4513" i="1" s="1"/>
  <c r="I4514" i="1"/>
  <c r="E4514" i="1" s="1"/>
  <c r="I4515" i="1"/>
  <c r="E4515" i="1" s="1"/>
  <c r="I4516" i="1"/>
  <c r="E4516" i="1" s="1"/>
  <c r="I4517" i="1"/>
  <c r="E4517" i="1" s="1"/>
  <c r="I4518" i="1"/>
  <c r="E4518" i="1" s="1"/>
  <c r="I4519" i="1"/>
  <c r="E4519" i="1" s="1"/>
  <c r="I4520" i="1"/>
  <c r="E4520" i="1" s="1"/>
  <c r="I4521" i="1"/>
  <c r="E4521" i="1" s="1"/>
  <c r="I4522" i="1"/>
  <c r="E4522" i="1" s="1"/>
  <c r="I4523" i="1"/>
  <c r="E4523" i="1" s="1"/>
  <c r="I4524" i="1"/>
  <c r="E4524" i="1" s="1"/>
  <c r="I4525" i="1"/>
  <c r="E4525" i="1" s="1"/>
  <c r="I4526" i="1"/>
  <c r="E4526" i="1" s="1"/>
  <c r="I4527" i="1"/>
  <c r="E4527" i="1" s="1"/>
  <c r="I4528" i="1"/>
  <c r="E4528" i="1" s="1"/>
  <c r="I4529" i="1"/>
  <c r="E4529" i="1" s="1"/>
  <c r="I4530" i="1"/>
  <c r="E4530" i="1" s="1"/>
  <c r="I4531" i="1"/>
  <c r="E4531" i="1" s="1"/>
  <c r="I4532" i="1"/>
  <c r="E4532" i="1" s="1"/>
  <c r="I4533" i="1"/>
  <c r="E4533" i="1" s="1"/>
  <c r="I4534" i="1"/>
  <c r="E4534" i="1" s="1"/>
  <c r="I4535" i="1"/>
  <c r="E4535" i="1" s="1"/>
  <c r="I4536" i="1"/>
  <c r="E4536" i="1" s="1"/>
  <c r="I4537" i="1"/>
  <c r="E4537" i="1" s="1"/>
  <c r="I4538" i="1"/>
  <c r="E4538" i="1" s="1"/>
  <c r="I4539" i="1"/>
  <c r="E4539" i="1" s="1"/>
  <c r="I4540" i="1"/>
  <c r="E4540" i="1" s="1"/>
  <c r="I4541" i="1"/>
  <c r="E4541" i="1" s="1"/>
  <c r="I4542" i="1"/>
  <c r="E4542" i="1" s="1"/>
  <c r="I4543" i="1"/>
  <c r="E4543" i="1" s="1"/>
  <c r="I4544" i="1"/>
  <c r="E4544" i="1" s="1"/>
  <c r="I4545" i="1"/>
  <c r="E4545" i="1" s="1"/>
  <c r="I4546" i="1"/>
  <c r="E4546" i="1" s="1"/>
  <c r="I4547" i="1"/>
  <c r="E4547" i="1" s="1"/>
  <c r="I4548" i="1"/>
  <c r="E4548" i="1" s="1"/>
  <c r="I4549" i="1"/>
  <c r="E4549" i="1" s="1"/>
  <c r="I4550" i="1"/>
  <c r="E4550" i="1" s="1"/>
  <c r="I4551" i="1"/>
  <c r="E4551" i="1" s="1"/>
  <c r="I4552" i="1"/>
  <c r="E4552" i="1" s="1"/>
  <c r="I4553" i="1"/>
  <c r="E4553" i="1" s="1"/>
  <c r="I4554" i="1"/>
  <c r="E4554" i="1" s="1"/>
  <c r="I4555" i="1"/>
  <c r="E4555" i="1" s="1"/>
  <c r="I4556" i="1"/>
  <c r="E4556" i="1" s="1"/>
  <c r="I4557" i="1"/>
  <c r="E4557" i="1" s="1"/>
  <c r="I4558" i="1"/>
  <c r="E4558" i="1" s="1"/>
  <c r="I4559" i="1"/>
  <c r="E4559" i="1" s="1"/>
  <c r="I4560" i="1"/>
  <c r="E4560" i="1" s="1"/>
  <c r="I4561" i="1"/>
  <c r="E4561" i="1" s="1"/>
  <c r="I4562" i="1"/>
  <c r="E4562" i="1" s="1"/>
  <c r="I4563" i="1"/>
  <c r="E4563" i="1" s="1"/>
  <c r="I4564" i="1"/>
  <c r="E4564" i="1" s="1"/>
  <c r="I4565" i="1"/>
  <c r="E4565" i="1" s="1"/>
  <c r="I4566" i="1"/>
  <c r="E4566" i="1" s="1"/>
  <c r="I4567" i="1"/>
  <c r="E4567" i="1" s="1"/>
  <c r="I4568" i="1"/>
  <c r="E4568" i="1" s="1"/>
  <c r="I4569" i="1"/>
  <c r="E4569" i="1" s="1"/>
  <c r="I4570" i="1"/>
  <c r="E4570" i="1" s="1"/>
  <c r="I4571" i="1"/>
  <c r="E4571" i="1" s="1"/>
  <c r="I4572" i="1"/>
  <c r="E4572" i="1" s="1"/>
  <c r="I4573" i="1"/>
  <c r="E4573" i="1" s="1"/>
  <c r="I4574" i="1"/>
  <c r="E4574" i="1" s="1"/>
  <c r="I4575" i="1"/>
  <c r="E4575" i="1" s="1"/>
  <c r="I4576" i="1"/>
  <c r="E4576" i="1" s="1"/>
  <c r="I4577" i="1"/>
  <c r="E4577" i="1" s="1"/>
  <c r="I4578" i="1"/>
  <c r="E4578" i="1" s="1"/>
  <c r="I4579" i="1"/>
  <c r="E4579" i="1" s="1"/>
  <c r="I4580" i="1"/>
  <c r="E4580" i="1" s="1"/>
  <c r="I4581" i="1"/>
  <c r="E4581" i="1" s="1"/>
  <c r="I4582" i="1"/>
  <c r="E4582" i="1" s="1"/>
  <c r="I4583" i="1"/>
  <c r="E4583" i="1" s="1"/>
  <c r="I4584" i="1"/>
  <c r="E4584" i="1" s="1"/>
  <c r="I4585" i="1"/>
  <c r="E4585" i="1" s="1"/>
  <c r="I4586" i="1"/>
  <c r="E4586" i="1" s="1"/>
  <c r="I4587" i="1"/>
  <c r="E4587" i="1" s="1"/>
  <c r="I4588" i="1"/>
  <c r="E4588" i="1" s="1"/>
  <c r="I4589" i="1"/>
  <c r="E4589" i="1" s="1"/>
  <c r="I4590" i="1"/>
  <c r="E4590" i="1" s="1"/>
  <c r="I4591" i="1"/>
  <c r="E4591" i="1" s="1"/>
  <c r="I4592" i="1"/>
  <c r="E4592" i="1" s="1"/>
  <c r="I4593" i="1"/>
  <c r="E4593" i="1" s="1"/>
  <c r="I4594" i="1"/>
  <c r="E4594" i="1" s="1"/>
  <c r="I4595" i="1"/>
  <c r="E4595" i="1" s="1"/>
  <c r="I4596" i="1"/>
  <c r="E4596" i="1" s="1"/>
  <c r="I4597" i="1"/>
  <c r="E4597" i="1" s="1"/>
  <c r="I4598" i="1"/>
  <c r="E4598" i="1" s="1"/>
  <c r="I4599" i="1"/>
  <c r="E4599" i="1" s="1"/>
  <c r="I4600" i="1"/>
  <c r="E4600" i="1" s="1"/>
  <c r="I4601" i="1"/>
  <c r="E4601" i="1" s="1"/>
  <c r="I4602" i="1"/>
  <c r="E4602" i="1" s="1"/>
  <c r="I4603" i="1"/>
  <c r="E4603" i="1" s="1"/>
  <c r="I4604" i="1"/>
  <c r="E4604" i="1" s="1"/>
  <c r="I4605" i="1"/>
  <c r="E4605" i="1" s="1"/>
  <c r="I4606" i="1"/>
  <c r="E4606" i="1" s="1"/>
  <c r="I4607" i="1"/>
  <c r="E4607" i="1" s="1"/>
  <c r="I4608" i="1"/>
  <c r="E4608" i="1" s="1"/>
  <c r="I4609" i="1"/>
  <c r="E4609" i="1" s="1"/>
  <c r="I4610" i="1"/>
  <c r="E4610" i="1" s="1"/>
  <c r="I4611" i="1"/>
  <c r="E4611" i="1" s="1"/>
  <c r="I4612" i="1"/>
  <c r="E4612" i="1" s="1"/>
  <c r="I4613" i="1"/>
  <c r="E4613" i="1" s="1"/>
  <c r="I4614" i="1"/>
  <c r="E4614" i="1" s="1"/>
  <c r="I4615" i="1"/>
  <c r="E4615" i="1" s="1"/>
  <c r="I4616" i="1"/>
  <c r="E4616" i="1" s="1"/>
  <c r="I4617" i="1"/>
  <c r="E4617" i="1" s="1"/>
  <c r="I4618" i="1"/>
  <c r="E4618" i="1" s="1"/>
  <c r="I4619" i="1"/>
  <c r="E4619" i="1" s="1"/>
  <c r="I4620" i="1"/>
  <c r="E4620" i="1" s="1"/>
  <c r="I4621" i="1"/>
  <c r="E4621" i="1" s="1"/>
  <c r="I4622" i="1"/>
  <c r="E4622" i="1" s="1"/>
  <c r="I4623" i="1"/>
  <c r="E4623" i="1" s="1"/>
  <c r="I4624" i="1"/>
  <c r="E4624" i="1" s="1"/>
  <c r="I4625" i="1"/>
  <c r="E4625" i="1" s="1"/>
  <c r="I4626" i="1"/>
  <c r="E4626" i="1" s="1"/>
  <c r="I4627" i="1"/>
  <c r="E4627" i="1" s="1"/>
  <c r="I4628" i="1"/>
  <c r="E4628" i="1" s="1"/>
  <c r="I4629" i="1"/>
  <c r="E4629" i="1" s="1"/>
  <c r="I4630" i="1"/>
  <c r="E4630" i="1" s="1"/>
  <c r="I4631" i="1"/>
  <c r="E4631" i="1" s="1"/>
  <c r="I4632" i="1"/>
  <c r="E4632" i="1" s="1"/>
  <c r="I4633" i="1"/>
  <c r="E4633" i="1" s="1"/>
  <c r="I4634" i="1"/>
  <c r="E4634" i="1" s="1"/>
  <c r="I4635" i="1"/>
  <c r="E4635" i="1" s="1"/>
  <c r="I4636" i="1"/>
  <c r="E4636" i="1" s="1"/>
  <c r="I4637" i="1"/>
  <c r="E4637" i="1" s="1"/>
  <c r="I4638" i="1"/>
  <c r="E4638" i="1" s="1"/>
  <c r="I4639" i="1"/>
  <c r="E4639" i="1" s="1"/>
  <c r="I4640" i="1"/>
  <c r="E4640" i="1" s="1"/>
  <c r="I4641" i="1"/>
  <c r="E4641" i="1" s="1"/>
  <c r="I4642" i="1"/>
  <c r="E4642" i="1" s="1"/>
  <c r="I4643" i="1"/>
  <c r="E4643" i="1" s="1"/>
  <c r="I4644" i="1"/>
  <c r="E4644" i="1" s="1"/>
  <c r="I4645" i="1"/>
  <c r="E4645" i="1" s="1"/>
  <c r="I4646" i="1"/>
  <c r="E4646" i="1" s="1"/>
  <c r="I4647" i="1"/>
  <c r="E4647" i="1" s="1"/>
  <c r="I4648" i="1"/>
  <c r="E4648" i="1" s="1"/>
  <c r="I4649" i="1"/>
  <c r="E4649" i="1" s="1"/>
  <c r="I4650" i="1"/>
  <c r="E4650" i="1" s="1"/>
  <c r="I4651" i="1"/>
  <c r="E4651" i="1" s="1"/>
  <c r="I4652" i="1"/>
  <c r="E4652" i="1" s="1"/>
  <c r="I4653" i="1"/>
  <c r="E4653" i="1" s="1"/>
  <c r="I4654" i="1"/>
  <c r="E4654" i="1" s="1"/>
  <c r="I4655" i="1"/>
  <c r="E4655" i="1" s="1"/>
  <c r="I4656" i="1"/>
  <c r="E4656" i="1" s="1"/>
  <c r="I4657" i="1"/>
  <c r="E4657" i="1" s="1"/>
  <c r="I4658" i="1"/>
  <c r="E4658" i="1" s="1"/>
  <c r="I4659" i="1"/>
  <c r="E4659" i="1" s="1"/>
  <c r="I4660" i="1"/>
  <c r="E4660" i="1" s="1"/>
  <c r="I4661" i="1"/>
  <c r="E4661" i="1" s="1"/>
  <c r="I4662" i="1"/>
  <c r="E4662" i="1" s="1"/>
  <c r="I4663" i="1"/>
  <c r="E4663" i="1" s="1"/>
  <c r="I4664" i="1"/>
  <c r="E4664" i="1" s="1"/>
  <c r="I4665" i="1"/>
  <c r="E4665" i="1" s="1"/>
  <c r="I4666" i="1"/>
  <c r="E4666" i="1" s="1"/>
  <c r="I4667" i="1"/>
  <c r="E4667" i="1" s="1"/>
  <c r="I4668" i="1"/>
  <c r="E4668" i="1" s="1"/>
  <c r="I4669" i="1"/>
  <c r="E4669" i="1" s="1"/>
  <c r="I4670" i="1"/>
  <c r="E4670" i="1" s="1"/>
  <c r="I4671" i="1"/>
  <c r="E4671" i="1" s="1"/>
  <c r="I4672" i="1"/>
  <c r="E4672" i="1" s="1"/>
  <c r="I4673" i="1"/>
  <c r="E4673" i="1" s="1"/>
  <c r="I4674" i="1"/>
  <c r="E4674" i="1" s="1"/>
  <c r="I4675" i="1"/>
  <c r="E4675" i="1" s="1"/>
  <c r="I4676" i="1"/>
  <c r="E4676" i="1" s="1"/>
  <c r="I4677" i="1"/>
  <c r="E4677" i="1" s="1"/>
  <c r="I4678" i="1"/>
  <c r="E4678" i="1" s="1"/>
  <c r="I4679" i="1"/>
  <c r="E4679" i="1" s="1"/>
  <c r="I4680" i="1"/>
  <c r="E4680" i="1" s="1"/>
  <c r="I4681" i="1"/>
  <c r="E4681" i="1" s="1"/>
  <c r="I4682" i="1"/>
  <c r="E4682" i="1" s="1"/>
  <c r="I4683" i="1"/>
  <c r="E4683" i="1" s="1"/>
  <c r="I4684" i="1"/>
  <c r="E4684" i="1" s="1"/>
  <c r="I4685" i="1"/>
  <c r="E4685" i="1" s="1"/>
  <c r="I4686" i="1"/>
  <c r="E4686" i="1" s="1"/>
  <c r="I4687" i="1"/>
  <c r="E4687" i="1" s="1"/>
  <c r="I4688" i="1"/>
  <c r="E4688" i="1" s="1"/>
  <c r="I4689" i="1"/>
  <c r="E4689" i="1" s="1"/>
  <c r="I4690" i="1"/>
  <c r="E4690" i="1" s="1"/>
  <c r="I4691" i="1"/>
  <c r="E4691" i="1" s="1"/>
  <c r="I4692" i="1"/>
  <c r="E4692" i="1" s="1"/>
  <c r="I4693" i="1"/>
  <c r="E4693" i="1" s="1"/>
  <c r="I4694" i="1"/>
  <c r="E4694" i="1" s="1"/>
  <c r="I4695" i="1"/>
  <c r="E4695" i="1" s="1"/>
  <c r="I4696" i="1"/>
  <c r="E4696" i="1" s="1"/>
  <c r="I4697" i="1"/>
  <c r="E4697" i="1" s="1"/>
  <c r="I4698" i="1"/>
  <c r="E4698" i="1" s="1"/>
  <c r="I4699" i="1"/>
  <c r="E4699" i="1" s="1"/>
  <c r="I4700" i="1"/>
  <c r="E4700" i="1" s="1"/>
  <c r="I4701" i="1"/>
  <c r="E4701" i="1" s="1"/>
  <c r="I4702" i="1"/>
  <c r="E4702" i="1" s="1"/>
  <c r="I4703" i="1"/>
  <c r="E4703" i="1" s="1"/>
  <c r="I4704" i="1"/>
  <c r="E4704" i="1" s="1"/>
  <c r="I4705" i="1"/>
  <c r="E4705" i="1" s="1"/>
  <c r="I4706" i="1"/>
  <c r="E4706" i="1" s="1"/>
  <c r="I4707" i="1"/>
  <c r="E4707" i="1" s="1"/>
  <c r="I4708" i="1"/>
  <c r="E4708" i="1" s="1"/>
  <c r="I4709" i="1"/>
  <c r="E4709" i="1" s="1"/>
  <c r="I4710" i="1"/>
  <c r="E4710" i="1" s="1"/>
  <c r="I4711" i="1"/>
  <c r="E4711" i="1" s="1"/>
  <c r="I4712" i="1"/>
  <c r="E4712" i="1" s="1"/>
  <c r="I4713" i="1"/>
  <c r="E4713" i="1" s="1"/>
  <c r="I4714" i="1"/>
  <c r="E4714" i="1" s="1"/>
  <c r="I4715" i="1"/>
  <c r="E4715" i="1" s="1"/>
  <c r="I4716" i="1"/>
  <c r="E4716" i="1" s="1"/>
  <c r="I4717" i="1"/>
  <c r="E4717" i="1" s="1"/>
  <c r="I4718" i="1"/>
  <c r="E4718" i="1" s="1"/>
  <c r="I4719" i="1"/>
  <c r="E4719" i="1" s="1"/>
  <c r="I4720" i="1"/>
  <c r="E4720" i="1" s="1"/>
  <c r="I4721" i="1"/>
  <c r="E4721" i="1" s="1"/>
  <c r="I4722" i="1"/>
  <c r="E4722" i="1" s="1"/>
  <c r="I4723" i="1"/>
  <c r="E4723" i="1" s="1"/>
  <c r="I4724" i="1"/>
  <c r="E4724" i="1" s="1"/>
  <c r="I4725" i="1"/>
  <c r="E4725" i="1" s="1"/>
  <c r="I4726" i="1"/>
  <c r="E4726" i="1" s="1"/>
  <c r="I4727" i="1"/>
  <c r="E4727" i="1" s="1"/>
  <c r="I4728" i="1"/>
  <c r="E4728" i="1" s="1"/>
  <c r="I4729" i="1"/>
  <c r="E4729" i="1" s="1"/>
  <c r="I4730" i="1"/>
  <c r="E4730" i="1" s="1"/>
  <c r="I4731" i="1"/>
  <c r="E4731" i="1" s="1"/>
  <c r="I4732" i="1"/>
  <c r="E4732" i="1" s="1"/>
  <c r="I4733" i="1"/>
  <c r="E4733" i="1" s="1"/>
  <c r="I4734" i="1"/>
  <c r="E4734" i="1" s="1"/>
  <c r="I4735" i="1"/>
  <c r="E4735" i="1" s="1"/>
  <c r="I4736" i="1"/>
  <c r="E4736" i="1" s="1"/>
  <c r="I4737" i="1"/>
  <c r="E4737" i="1" s="1"/>
  <c r="I4738" i="1"/>
  <c r="E4738" i="1" s="1"/>
  <c r="I4739" i="1"/>
  <c r="E4739" i="1" s="1"/>
  <c r="I4740" i="1"/>
  <c r="E4740" i="1" s="1"/>
  <c r="I4741" i="1"/>
  <c r="E4741" i="1" s="1"/>
  <c r="I4742" i="1"/>
  <c r="E4742" i="1" s="1"/>
  <c r="I4743" i="1"/>
  <c r="E4743" i="1" s="1"/>
  <c r="I4744" i="1"/>
  <c r="E4744" i="1" s="1"/>
  <c r="I4745" i="1"/>
  <c r="E4745" i="1" s="1"/>
  <c r="I4746" i="1"/>
  <c r="E4746" i="1" s="1"/>
  <c r="I4747" i="1"/>
  <c r="E4747" i="1" s="1"/>
  <c r="I4748" i="1"/>
  <c r="E4748" i="1" s="1"/>
  <c r="I4749" i="1"/>
  <c r="E4749" i="1" s="1"/>
  <c r="I4750" i="1"/>
  <c r="E4750" i="1" s="1"/>
  <c r="I4751" i="1"/>
  <c r="E4751" i="1" s="1"/>
  <c r="I4752" i="1"/>
  <c r="E4752" i="1" s="1"/>
  <c r="I4753" i="1"/>
  <c r="E4753" i="1" s="1"/>
  <c r="I4754" i="1"/>
  <c r="E4754" i="1" s="1"/>
  <c r="I4755" i="1"/>
  <c r="E4755" i="1" s="1"/>
  <c r="I4756" i="1"/>
  <c r="E4756" i="1" s="1"/>
  <c r="I4757" i="1"/>
  <c r="E4757" i="1" s="1"/>
  <c r="I4758" i="1"/>
  <c r="E4758" i="1" s="1"/>
  <c r="I4759" i="1"/>
  <c r="E4759" i="1" s="1"/>
  <c r="I4760" i="1"/>
  <c r="E4760" i="1" s="1"/>
  <c r="I4761" i="1"/>
  <c r="E4761" i="1" s="1"/>
  <c r="I4762" i="1"/>
  <c r="E4762" i="1" s="1"/>
  <c r="I4763" i="1"/>
  <c r="E4763" i="1" s="1"/>
  <c r="I4764" i="1"/>
  <c r="E4764" i="1" s="1"/>
  <c r="I4765" i="1"/>
  <c r="E4765" i="1" s="1"/>
  <c r="I4766" i="1"/>
  <c r="E4766" i="1" s="1"/>
  <c r="I4767" i="1"/>
  <c r="E4767" i="1" s="1"/>
  <c r="I4768" i="1"/>
  <c r="E4768" i="1" s="1"/>
  <c r="I4769" i="1"/>
  <c r="E4769" i="1" s="1"/>
  <c r="I4770" i="1"/>
  <c r="E4770" i="1" s="1"/>
  <c r="I4771" i="1"/>
  <c r="E4771" i="1" s="1"/>
  <c r="I4772" i="1"/>
  <c r="E4772" i="1" s="1"/>
  <c r="I4773" i="1"/>
  <c r="E4773" i="1" s="1"/>
  <c r="I4774" i="1"/>
  <c r="E4774" i="1" s="1"/>
  <c r="I4775" i="1"/>
  <c r="E4775" i="1" s="1"/>
  <c r="I4776" i="1"/>
  <c r="E4776" i="1" s="1"/>
  <c r="I4777" i="1"/>
  <c r="E4777" i="1" s="1"/>
  <c r="I4778" i="1"/>
  <c r="E4778" i="1" s="1"/>
  <c r="I4779" i="1"/>
  <c r="E4779" i="1" s="1"/>
  <c r="I4780" i="1"/>
  <c r="E4780" i="1" s="1"/>
  <c r="I4781" i="1"/>
  <c r="E4781" i="1" s="1"/>
  <c r="I4782" i="1"/>
  <c r="E4782" i="1" s="1"/>
  <c r="I4783" i="1"/>
  <c r="E4783" i="1" s="1"/>
  <c r="I4784" i="1"/>
  <c r="E4784" i="1" s="1"/>
  <c r="I4785" i="1"/>
  <c r="E4785" i="1" s="1"/>
  <c r="I4786" i="1"/>
  <c r="E4786" i="1" s="1"/>
  <c r="I4787" i="1"/>
  <c r="E4787" i="1" s="1"/>
  <c r="I4788" i="1"/>
  <c r="E4788" i="1" s="1"/>
  <c r="I4789" i="1"/>
  <c r="E4789" i="1" s="1"/>
  <c r="I4790" i="1"/>
  <c r="E4790" i="1" s="1"/>
  <c r="I4791" i="1"/>
  <c r="E4791" i="1" s="1"/>
  <c r="I4792" i="1"/>
  <c r="E4792" i="1" s="1"/>
  <c r="I4793" i="1"/>
  <c r="E4793" i="1" s="1"/>
  <c r="I4794" i="1"/>
  <c r="E4794" i="1" s="1"/>
  <c r="I4795" i="1"/>
  <c r="E4795" i="1" s="1"/>
  <c r="I4796" i="1"/>
  <c r="E4796" i="1" s="1"/>
  <c r="I4797" i="1"/>
  <c r="E4797" i="1" s="1"/>
  <c r="I4798" i="1"/>
  <c r="E4798" i="1" s="1"/>
  <c r="I4799" i="1"/>
  <c r="E4799" i="1" s="1"/>
  <c r="I4800" i="1"/>
  <c r="E4800" i="1" s="1"/>
  <c r="I4801" i="1"/>
  <c r="E4801" i="1" s="1"/>
  <c r="I4802" i="1"/>
  <c r="E4802" i="1" s="1"/>
  <c r="I4803" i="1"/>
  <c r="E4803" i="1" s="1"/>
  <c r="I4804" i="1"/>
  <c r="E4804" i="1" s="1"/>
  <c r="I4805" i="1"/>
  <c r="E4805" i="1" s="1"/>
  <c r="I4806" i="1"/>
  <c r="E4806" i="1" s="1"/>
  <c r="I4807" i="1"/>
  <c r="E4807" i="1" s="1"/>
  <c r="I4808" i="1"/>
  <c r="E4808" i="1" s="1"/>
  <c r="I4809" i="1"/>
  <c r="E4809" i="1" s="1"/>
  <c r="I4810" i="1"/>
  <c r="E4810" i="1" s="1"/>
  <c r="I4811" i="1"/>
  <c r="E4811" i="1" s="1"/>
  <c r="I4812" i="1"/>
  <c r="E4812" i="1" s="1"/>
  <c r="I4813" i="1"/>
  <c r="E4813" i="1" s="1"/>
  <c r="I4814" i="1"/>
  <c r="E4814" i="1" s="1"/>
  <c r="I4815" i="1"/>
  <c r="E4815" i="1" s="1"/>
  <c r="I4816" i="1"/>
  <c r="E4816" i="1" s="1"/>
  <c r="I4817" i="1"/>
  <c r="E4817" i="1" s="1"/>
  <c r="I4818" i="1"/>
  <c r="E4818" i="1" s="1"/>
  <c r="I4819" i="1"/>
  <c r="E4819" i="1" s="1"/>
  <c r="I4820" i="1"/>
  <c r="E4820" i="1" s="1"/>
  <c r="I4821" i="1"/>
  <c r="E4821" i="1" s="1"/>
  <c r="I4822" i="1"/>
  <c r="E4822" i="1" s="1"/>
  <c r="I4823" i="1"/>
  <c r="E4823" i="1" s="1"/>
  <c r="I4824" i="1"/>
  <c r="E4824" i="1" s="1"/>
  <c r="I4825" i="1"/>
  <c r="E4825" i="1" s="1"/>
  <c r="I4826" i="1"/>
  <c r="E4826" i="1" s="1"/>
  <c r="I4827" i="1"/>
  <c r="E4827" i="1" s="1"/>
  <c r="I4828" i="1"/>
  <c r="E4828" i="1" s="1"/>
  <c r="I4829" i="1"/>
  <c r="E4829" i="1" s="1"/>
  <c r="I4830" i="1"/>
  <c r="E4830" i="1" s="1"/>
  <c r="I4831" i="1"/>
  <c r="E4831" i="1" s="1"/>
  <c r="I4832" i="1"/>
  <c r="E4832" i="1" s="1"/>
  <c r="I4833" i="1"/>
  <c r="E4833" i="1" s="1"/>
  <c r="I4834" i="1"/>
  <c r="E4834" i="1" s="1"/>
  <c r="I4835" i="1"/>
  <c r="E4835" i="1" s="1"/>
  <c r="I4836" i="1"/>
  <c r="E4836" i="1" s="1"/>
  <c r="I4837" i="1"/>
  <c r="E4837" i="1" s="1"/>
  <c r="I4838" i="1"/>
  <c r="E4838" i="1" s="1"/>
  <c r="I4839" i="1"/>
  <c r="E4839" i="1" s="1"/>
  <c r="I4840" i="1"/>
  <c r="E4840" i="1" s="1"/>
  <c r="I4841" i="1"/>
  <c r="E4841" i="1" s="1"/>
  <c r="I4842" i="1"/>
  <c r="E4842" i="1" s="1"/>
  <c r="I4843" i="1"/>
  <c r="E4843" i="1" s="1"/>
  <c r="I4844" i="1"/>
  <c r="E4844" i="1" s="1"/>
  <c r="I4845" i="1"/>
  <c r="E4845" i="1" s="1"/>
  <c r="I4846" i="1"/>
  <c r="E4846" i="1" s="1"/>
  <c r="I4847" i="1"/>
  <c r="E4847" i="1" s="1"/>
  <c r="I4848" i="1"/>
  <c r="E4848" i="1" s="1"/>
  <c r="I4849" i="1"/>
  <c r="E4849" i="1" s="1"/>
  <c r="I4850" i="1"/>
  <c r="E4850" i="1" s="1"/>
  <c r="I4851" i="1"/>
  <c r="E4851" i="1" s="1"/>
  <c r="I4852" i="1"/>
  <c r="E4852" i="1" s="1"/>
  <c r="I4853" i="1"/>
  <c r="E4853" i="1" s="1"/>
  <c r="I4854" i="1"/>
  <c r="E4854" i="1" s="1"/>
  <c r="I4855" i="1"/>
  <c r="E4855" i="1" s="1"/>
  <c r="I4856" i="1"/>
  <c r="E4856" i="1" s="1"/>
  <c r="I4857" i="1"/>
  <c r="E4857" i="1" s="1"/>
  <c r="I4858" i="1"/>
  <c r="E4858" i="1" s="1"/>
  <c r="I4859" i="1"/>
  <c r="E4859" i="1" s="1"/>
  <c r="I4860" i="1"/>
  <c r="E4860" i="1" s="1"/>
  <c r="I4861" i="1"/>
  <c r="E4861" i="1" s="1"/>
  <c r="I4862" i="1"/>
  <c r="E4862" i="1" s="1"/>
  <c r="I4863" i="1"/>
  <c r="E4863" i="1" s="1"/>
  <c r="I4864" i="1"/>
  <c r="E4864" i="1" s="1"/>
  <c r="I4865" i="1"/>
  <c r="E4865" i="1" s="1"/>
  <c r="I4866" i="1"/>
  <c r="E4866" i="1" s="1"/>
  <c r="I4867" i="1"/>
  <c r="E4867" i="1" s="1"/>
  <c r="I4868" i="1"/>
  <c r="E4868" i="1" s="1"/>
  <c r="I4869" i="1"/>
  <c r="E4869" i="1" s="1"/>
  <c r="I4870" i="1"/>
  <c r="E4870" i="1" s="1"/>
  <c r="I4871" i="1"/>
  <c r="E4871" i="1" s="1"/>
  <c r="I4872" i="1"/>
  <c r="E4872" i="1" s="1"/>
  <c r="I4873" i="1"/>
  <c r="E4873" i="1" s="1"/>
  <c r="I4874" i="1"/>
  <c r="E4874" i="1" s="1"/>
  <c r="I4875" i="1"/>
  <c r="E4875" i="1" s="1"/>
  <c r="I4876" i="1"/>
  <c r="E4876" i="1" s="1"/>
  <c r="I4877" i="1"/>
  <c r="E4877" i="1" s="1"/>
  <c r="I4878" i="1"/>
  <c r="E4878" i="1" s="1"/>
  <c r="I4879" i="1"/>
  <c r="E4879" i="1" s="1"/>
  <c r="I4880" i="1"/>
  <c r="E4880" i="1" s="1"/>
  <c r="I4881" i="1"/>
  <c r="E4881" i="1" s="1"/>
  <c r="I4882" i="1"/>
  <c r="E4882" i="1" s="1"/>
  <c r="I4883" i="1"/>
  <c r="E4883" i="1" s="1"/>
  <c r="I4884" i="1"/>
  <c r="E4884" i="1" s="1"/>
  <c r="I4885" i="1"/>
  <c r="E4885" i="1" s="1"/>
  <c r="I4886" i="1"/>
  <c r="E4886" i="1" s="1"/>
  <c r="I4887" i="1"/>
  <c r="E4887" i="1" s="1"/>
  <c r="I4888" i="1"/>
  <c r="E4888" i="1" s="1"/>
  <c r="I4889" i="1"/>
  <c r="E4889" i="1" s="1"/>
  <c r="I4890" i="1"/>
  <c r="E4890" i="1" s="1"/>
  <c r="I4891" i="1"/>
  <c r="E4891" i="1" s="1"/>
  <c r="I4892" i="1"/>
  <c r="E4892" i="1" s="1"/>
  <c r="I4893" i="1"/>
  <c r="E4893" i="1" s="1"/>
  <c r="I4894" i="1"/>
  <c r="E4894" i="1" s="1"/>
  <c r="I4895" i="1"/>
  <c r="E4895" i="1" s="1"/>
  <c r="I4896" i="1"/>
  <c r="E4896" i="1" s="1"/>
  <c r="I4897" i="1"/>
  <c r="E4897" i="1" s="1"/>
  <c r="I4898" i="1"/>
  <c r="E4898" i="1" s="1"/>
  <c r="I4899" i="1"/>
  <c r="E4899" i="1" s="1"/>
  <c r="I4900" i="1"/>
  <c r="E4900" i="1" s="1"/>
  <c r="I4901" i="1"/>
  <c r="E4901" i="1" s="1"/>
  <c r="I4902" i="1"/>
  <c r="E4902" i="1" s="1"/>
  <c r="I4903" i="1"/>
  <c r="E4903" i="1" s="1"/>
  <c r="I4904" i="1"/>
  <c r="E4904" i="1" s="1"/>
  <c r="I4905" i="1"/>
  <c r="E4905" i="1" s="1"/>
  <c r="I4906" i="1"/>
  <c r="E4906" i="1" s="1"/>
  <c r="I4907" i="1"/>
  <c r="E4907" i="1" s="1"/>
  <c r="I4908" i="1"/>
  <c r="E4908" i="1" s="1"/>
  <c r="I4909" i="1"/>
  <c r="E4909" i="1" s="1"/>
  <c r="I4910" i="1"/>
  <c r="E4910" i="1" s="1"/>
  <c r="I4911" i="1"/>
  <c r="E4911" i="1" s="1"/>
  <c r="I4912" i="1"/>
  <c r="E4912" i="1" s="1"/>
  <c r="I4913" i="1"/>
  <c r="E4913" i="1" s="1"/>
  <c r="I4914" i="1"/>
  <c r="E4914" i="1" s="1"/>
  <c r="I4915" i="1"/>
  <c r="E4915" i="1" s="1"/>
  <c r="I4916" i="1"/>
  <c r="E4916" i="1" s="1"/>
  <c r="I4917" i="1"/>
  <c r="E4917" i="1" s="1"/>
  <c r="I4918" i="1"/>
  <c r="E4918" i="1" s="1"/>
  <c r="I4919" i="1"/>
  <c r="E4919" i="1" s="1"/>
  <c r="I4920" i="1"/>
  <c r="E4920" i="1" s="1"/>
  <c r="I4921" i="1"/>
  <c r="E4921" i="1" s="1"/>
  <c r="I4922" i="1"/>
  <c r="E4922" i="1" s="1"/>
  <c r="I4923" i="1"/>
  <c r="E4923" i="1" s="1"/>
  <c r="I4924" i="1"/>
  <c r="E4924" i="1" s="1"/>
  <c r="I4925" i="1"/>
  <c r="E4925" i="1" s="1"/>
  <c r="I4926" i="1"/>
  <c r="E4926" i="1" s="1"/>
  <c r="I4927" i="1"/>
  <c r="E4927" i="1" s="1"/>
  <c r="I4928" i="1"/>
  <c r="E4928" i="1" s="1"/>
  <c r="I4929" i="1"/>
  <c r="E4929" i="1" s="1"/>
  <c r="I4930" i="1"/>
  <c r="E4930" i="1" s="1"/>
  <c r="I4931" i="1"/>
  <c r="E4931" i="1" s="1"/>
  <c r="I4932" i="1"/>
  <c r="E4932" i="1" s="1"/>
  <c r="I4933" i="1"/>
  <c r="E4933" i="1" s="1"/>
  <c r="I4934" i="1"/>
  <c r="E4934" i="1" s="1"/>
  <c r="I4935" i="1"/>
  <c r="E4935" i="1" s="1"/>
  <c r="I4936" i="1"/>
  <c r="E4936" i="1" s="1"/>
  <c r="I4937" i="1"/>
  <c r="E4937" i="1" s="1"/>
  <c r="I4938" i="1"/>
  <c r="E4938" i="1" s="1"/>
  <c r="I4939" i="1"/>
  <c r="E4939" i="1" s="1"/>
  <c r="I4940" i="1"/>
  <c r="I4941" i="1"/>
  <c r="E4941" i="1" s="1"/>
  <c r="I4942" i="1"/>
  <c r="E4942" i="1" s="1"/>
  <c r="I4943" i="1"/>
  <c r="E4943" i="1" s="1"/>
  <c r="I4944" i="1"/>
  <c r="E4944" i="1" s="1"/>
  <c r="I4945" i="1"/>
  <c r="E4945" i="1" s="1"/>
  <c r="I4946" i="1"/>
  <c r="E4946" i="1" s="1"/>
  <c r="I4947" i="1"/>
  <c r="E4947" i="1" s="1"/>
  <c r="I4948" i="1"/>
  <c r="E4948" i="1" s="1"/>
  <c r="I4949" i="1"/>
  <c r="E4949" i="1" s="1"/>
  <c r="I4950" i="1"/>
  <c r="E4950" i="1" s="1"/>
  <c r="I4951" i="1"/>
  <c r="E4951" i="1" s="1"/>
  <c r="I4952" i="1"/>
  <c r="E4952" i="1" s="1"/>
  <c r="I4953" i="1"/>
  <c r="E4953" i="1" s="1"/>
  <c r="I4954" i="1"/>
  <c r="E4954" i="1" s="1"/>
  <c r="I4955" i="1"/>
  <c r="E4955" i="1" s="1"/>
  <c r="I4956" i="1"/>
  <c r="E4956" i="1" s="1"/>
  <c r="I4957" i="1"/>
  <c r="E4957" i="1" s="1"/>
  <c r="I4958" i="1"/>
  <c r="E4958" i="1" s="1"/>
  <c r="I4959" i="1"/>
  <c r="E4959" i="1" s="1"/>
  <c r="I4960" i="1"/>
  <c r="E4960" i="1" s="1"/>
  <c r="I4961" i="1"/>
  <c r="I4962" i="1"/>
  <c r="I4963" i="1"/>
  <c r="E4963" i="1" s="1"/>
  <c r="I4964" i="1"/>
  <c r="I4965" i="1"/>
  <c r="E4965" i="1" s="1"/>
  <c r="I4966" i="1"/>
  <c r="E4966" i="1" s="1"/>
  <c r="I4967" i="1"/>
  <c r="E4967" i="1" s="1"/>
  <c r="I4968" i="1"/>
  <c r="E4968" i="1" s="1"/>
  <c r="I4969" i="1"/>
  <c r="I4970" i="1"/>
  <c r="E4970" i="1" s="1"/>
  <c r="I4971" i="1"/>
  <c r="E4971" i="1" s="1"/>
  <c r="I4972" i="1"/>
  <c r="I4973" i="1"/>
  <c r="E4973" i="1" s="1"/>
  <c r="I4974" i="1"/>
  <c r="E4974" i="1" s="1"/>
  <c r="I4975" i="1"/>
  <c r="E4975" i="1" s="1"/>
  <c r="I4976" i="1"/>
  <c r="E4976" i="1" s="1"/>
  <c r="I4977" i="1"/>
  <c r="E4977" i="1" s="1"/>
  <c r="I4978" i="1"/>
  <c r="I4979" i="1"/>
  <c r="E4979" i="1" s="1"/>
  <c r="I4980" i="1"/>
  <c r="I4981" i="1"/>
  <c r="E4981" i="1" s="1"/>
  <c r="I4982" i="1"/>
  <c r="E4982" i="1" s="1"/>
  <c r="I4983" i="1"/>
  <c r="E4983" i="1" s="1"/>
  <c r="I4984" i="1"/>
  <c r="E4984" i="1" s="1"/>
  <c r="I4985" i="1"/>
  <c r="E4985" i="1" s="1"/>
  <c r="I4986" i="1"/>
  <c r="E4986" i="1" s="1"/>
  <c r="I4987" i="1"/>
  <c r="E4987" i="1" s="1"/>
  <c r="I4988" i="1"/>
  <c r="I4989" i="1"/>
  <c r="E4989" i="1" s="1"/>
  <c r="I4990" i="1"/>
  <c r="E4990" i="1" s="1"/>
  <c r="I4991" i="1"/>
  <c r="E4991" i="1" s="1"/>
  <c r="I4992" i="1"/>
  <c r="E4992" i="1" s="1"/>
  <c r="I4993" i="1"/>
  <c r="E4993" i="1" s="1"/>
  <c r="I4994" i="1"/>
  <c r="E4994" i="1" s="1"/>
  <c r="I4995" i="1"/>
  <c r="E4995" i="1" s="1"/>
  <c r="I4996" i="1"/>
  <c r="I4997" i="1"/>
  <c r="E4997" i="1" s="1"/>
  <c r="I4998" i="1"/>
  <c r="E4998" i="1" s="1"/>
  <c r="I4999" i="1"/>
  <c r="E4999" i="1" s="1"/>
  <c r="I5000" i="1"/>
  <c r="E5000" i="1" s="1"/>
  <c r="AI4913" i="1"/>
  <c r="D4002" i="1"/>
  <c r="A4002" i="1" s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A3996" i="1" s="1"/>
  <c r="D3997" i="1"/>
  <c r="A3997" i="1" s="1"/>
  <c r="D3998" i="1"/>
  <c r="A3998" i="1" s="1"/>
  <c r="D3999" i="1"/>
  <c r="A3999" i="1" s="1"/>
  <c r="D4000" i="1"/>
  <c r="A4000" i="1" s="1"/>
  <c r="D4001" i="1"/>
  <c r="A4001" i="1" s="1"/>
  <c r="AJ4987" i="1" l="1"/>
  <c r="AK4987" i="1" s="1"/>
  <c r="AI4965" i="1"/>
  <c r="E4978" i="1"/>
  <c r="AJ4978" i="1" s="1"/>
  <c r="AK4978" i="1" s="1"/>
  <c r="E4962" i="1"/>
  <c r="AI4962" i="1" s="1"/>
  <c r="E4969" i="1"/>
  <c r="AI4969" i="1" s="1"/>
  <c r="E4961" i="1"/>
  <c r="AJ4961" i="1" s="1"/>
  <c r="AK4961" i="1" s="1"/>
  <c r="E4996" i="1"/>
  <c r="AJ4996" i="1" s="1"/>
  <c r="AK4996" i="1" s="1"/>
  <c r="E4988" i="1"/>
  <c r="AJ4988" i="1" s="1"/>
  <c r="AK4988" i="1" s="1"/>
  <c r="E4980" i="1"/>
  <c r="AI4980" i="1" s="1"/>
  <c r="E4972" i="1"/>
  <c r="AI4972" i="1" s="1"/>
  <c r="E4964" i="1"/>
  <c r="AJ4964" i="1" s="1"/>
  <c r="AK4964" i="1" s="1"/>
  <c r="E4940" i="1"/>
  <c r="AI4940" i="1" s="1"/>
  <c r="AJ4981" i="1"/>
  <c r="AK4981" i="1" s="1"/>
  <c r="AI4973" i="1"/>
  <c r="AB4003" i="1"/>
  <c r="AC4003" i="1" s="1"/>
  <c r="AI4970" i="1"/>
  <c r="AI4967" i="1"/>
  <c r="AI4944" i="1"/>
  <c r="AI4985" i="1"/>
  <c r="AI4961" i="1"/>
  <c r="AJ4953" i="1"/>
  <c r="AK4953" i="1" s="1"/>
  <c r="AI4945" i="1"/>
  <c r="AJ4913" i="1"/>
  <c r="AK4913" i="1" s="1"/>
  <c r="AI4897" i="1"/>
  <c r="AI4889" i="1"/>
  <c r="AJ4881" i="1"/>
  <c r="AK4881" i="1" s="1"/>
  <c r="AI4873" i="1"/>
  <c r="AI4833" i="1"/>
  <c r="AI4825" i="1"/>
  <c r="AI4809" i="1"/>
  <c r="AI4987" i="1"/>
  <c r="AJ4979" i="1"/>
  <c r="AK4979" i="1" s="1"/>
  <c r="AJ4971" i="1"/>
  <c r="AK4971" i="1" s="1"/>
  <c r="AI4955" i="1"/>
  <c r="AI4947" i="1"/>
  <c r="AI4977" i="1"/>
  <c r="AJ4977" i="1"/>
  <c r="AK4977" i="1" s="1"/>
  <c r="AI4994" i="1"/>
  <c r="AJ4986" i="1"/>
  <c r="AK4986" i="1" s="1"/>
  <c r="AI4954" i="1"/>
  <c r="AI4930" i="1"/>
  <c r="AI4929" i="1"/>
  <c r="AI4921" i="1"/>
  <c r="AI4865" i="1"/>
  <c r="AI4857" i="1"/>
  <c r="AJ4849" i="1"/>
  <c r="AK4849" i="1" s="1"/>
  <c r="AJ4801" i="1"/>
  <c r="AK4801" i="1" s="1"/>
  <c r="AI4905" i="1"/>
  <c r="AJ4817" i="1"/>
  <c r="AK4817" i="1" s="1"/>
  <c r="AI4937" i="1"/>
  <c r="AJ4937" i="1"/>
  <c r="AK4937" i="1" s="1"/>
  <c r="AI4984" i="1"/>
  <c r="AJ4944" i="1"/>
  <c r="AK4944" i="1" s="1"/>
  <c r="AI4991" i="1"/>
  <c r="AI4998" i="1"/>
  <c r="AJ4998" i="1"/>
  <c r="AK4998" i="1" s="1"/>
  <c r="AJ4990" i="1"/>
  <c r="AK4990" i="1" s="1"/>
  <c r="AI4990" i="1"/>
  <c r="AJ4982" i="1"/>
  <c r="AK4982" i="1" s="1"/>
  <c r="AI4982" i="1"/>
  <c r="AI4974" i="1"/>
  <c r="AJ4974" i="1"/>
  <c r="AK4974" i="1" s="1"/>
  <c r="AI4966" i="1"/>
  <c r="AJ4966" i="1"/>
  <c r="AK4966" i="1" s="1"/>
  <c r="AI4958" i="1"/>
  <c r="AJ4958" i="1"/>
  <c r="AK4958" i="1" s="1"/>
  <c r="AJ4950" i="1"/>
  <c r="AK4950" i="1" s="1"/>
  <c r="AI4950" i="1"/>
  <c r="AI4942" i="1"/>
  <c r="AJ4942" i="1"/>
  <c r="AK4942" i="1" s="1"/>
  <c r="AI4934" i="1"/>
  <c r="AJ4934" i="1"/>
  <c r="AK4934" i="1" s="1"/>
  <c r="AJ4926" i="1"/>
  <c r="AK4926" i="1" s="1"/>
  <c r="AI4926" i="1"/>
  <c r="AI4918" i="1"/>
  <c r="AJ4918" i="1"/>
  <c r="AK4918" i="1" s="1"/>
  <c r="AI4910" i="1"/>
  <c r="AJ4910" i="1"/>
  <c r="AK4910" i="1" s="1"/>
  <c r="AI4902" i="1"/>
  <c r="AJ4902" i="1"/>
  <c r="AK4902" i="1" s="1"/>
  <c r="AI4894" i="1"/>
  <c r="AJ4894" i="1"/>
  <c r="AK4894" i="1" s="1"/>
  <c r="AI4886" i="1"/>
  <c r="AJ4886" i="1"/>
  <c r="AK4886" i="1" s="1"/>
  <c r="AJ4878" i="1"/>
  <c r="AK4878" i="1" s="1"/>
  <c r="AI4878" i="1"/>
  <c r="AI4870" i="1"/>
  <c r="AJ4870" i="1"/>
  <c r="AK4870" i="1" s="1"/>
  <c r="AI4862" i="1"/>
  <c r="AJ4862" i="1"/>
  <c r="AK4862" i="1" s="1"/>
  <c r="AI4854" i="1"/>
  <c r="AJ4854" i="1"/>
  <c r="AK4854" i="1" s="1"/>
  <c r="AI4846" i="1"/>
  <c r="AJ4846" i="1"/>
  <c r="AK4846" i="1" s="1"/>
  <c r="AJ4838" i="1"/>
  <c r="AK4838" i="1" s="1"/>
  <c r="AI4838" i="1"/>
  <c r="AI4830" i="1"/>
  <c r="AJ4830" i="1"/>
  <c r="AK4830" i="1" s="1"/>
  <c r="AJ4822" i="1"/>
  <c r="AK4822" i="1" s="1"/>
  <c r="AI4822" i="1"/>
  <c r="AI4814" i="1"/>
  <c r="AJ4814" i="1"/>
  <c r="AK4814" i="1" s="1"/>
  <c r="AI4806" i="1"/>
  <c r="AJ4806" i="1"/>
  <c r="AK4806" i="1" s="1"/>
  <c r="AI4798" i="1"/>
  <c r="AJ4798" i="1"/>
  <c r="AK4798" i="1" s="1"/>
  <c r="AI4790" i="1"/>
  <c r="AJ4790" i="1"/>
  <c r="AK4790" i="1" s="1"/>
  <c r="AI4782" i="1"/>
  <c r="AJ4782" i="1"/>
  <c r="AK4782" i="1" s="1"/>
  <c r="AJ4774" i="1"/>
  <c r="AK4774" i="1" s="1"/>
  <c r="AI4774" i="1"/>
  <c r="AI4766" i="1"/>
  <c r="AJ4766" i="1"/>
  <c r="AK4766" i="1" s="1"/>
  <c r="AJ4758" i="1"/>
  <c r="AK4758" i="1" s="1"/>
  <c r="AI4758" i="1"/>
  <c r="AI4750" i="1"/>
  <c r="AJ4750" i="1"/>
  <c r="AK4750" i="1" s="1"/>
  <c r="AI4742" i="1"/>
  <c r="AJ4742" i="1"/>
  <c r="AK4742" i="1" s="1"/>
  <c r="AI4734" i="1"/>
  <c r="AJ4734" i="1"/>
  <c r="AK4734" i="1" s="1"/>
  <c r="AJ4726" i="1"/>
  <c r="AK4726" i="1" s="1"/>
  <c r="AI4726" i="1"/>
  <c r="AI4718" i="1"/>
  <c r="AJ4718" i="1"/>
  <c r="AK4718" i="1" s="1"/>
  <c r="AI4710" i="1"/>
  <c r="AJ4710" i="1"/>
  <c r="AK4710" i="1" s="1"/>
  <c r="AI4702" i="1"/>
  <c r="AJ4702" i="1"/>
  <c r="AK4702" i="1" s="1"/>
  <c r="AI4694" i="1"/>
  <c r="AJ4694" i="1"/>
  <c r="AK4694" i="1" s="1"/>
  <c r="AI4686" i="1"/>
  <c r="AJ4686" i="1"/>
  <c r="AK4686" i="1" s="1"/>
  <c r="AJ4678" i="1"/>
  <c r="AK4678" i="1" s="1"/>
  <c r="AI4678" i="1"/>
  <c r="AI4670" i="1"/>
  <c r="AJ4670" i="1"/>
  <c r="AK4670" i="1" s="1"/>
  <c r="AJ4662" i="1"/>
  <c r="AK4662" i="1" s="1"/>
  <c r="AI4662" i="1"/>
  <c r="AI4654" i="1"/>
  <c r="AJ4654" i="1"/>
  <c r="AK4654" i="1" s="1"/>
  <c r="AI4646" i="1"/>
  <c r="AJ4646" i="1"/>
  <c r="AK4646" i="1" s="1"/>
  <c r="AI4638" i="1"/>
  <c r="AJ4638" i="1"/>
  <c r="AK4638" i="1" s="1"/>
  <c r="AI4630" i="1"/>
  <c r="AJ4630" i="1"/>
  <c r="AK4630" i="1" s="1"/>
  <c r="AJ4622" i="1"/>
  <c r="AK4622" i="1" s="1"/>
  <c r="AI4622" i="1"/>
  <c r="AI4614" i="1"/>
  <c r="AJ4614" i="1"/>
  <c r="AK4614" i="1" s="1"/>
  <c r="AI4606" i="1"/>
  <c r="AJ4606" i="1"/>
  <c r="AK4606" i="1" s="1"/>
  <c r="AI4598" i="1"/>
  <c r="AJ4598" i="1"/>
  <c r="AK4598" i="1" s="1"/>
  <c r="AI4590" i="1"/>
  <c r="AJ4590" i="1"/>
  <c r="AK4590" i="1" s="1"/>
  <c r="AI4582" i="1"/>
  <c r="AJ4582" i="1"/>
  <c r="AK4582" i="1" s="1"/>
  <c r="AI4574" i="1"/>
  <c r="AJ4574" i="1"/>
  <c r="AK4574" i="1" s="1"/>
  <c r="AJ4566" i="1"/>
  <c r="AK4566" i="1" s="1"/>
  <c r="AI4566" i="1"/>
  <c r="AJ4558" i="1"/>
  <c r="AK4558" i="1" s="1"/>
  <c r="AI4558" i="1"/>
  <c r="AI4550" i="1"/>
  <c r="AJ4550" i="1"/>
  <c r="AK4550" i="1" s="1"/>
  <c r="AJ4542" i="1"/>
  <c r="AK4542" i="1" s="1"/>
  <c r="AI4542" i="1"/>
  <c r="AI4534" i="1"/>
  <c r="AJ4534" i="1"/>
  <c r="AK4534" i="1" s="1"/>
  <c r="AI4526" i="1"/>
  <c r="AJ4526" i="1"/>
  <c r="AK4526" i="1" s="1"/>
  <c r="AI4518" i="1"/>
  <c r="AJ4518" i="1"/>
  <c r="AK4518" i="1" s="1"/>
  <c r="AJ4510" i="1"/>
  <c r="AK4510" i="1" s="1"/>
  <c r="AI4510" i="1"/>
  <c r="AJ4502" i="1"/>
  <c r="AK4502" i="1" s="1"/>
  <c r="AI4502" i="1"/>
  <c r="AI4494" i="1"/>
  <c r="AJ4494" i="1"/>
  <c r="AK4494" i="1" s="1"/>
  <c r="AI4486" i="1"/>
  <c r="AJ4486" i="1"/>
  <c r="AK4486" i="1" s="1"/>
  <c r="AI4478" i="1"/>
  <c r="AJ4478" i="1"/>
  <c r="AK4478" i="1" s="1"/>
  <c r="AJ4470" i="1"/>
  <c r="AK4470" i="1" s="1"/>
  <c r="AI4470" i="1"/>
  <c r="AJ4462" i="1"/>
  <c r="AK4462" i="1" s="1"/>
  <c r="AI4462" i="1"/>
  <c r="AI4454" i="1"/>
  <c r="AJ4454" i="1"/>
  <c r="AK4454" i="1" s="1"/>
  <c r="AI4446" i="1"/>
  <c r="AJ4446" i="1"/>
  <c r="AK4446" i="1" s="1"/>
  <c r="AJ4438" i="1"/>
  <c r="AK4438" i="1" s="1"/>
  <c r="AI4438" i="1"/>
  <c r="AI4430" i="1"/>
  <c r="AJ4430" i="1"/>
  <c r="AK4430" i="1" s="1"/>
  <c r="AI4422" i="1"/>
  <c r="AJ4422" i="1"/>
  <c r="AK4422" i="1" s="1"/>
  <c r="AJ4414" i="1"/>
  <c r="AK4414" i="1" s="1"/>
  <c r="AI4414" i="1"/>
  <c r="AI4406" i="1"/>
  <c r="AJ4406" i="1"/>
  <c r="AK4406" i="1" s="1"/>
  <c r="AJ4398" i="1"/>
  <c r="AK4398" i="1" s="1"/>
  <c r="AI4398" i="1"/>
  <c r="AI4390" i="1"/>
  <c r="AJ4390" i="1"/>
  <c r="AK4390" i="1" s="1"/>
  <c r="AI4382" i="1"/>
  <c r="AJ4382" i="1"/>
  <c r="AK4382" i="1" s="1"/>
  <c r="AI4374" i="1"/>
  <c r="AJ4374" i="1"/>
  <c r="AK4374" i="1" s="1"/>
  <c r="AI4366" i="1"/>
  <c r="AJ4366" i="1"/>
  <c r="AK4366" i="1" s="1"/>
  <c r="AI4358" i="1"/>
  <c r="AJ4358" i="1"/>
  <c r="AK4358" i="1" s="1"/>
  <c r="AJ4350" i="1"/>
  <c r="AK4350" i="1" s="1"/>
  <c r="AI4350" i="1"/>
  <c r="AI4342" i="1"/>
  <c r="AJ4342" i="1"/>
  <c r="AK4342" i="1" s="1"/>
  <c r="AJ4334" i="1"/>
  <c r="AK4334" i="1" s="1"/>
  <c r="AI4334" i="1"/>
  <c r="AJ4326" i="1"/>
  <c r="AK4326" i="1" s="1"/>
  <c r="AI4326" i="1"/>
  <c r="AI4318" i="1"/>
  <c r="AJ4318" i="1"/>
  <c r="AK4318" i="1" s="1"/>
  <c r="AI4310" i="1"/>
  <c r="AJ4310" i="1"/>
  <c r="AK4310" i="1" s="1"/>
  <c r="AI4302" i="1"/>
  <c r="AJ4302" i="1"/>
  <c r="AK4302" i="1" s="1"/>
  <c r="AJ4294" i="1"/>
  <c r="AK4294" i="1" s="1"/>
  <c r="AI4294" i="1"/>
  <c r="AI4286" i="1"/>
  <c r="AJ4286" i="1"/>
  <c r="AK4286" i="1" s="1"/>
  <c r="AJ4278" i="1"/>
  <c r="AK4278" i="1" s="1"/>
  <c r="AI4278" i="1"/>
  <c r="AI4270" i="1"/>
  <c r="AJ4270" i="1"/>
  <c r="AK4270" i="1" s="1"/>
  <c r="AJ4262" i="1"/>
  <c r="AK4262" i="1" s="1"/>
  <c r="AI4262" i="1"/>
  <c r="AI4254" i="1"/>
  <c r="AJ4254" i="1"/>
  <c r="AK4254" i="1" s="1"/>
  <c r="AI4246" i="1"/>
  <c r="AJ4246" i="1"/>
  <c r="AK4246" i="1" s="1"/>
  <c r="AI4238" i="1"/>
  <c r="AJ4238" i="1"/>
  <c r="AK4238" i="1" s="1"/>
  <c r="AI4230" i="1"/>
  <c r="AJ4230" i="1"/>
  <c r="AK4230" i="1" s="1"/>
  <c r="AJ4222" i="1"/>
  <c r="AK4222" i="1" s="1"/>
  <c r="AI4222" i="1"/>
  <c r="AI4214" i="1"/>
  <c r="AJ4214" i="1"/>
  <c r="AK4214" i="1" s="1"/>
  <c r="AI4206" i="1"/>
  <c r="AJ4206" i="1"/>
  <c r="AK4206" i="1" s="1"/>
  <c r="AI4198" i="1"/>
  <c r="AJ4198" i="1"/>
  <c r="AK4198" i="1" s="1"/>
  <c r="AI4190" i="1"/>
  <c r="AJ4190" i="1"/>
  <c r="AK4190" i="1" s="1"/>
  <c r="AJ4182" i="1"/>
  <c r="AK4182" i="1" s="1"/>
  <c r="AI4182" i="1"/>
  <c r="AI4174" i="1"/>
  <c r="AJ4174" i="1"/>
  <c r="AK4174" i="1" s="1"/>
  <c r="AI4166" i="1"/>
  <c r="AJ4166" i="1"/>
  <c r="AK4166" i="1" s="1"/>
  <c r="AI4158" i="1"/>
  <c r="AJ4158" i="1"/>
  <c r="AK4158" i="1" s="1"/>
  <c r="AI4150" i="1"/>
  <c r="AJ4150" i="1"/>
  <c r="AK4150" i="1" s="1"/>
  <c r="AJ4142" i="1"/>
  <c r="AK4142" i="1" s="1"/>
  <c r="AI4142" i="1"/>
  <c r="AI4134" i="1"/>
  <c r="AJ4134" i="1"/>
  <c r="AK4134" i="1" s="1"/>
  <c r="AI4126" i="1"/>
  <c r="AJ4126" i="1"/>
  <c r="AK4126" i="1" s="1"/>
  <c r="AI4118" i="1"/>
  <c r="AJ4118" i="1"/>
  <c r="AK4118" i="1" s="1"/>
  <c r="AI4110" i="1"/>
  <c r="AJ4110" i="1"/>
  <c r="AK4110" i="1" s="1"/>
  <c r="AI4102" i="1"/>
  <c r="AJ4102" i="1"/>
  <c r="AK4102" i="1" s="1"/>
  <c r="AI4094" i="1"/>
  <c r="AJ4094" i="1"/>
  <c r="AK4094" i="1" s="1"/>
  <c r="AI4086" i="1"/>
  <c r="AJ4086" i="1"/>
  <c r="AK4086" i="1" s="1"/>
  <c r="AI4078" i="1"/>
  <c r="AJ4078" i="1"/>
  <c r="AK4078" i="1" s="1"/>
  <c r="AI4070" i="1"/>
  <c r="AJ4070" i="1"/>
  <c r="AK4070" i="1" s="1"/>
  <c r="AJ4062" i="1"/>
  <c r="AK4062" i="1" s="1"/>
  <c r="AI4062" i="1"/>
  <c r="AI4054" i="1"/>
  <c r="AJ4054" i="1"/>
  <c r="AK4054" i="1" s="1"/>
  <c r="AI4046" i="1"/>
  <c r="AJ4046" i="1"/>
  <c r="AK4046" i="1" s="1"/>
  <c r="AI4038" i="1"/>
  <c r="AJ4038" i="1"/>
  <c r="AK4038" i="1" s="1"/>
  <c r="AI4030" i="1"/>
  <c r="AJ4030" i="1"/>
  <c r="AK4030" i="1" s="1"/>
  <c r="AI4022" i="1"/>
  <c r="AJ4022" i="1"/>
  <c r="AK4022" i="1" s="1"/>
  <c r="AI4014" i="1"/>
  <c r="AJ4014" i="1"/>
  <c r="AK4014" i="1" s="1"/>
  <c r="AI4964" i="1"/>
  <c r="AI4993" i="1"/>
  <c r="AI4997" i="1"/>
  <c r="AI4957" i="1"/>
  <c r="AI4933" i="1"/>
  <c r="AI5000" i="1"/>
  <c r="AJ5000" i="1"/>
  <c r="AK5000" i="1" s="1"/>
  <c r="AI4992" i="1"/>
  <c r="AJ4992" i="1"/>
  <c r="AK4992" i="1" s="1"/>
  <c r="AI4976" i="1"/>
  <c r="AI4968" i="1"/>
  <c r="AJ4960" i="1"/>
  <c r="AK4960" i="1" s="1"/>
  <c r="AI4960" i="1"/>
  <c r="AI4952" i="1"/>
  <c r="AJ4952" i="1"/>
  <c r="AK4952" i="1" s="1"/>
  <c r="AI4936" i="1"/>
  <c r="AJ4936" i="1"/>
  <c r="AK4936" i="1" s="1"/>
  <c r="AI4928" i="1"/>
  <c r="AJ4928" i="1"/>
  <c r="AK4928" i="1" s="1"/>
  <c r="AJ4920" i="1"/>
  <c r="AK4920" i="1" s="1"/>
  <c r="AI4912" i="1"/>
  <c r="AJ4912" i="1"/>
  <c r="AK4912" i="1" s="1"/>
  <c r="AI4904" i="1"/>
  <c r="AJ4904" i="1"/>
  <c r="AK4904" i="1" s="1"/>
  <c r="AJ4896" i="1"/>
  <c r="AK4896" i="1" s="1"/>
  <c r="AI4896" i="1"/>
  <c r="AI4888" i="1"/>
  <c r="AJ4888" i="1"/>
  <c r="AK4888" i="1" s="1"/>
  <c r="AI4880" i="1"/>
  <c r="AJ4880" i="1"/>
  <c r="AK4880" i="1" s="1"/>
  <c r="AI4872" i="1"/>
  <c r="AJ4872" i="1"/>
  <c r="AK4872" i="1" s="1"/>
  <c r="AI4864" i="1"/>
  <c r="AJ4864" i="1"/>
  <c r="AK4864" i="1" s="1"/>
  <c r="AI4856" i="1"/>
  <c r="AJ4856" i="1"/>
  <c r="AK4856" i="1" s="1"/>
  <c r="AI4848" i="1"/>
  <c r="AJ4848" i="1"/>
  <c r="AK4848" i="1" s="1"/>
  <c r="AI4840" i="1"/>
  <c r="AJ4840" i="1"/>
  <c r="AK4840" i="1" s="1"/>
  <c r="AI4832" i="1"/>
  <c r="AJ4832" i="1"/>
  <c r="AK4832" i="1" s="1"/>
  <c r="AI4824" i="1"/>
  <c r="AJ4824" i="1"/>
  <c r="AK4824" i="1" s="1"/>
  <c r="AI4816" i="1"/>
  <c r="AJ4816" i="1"/>
  <c r="AK4816" i="1" s="1"/>
  <c r="AI4808" i="1"/>
  <c r="AJ4808" i="1"/>
  <c r="AK4808" i="1" s="1"/>
  <c r="AI4800" i="1"/>
  <c r="AJ4800" i="1"/>
  <c r="AK4800" i="1" s="1"/>
  <c r="AI4792" i="1"/>
  <c r="AJ4792" i="1"/>
  <c r="AK4792" i="1" s="1"/>
  <c r="AI4784" i="1"/>
  <c r="AJ4784" i="1"/>
  <c r="AK4784" i="1" s="1"/>
  <c r="AI4776" i="1"/>
  <c r="AJ4776" i="1"/>
  <c r="AK4776" i="1" s="1"/>
  <c r="AI4768" i="1"/>
  <c r="AJ4768" i="1"/>
  <c r="AK4768" i="1" s="1"/>
  <c r="AI4760" i="1"/>
  <c r="AJ4760" i="1"/>
  <c r="AK4760" i="1" s="1"/>
  <c r="AI4752" i="1"/>
  <c r="AJ4752" i="1"/>
  <c r="AK4752" i="1" s="1"/>
  <c r="AI4744" i="1"/>
  <c r="AJ4744" i="1"/>
  <c r="AK4744" i="1" s="1"/>
  <c r="AI4736" i="1"/>
  <c r="AJ4736" i="1"/>
  <c r="AK4736" i="1" s="1"/>
  <c r="AI4728" i="1"/>
  <c r="AJ4728" i="1"/>
  <c r="AK4728" i="1" s="1"/>
  <c r="AJ4720" i="1"/>
  <c r="AK4720" i="1" s="1"/>
  <c r="AI4720" i="1"/>
  <c r="AI4712" i="1"/>
  <c r="AJ4712" i="1"/>
  <c r="AK4712" i="1" s="1"/>
  <c r="AJ4704" i="1"/>
  <c r="AK4704" i="1" s="1"/>
  <c r="AI4704" i="1"/>
  <c r="AI4696" i="1"/>
  <c r="AJ4696" i="1"/>
  <c r="AK4696" i="1" s="1"/>
  <c r="AJ4688" i="1"/>
  <c r="AK4688" i="1" s="1"/>
  <c r="AI4688" i="1"/>
  <c r="AI4680" i="1"/>
  <c r="AJ4680" i="1"/>
  <c r="AK4680" i="1" s="1"/>
  <c r="AJ4672" i="1"/>
  <c r="AK4672" i="1" s="1"/>
  <c r="AI4672" i="1"/>
  <c r="AI4664" i="1"/>
  <c r="AJ4664" i="1"/>
  <c r="AK4664" i="1" s="1"/>
  <c r="AI4656" i="1"/>
  <c r="AJ4656" i="1"/>
  <c r="AK4656" i="1" s="1"/>
  <c r="AI4648" i="1"/>
  <c r="AJ4648" i="1"/>
  <c r="AK4648" i="1" s="1"/>
  <c r="AI4640" i="1"/>
  <c r="AJ4640" i="1"/>
  <c r="AK4640" i="1" s="1"/>
  <c r="AI4632" i="1"/>
  <c r="AJ4632" i="1"/>
  <c r="AK4632" i="1" s="1"/>
  <c r="AI4624" i="1"/>
  <c r="AJ4624" i="1"/>
  <c r="AK4624" i="1" s="1"/>
  <c r="AI4616" i="1"/>
  <c r="AJ4616" i="1"/>
  <c r="AK4616" i="1" s="1"/>
  <c r="AI4608" i="1"/>
  <c r="AJ4608" i="1"/>
  <c r="AK4608" i="1" s="1"/>
  <c r="AI4600" i="1"/>
  <c r="AJ4600" i="1"/>
  <c r="AK4600" i="1" s="1"/>
  <c r="AJ4592" i="1"/>
  <c r="AK4592" i="1" s="1"/>
  <c r="AI4592" i="1"/>
  <c r="AJ4584" i="1"/>
  <c r="AK4584" i="1" s="1"/>
  <c r="AI4584" i="1"/>
  <c r="AI4576" i="1"/>
  <c r="AJ4576" i="1"/>
  <c r="AK4576" i="1" s="1"/>
  <c r="AJ4568" i="1"/>
  <c r="AK4568" i="1" s="1"/>
  <c r="AI4568" i="1"/>
  <c r="AI4560" i="1"/>
  <c r="AJ4560" i="1"/>
  <c r="AK4560" i="1" s="1"/>
  <c r="AJ4552" i="1"/>
  <c r="AK4552" i="1" s="1"/>
  <c r="AI4552" i="1"/>
  <c r="AI4544" i="1"/>
  <c r="AJ4544" i="1"/>
  <c r="AK4544" i="1" s="1"/>
  <c r="AI4536" i="1"/>
  <c r="AJ4536" i="1"/>
  <c r="AK4536" i="1" s="1"/>
  <c r="AI4528" i="1"/>
  <c r="AJ4528" i="1"/>
  <c r="AK4528" i="1" s="1"/>
  <c r="AI4520" i="1"/>
  <c r="AJ4520" i="1"/>
  <c r="AK4520" i="1" s="1"/>
  <c r="AJ4512" i="1"/>
  <c r="AK4512" i="1" s="1"/>
  <c r="AI4512" i="1"/>
  <c r="AI4504" i="1"/>
  <c r="AJ4504" i="1"/>
  <c r="AK4504" i="1" s="1"/>
  <c r="AI4496" i="1"/>
  <c r="AJ4496" i="1"/>
  <c r="AK4496" i="1" s="1"/>
  <c r="AI4488" i="1"/>
  <c r="AJ4488" i="1"/>
  <c r="AK4488" i="1" s="1"/>
  <c r="AJ4480" i="1"/>
  <c r="AK4480" i="1" s="1"/>
  <c r="AI4480" i="1"/>
  <c r="AJ4472" i="1"/>
  <c r="AK4472" i="1" s="1"/>
  <c r="AI4472" i="1"/>
  <c r="AI4464" i="1"/>
  <c r="AJ4464" i="1"/>
  <c r="AK4464" i="1" s="1"/>
  <c r="AI4456" i="1"/>
  <c r="AJ4456" i="1"/>
  <c r="AK4456" i="1" s="1"/>
  <c r="AI4448" i="1"/>
  <c r="AJ4448" i="1"/>
  <c r="AK4448" i="1" s="1"/>
  <c r="AI4440" i="1"/>
  <c r="AJ4440" i="1"/>
  <c r="AK4440" i="1" s="1"/>
  <c r="AI4432" i="1"/>
  <c r="AJ4432" i="1"/>
  <c r="AK4432" i="1" s="1"/>
  <c r="AI4424" i="1"/>
  <c r="AJ4424" i="1"/>
  <c r="AK4424" i="1" s="1"/>
  <c r="AI4416" i="1"/>
  <c r="AJ4416" i="1"/>
  <c r="AK4416" i="1" s="1"/>
  <c r="AI4408" i="1"/>
  <c r="AJ4408" i="1"/>
  <c r="AK4408" i="1" s="1"/>
  <c r="AI4400" i="1"/>
  <c r="AJ4400" i="1"/>
  <c r="AK4400" i="1" s="1"/>
  <c r="AJ4392" i="1"/>
  <c r="AK4392" i="1" s="1"/>
  <c r="AI4392" i="1"/>
  <c r="AJ4384" i="1"/>
  <c r="AK4384" i="1" s="1"/>
  <c r="AI4384" i="1"/>
  <c r="AI4376" i="1"/>
  <c r="AJ4376" i="1"/>
  <c r="AK4376" i="1" s="1"/>
  <c r="AJ4368" i="1"/>
  <c r="AK4368" i="1" s="1"/>
  <c r="AI4368" i="1"/>
  <c r="AI4360" i="1"/>
  <c r="AJ4360" i="1"/>
  <c r="AK4360" i="1" s="1"/>
  <c r="AJ4352" i="1"/>
  <c r="AK4352" i="1" s="1"/>
  <c r="AI4352" i="1"/>
  <c r="AJ4344" i="1"/>
  <c r="AK4344" i="1" s="1"/>
  <c r="AI4344" i="1"/>
  <c r="AJ4336" i="1"/>
  <c r="AK4336" i="1" s="1"/>
  <c r="AI4336" i="1"/>
  <c r="AI4328" i="1"/>
  <c r="AJ4328" i="1"/>
  <c r="AK4328" i="1" s="1"/>
  <c r="AI4320" i="1"/>
  <c r="AJ4320" i="1"/>
  <c r="AK4320" i="1" s="1"/>
  <c r="AI4312" i="1"/>
  <c r="AJ4312" i="1"/>
  <c r="AK4312" i="1" s="1"/>
  <c r="AI4304" i="1"/>
  <c r="AJ4304" i="1"/>
  <c r="AK4304" i="1" s="1"/>
  <c r="AI4296" i="1"/>
  <c r="AJ4296" i="1"/>
  <c r="AK4296" i="1" s="1"/>
  <c r="AI4288" i="1"/>
  <c r="AJ4288" i="1"/>
  <c r="AK4288" i="1" s="1"/>
  <c r="AJ4280" i="1"/>
  <c r="AK4280" i="1" s="1"/>
  <c r="AI4280" i="1"/>
  <c r="AI4272" i="1"/>
  <c r="AJ4272" i="1"/>
  <c r="AK4272" i="1" s="1"/>
  <c r="AJ4264" i="1"/>
  <c r="AK4264" i="1" s="1"/>
  <c r="AI4264" i="1"/>
  <c r="AI4256" i="1"/>
  <c r="AJ4256" i="1"/>
  <c r="AK4256" i="1" s="1"/>
  <c r="AI4248" i="1"/>
  <c r="AJ4248" i="1"/>
  <c r="AK4248" i="1" s="1"/>
  <c r="AI4240" i="1"/>
  <c r="AJ4240" i="1"/>
  <c r="AK4240" i="1" s="1"/>
  <c r="AI4232" i="1"/>
  <c r="AJ4232" i="1"/>
  <c r="AK4232" i="1" s="1"/>
  <c r="AI4224" i="1"/>
  <c r="AJ4224" i="1"/>
  <c r="AK4224" i="1" s="1"/>
  <c r="AI4216" i="1"/>
  <c r="AJ4216" i="1"/>
  <c r="AK4216" i="1" s="1"/>
  <c r="AI4208" i="1"/>
  <c r="AJ4208" i="1"/>
  <c r="AK4208" i="1" s="1"/>
  <c r="AI4200" i="1"/>
  <c r="AJ4200" i="1"/>
  <c r="AK4200" i="1" s="1"/>
  <c r="AI4192" i="1"/>
  <c r="AJ4192" i="1"/>
  <c r="AK4192" i="1" s="1"/>
  <c r="AI4184" i="1"/>
  <c r="AJ4184" i="1"/>
  <c r="AK4184" i="1" s="1"/>
  <c r="AJ4176" i="1"/>
  <c r="AK4176" i="1" s="1"/>
  <c r="AI4176" i="1"/>
  <c r="AI4168" i="1"/>
  <c r="AJ4168" i="1"/>
  <c r="AK4168" i="1" s="1"/>
  <c r="AI4160" i="1"/>
  <c r="AJ4160" i="1"/>
  <c r="AK4160" i="1" s="1"/>
  <c r="AI4152" i="1"/>
  <c r="AJ4152" i="1"/>
  <c r="AK4152" i="1" s="1"/>
  <c r="AI4144" i="1"/>
  <c r="AJ4144" i="1"/>
  <c r="AK4144" i="1" s="1"/>
  <c r="AI4136" i="1"/>
  <c r="AJ4136" i="1"/>
  <c r="AK4136" i="1" s="1"/>
  <c r="AJ4128" i="1"/>
  <c r="AK4128" i="1" s="1"/>
  <c r="AI4128" i="1"/>
  <c r="AI4120" i="1"/>
  <c r="AJ4120" i="1"/>
  <c r="AK4120" i="1" s="1"/>
  <c r="AI4112" i="1"/>
  <c r="AJ4112" i="1"/>
  <c r="AK4112" i="1" s="1"/>
  <c r="AI4104" i="1"/>
  <c r="AJ4104" i="1"/>
  <c r="AK4104" i="1" s="1"/>
  <c r="AI4096" i="1"/>
  <c r="AJ4096" i="1"/>
  <c r="AK4096" i="1" s="1"/>
  <c r="AI4088" i="1"/>
  <c r="AJ4088" i="1"/>
  <c r="AK4088" i="1" s="1"/>
  <c r="AI4080" i="1"/>
  <c r="AJ4080" i="1"/>
  <c r="AK4080" i="1" s="1"/>
  <c r="AI4072" i="1"/>
  <c r="AJ4072" i="1"/>
  <c r="AK4072" i="1" s="1"/>
  <c r="AI4064" i="1"/>
  <c r="AJ4064" i="1"/>
  <c r="AK4064" i="1" s="1"/>
  <c r="AJ4056" i="1"/>
  <c r="AK4056" i="1" s="1"/>
  <c r="AI4056" i="1"/>
  <c r="AI4048" i="1"/>
  <c r="AJ4048" i="1"/>
  <c r="AK4048" i="1" s="1"/>
  <c r="AI4040" i="1"/>
  <c r="AJ4040" i="1"/>
  <c r="AK4040" i="1" s="1"/>
  <c r="AI4032" i="1"/>
  <c r="AJ4032" i="1"/>
  <c r="AK4032" i="1" s="1"/>
  <c r="AI4024" i="1"/>
  <c r="AJ4024" i="1"/>
  <c r="AK4024" i="1" s="1"/>
  <c r="AI4016" i="1"/>
  <c r="AJ4016" i="1"/>
  <c r="AK4016" i="1" s="1"/>
  <c r="AJ4994" i="1"/>
  <c r="AK4994" i="1" s="1"/>
  <c r="AJ4954" i="1"/>
  <c r="AK4954" i="1" s="1"/>
  <c r="AJ4999" i="1"/>
  <c r="AK4999" i="1" s="1"/>
  <c r="AI4983" i="1"/>
  <c r="AJ4983" i="1"/>
  <c r="AK4983" i="1" s="1"/>
  <c r="AI4975" i="1"/>
  <c r="AJ4975" i="1"/>
  <c r="AK4975" i="1" s="1"/>
  <c r="AJ4967" i="1"/>
  <c r="AK4967" i="1" s="1"/>
  <c r="AI4959" i="1"/>
  <c r="AI4951" i="1"/>
  <c r="AJ4943" i="1"/>
  <c r="AK4943" i="1" s="1"/>
  <c r="AI4943" i="1"/>
  <c r="AI4935" i="1"/>
  <c r="AJ4935" i="1"/>
  <c r="AK4935" i="1" s="1"/>
  <c r="AI4927" i="1"/>
  <c r="AI4919" i="1"/>
  <c r="AJ4919" i="1"/>
  <c r="AK4919" i="1" s="1"/>
  <c r="AI4911" i="1"/>
  <c r="AJ4911" i="1"/>
  <c r="AK4911" i="1" s="1"/>
  <c r="AI4903" i="1"/>
  <c r="AJ4903" i="1"/>
  <c r="AK4903" i="1" s="1"/>
  <c r="AI4895" i="1"/>
  <c r="AJ4895" i="1"/>
  <c r="AK4895" i="1" s="1"/>
  <c r="AI4887" i="1"/>
  <c r="AJ4887" i="1"/>
  <c r="AK4887" i="1" s="1"/>
  <c r="AI4879" i="1"/>
  <c r="AJ4879" i="1"/>
  <c r="AK4879" i="1" s="1"/>
  <c r="AI4871" i="1"/>
  <c r="AJ4871" i="1"/>
  <c r="AK4871" i="1" s="1"/>
  <c r="AI4863" i="1"/>
  <c r="AJ4863" i="1"/>
  <c r="AK4863" i="1" s="1"/>
  <c r="AI4855" i="1"/>
  <c r="AJ4855" i="1"/>
  <c r="AK4855" i="1" s="1"/>
  <c r="AJ4847" i="1"/>
  <c r="AK4847" i="1" s="1"/>
  <c r="AI4847" i="1"/>
  <c r="AJ4839" i="1"/>
  <c r="AK4839" i="1" s="1"/>
  <c r="AI4839" i="1"/>
  <c r="AI4831" i="1"/>
  <c r="AJ4831" i="1"/>
  <c r="AK4831" i="1" s="1"/>
  <c r="AJ4823" i="1"/>
  <c r="AK4823" i="1" s="1"/>
  <c r="AI4823" i="1"/>
  <c r="AI4815" i="1"/>
  <c r="AJ4815" i="1"/>
  <c r="AK4815" i="1" s="1"/>
  <c r="AJ4807" i="1"/>
  <c r="AK4807" i="1" s="1"/>
  <c r="AI4807" i="1"/>
  <c r="AI4799" i="1"/>
  <c r="AJ4799" i="1"/>
  <c r="AK4799" i="1" s="1"/>
  <c r="AI4791" i="1"/>
  <c r="AJ4791" i="1"/>
  <c r="AK4791" i="1" s="1"/>
  <c r="AJ4783" i="1"/>
  <c r="AK4783" i="1" s="1"/>
  <c r="AI4783" i="1"/>
  <c r="AI4775" i="1"/>
  <c r="AJ4775" i="1"/>
  <c r="AK4775" i="1" s="1"/>
  <c r="AI4767" i="1"/>
  <c r="AJ4767" i="1"/>
  <c r="AK4767" i="1" s="1"/>
  <c r="AI4759" i="1"/>
  <c r="AJ4759" i="1"/>
  <c r="AK4759" i="1" s="1"/>
  <c r="AI4751" i="1"/>
  <c r="AJ4751" i="1"/>
  <c r="AK4751" i="1" s="1"/>
  <c r="AI4743" i="1"/>
  <c r="AJ4743" i="1"/>
  <c r="AK4743" i="1" s="1"/>
  <c r="AI4735" i="1"/>
  <c r="AJ4735" i="1"/>
  <c r="AK4735" i="1" s="1"/>
  <c r="AI4727" i="1"/>
  <c r="AJ4727" i="1"/>
  <c r="AK4727" i="1" s="1"/>
  <c r="AI4719" i="1"/>
  <c r="AJ4719" i="1"/>
  <c r="AK4719" i="1" s="1"/>
  <c r="AI4711" i="1"/>
  <c r="AJ4711" i="1"/>
  <c r="AK4711" i="1" s="1"/>
  <c r="AI4703" i="1"/>
  <c r="AJ4703" i="1"/>
  <c r="AK4703" i="1" s="1"/>
  <c r="AI4695" i="1"/>
  <c r="AJ4695" i="1"/>
  <c r="AK4695" i="1" s="1"/>
  <c r="AI4687" i="1"/>
  <c r="AJ4687" i="1"/>
  <c r="AK4687" i="1" s="1"/>
  <c r="AI4679" i="1"/>
  <c r="AJ4679" i="1"/>
  <c r="AK4679" i="1" s="1"/>
  <c r="AI4671" i="1"/>
  <c r="AJ4671" i="1"/>
  <c r="AK4671" i="1" s="1"/>
  <c r="AI4663" i="1"/>
  <c r="AJ4663" i="1"/>
  <c r="AK4663" i="1" s="1"/>
  <c r="AJ4655" i="1"/>
  <c r="AK4655" i="1" s="1"/>
  <c r="AI4655" i="1"/>
  <c r="AI4647" i="1"/>
  <c r="AJ4647" i="1"/>
  <c r="AK4647" i="1" s="1"/>
  <c r="AI4639" i="1"/>
  <c r="AJ4639" i="1"/>
  <c r="AK4639" i="1" s="1"/>
  <c r="AI4631" i="1"/>
  <c r="AJ4631" i="1"/>
  <c r="AK4631" i="1" s="1"/>
  <c r="AI4623" i="1"/>
  <c r="AJ4623" i="1"/>
  <c r="AK4623" i="1" s="1"/>
  <c r="AI4615" i="1"/>
  <c r="AJ4615" i="1"/>
  <c r="AK4615" i="1" s="1"/>
  <c r="AI4607" i="1"/>
  <c r="AJ4607" i="1"/>
  <c r="AK4607" i="1" s="1"/>
  <c r="AI4599" i="1"/>
  <c r="AJ4599" i="1"/>
  <c r="AK4599" i="1" s="1"/>
  <c r="AI4591" i="1"/>
  <c r="AJ4591" i="1"/>
  <c r="AK4591" i="1" s="1"/>
  <c r="AI4583" i="1"/>
  <c r="AJ4583" i="1"/>
  <c r="AK4583" i="1" s="1"/>
  <c r="AJ4575" i="1"/>
  <c r="AK4575" i="1" s="1"/>
  <c r="AI4575" i="1"/>
  <c r="AJ4567" i="1"/>
  <c r="AK4567" i="1" s="1"/>
  <c r="AI4567" i="1"/>
  <c r="AJ4559" i="1"/>
  <c r="AK4559" i="1" s="1"/>
  <c r="AI4559" i="1"/>
  <c r="AI4551" i="1"/>
  <c r="AJ4551" i="1"/>
  <c r="AK4551" i="1" s="1"/>
  <c r="AJ4543" i="1"/>
  <c r="AK4543" i="1" s="1"/>
  <c r="AI4543" i="1"/>
  <c r="AJ4535" i="1"/>
  <c r="AK4535" i="1" s="1"/>
  <c r="AI4535" i="1"/>
  <c r="AI4527" i="1"/>
  <c r="AJ4527" i="1"/>
  <c r="AK4527" i="1" s="1"/>
  <c r="AI4519" i="1"/>
  <c r="AJ4519" i="1"/>
  <c r="AK4519" i="1" s="1"/>
  <c r="AI4511" i="1"/>
  <c r="AJ4511" i="1"/>
  <c r="AK4511" i="1" s="1"/>
  <c r="AJ4503" i="1"/>
  <c r="AK4503" i="1" s="1"/>
  <c r="AI4503" i="1"/>
  <c r="AI4495" i="1"/>
  <c r="AJ4495" i="1"/>
  <c r="AK4495" i="1" s="1"/>
  <c r="AI4487" i="1"/>
  <c r="AJ4487" i="1"/>
  <c r="AK4487" i="1" s="1"/>
  <c r="AI4479" i="1"/>
  <c r="AJ4479" i="1"/>
  <c r="AK4479" i="1" s="1"/>
  <c r="AI4471" i="1"/>
  <c r="AJ4471" i="1"/>
  <c r="AK4471" i="1" s="1"/>
  <c r="AJ4463" i="1"/>
  <c r="AK4463" i="1" s="1"/>
  <c r="AI4463" i="1"/>
  <c r="AJ4455" i="1"/>
  <c r="AK4455" i="1" s="1"/>
  <c r="AI4455" i="1"/>
  <c r="AI4447" i="1"/>
  <c r="AJ4447" i="1"/>
  <c r="AK4447" i="1" s="1"/>
  <c r="AI4439" i="1"/>
  <c r="AJ4439" i="1"/>
  <c r="AK4439" i="1" s="1"/>
  <c r="AI4431" i="1"/>
  <c r="AJ4431" i="1"/>
  <c r="AK4431" i="1" s="1"/>
  <c r="AI4423" i="1"/>
  <c r="AJ4423" i="1"/>
  <c r="AK4423" i="1" s="1"/>
  <c r="AI4415" i="1"/>
  <c r="AJ4415" i="1"/>
  <c r="AK4415" i="1" s="1"/>
  <c r="AJ4407" i="1"/>
  <c r="AK4407" i="1" s="1"/>
  <c r="AI4407" i="1"/>
  <c r="AI4399" i="1"/>
  <c r="AJ4399" i="1"/>
  <c r="AK4399" i="1" s="1"/>
  <c r="AI4391" i="1"/>
  <c r="AJ4391" i="1"/>
  <c r="AK4391" i="1" s="1"/>
  <c r="AI4383" i="1"/>
  <c r="AJ4383" i="1"/>
  <c r="AK4383" i="1" s="1"/>
  <c r="AI4375" i="1"/>
  <c r="AJ4375" i="1"/>
  <c r="AK4375" i="1" s="1"/>
  <c r="AJ4367" i="1"/>
  <c r="AK4367" i="1" s="1"/>
  <c r="AI4367" i="1"/>
  <c r="AI4359" i="1"/>
  <c r="AJ4359" i="1"/>
  <c r="AK4359" i="1" s="1"/>
  <c r="AI4351" i="1"/>
  <c r="AJ4351" i="1"/>
  <c r="AK4351" i="1" s="1"/>
  <c r="AI4343" i="1"/>
  <c r="AJ4343" i="1"/>
  <c r="AK4343" i="1" s="1"/>
  <c r="AJ4335" i="1"/>
  <c r="AK4335" i="1" s="1"/>
  <c r="AI4335" i="1"/>
  <c r="AJ4327" i="1"/>
  <c r="AK4327" i="1" s="1"/>
  <c r="AI4327" i="1"/>
  <c r="AI4319" i="1"/>
  <c r="AJ4319" i="1"/>
  <c r="AK4319" i="1" s="1"/>
  <c r="AJ4311" i="1"/>
  <c r="AK4311" i="1" s="1"/>
  <c r="AI4311" i="1"/>
  <c r="AI4303" i="1"/>
  <c r="AJ4303" i="1"/>
  <c r="AK4303" i="1" s="1"/>
  <c r="AJ4295" i="1"/>
  <c r="AK4295" i="1" s="1"/>
  <c r="AI4295" i="1"/>
  <c r="AI4287" i="1"/>
  <c r="AJ4287" i="1"/>
  <c r="AK4287" i="1" s="1"/>
  <c r="AI4279" i="1"/>
  <c r="AJ4279" i="1"/>
  <c r="AK4279" i="1" s="1"/>
  <c r="AI4271" i="1"/>
  <c r="AJ4271" i="1"/>
  <c r="AK4271" i="1" s="1"/>
  <c r="AI4263" i="1"/>
  <c r="AJ4263" i="1"/>
  <c r="AK4263" i="1" s="1"/>
  <c r="AI4255" i="1"/>
  <c r="AJ4255" i="1"/>
  <c r="AK4255" i="1" s="1"/>
  <c r="AI4247" i="1"/>
  <c r="AJ4247" i="1"/>
  <c r="AK4247" i="1" s="1"/>
  <c r="AI4239" i="1"/>
  <c r="AJ4239" i="1"/>
  <c r="AK4239" i="1" s="1"/>
  <c r="AI4231" i="1"/>
  <c r="AJ4231" i="1"/>
  <c r="AK4231" i="1" s="1"/>
  <c r="AI4223" i="1"/>
  <c r="AJ4223" i="1"/>
  <c r="AK4223" i="1" s="1"/>
  <c r="AI4215" i="1"/>
  <c r="AJ4215" i="1"/>
  <c r="AK4215" i="1" s="1"/>
  <c r="AI4207" i="1"/>
  <c r="AJ4207" i="1"/>
  <c r="AK4207" i="1" s="1"/>
  <c r="AI4199" i="1"/>
  <c r="AJ4199" i="1"/>
  <c r="AK4199" i="1" s="1"/>
  <c r="AI4191" i="1"/>
  <c r="AJ4191" i="1"/>
  <c r="AK4191" i="1" s="1"/>
  <c r="AI4183" i="1"/>
  <c r="AJ4183" i="1"/>
  <c r="AK4183" i="1" s="1"/>
  <c r="AI4175" i="1"/>
  <c r="AJ4175" i="1"/>
  <c r="AK4175" i="1" s="1"/>
  <c r="AJ4167" i="1"/>
  <c r="AK4167" i="1" s="1"/>
  <c r="AI4167" i="1"/>
  <c r="AI4159" i="1"/>
  <c r="AJ4159" i="1"/>
  <c r="AK4159" i="1" s="1"/>
  <c r="AI4151" i="1"/>
  <c r="AJ4151" i="1"/>
  <c r="AK4151" i="1" s="1"/>
  <c r="AI4143" i="1"/>
  <c r="AJ4143" i="1"/>
  <c r="AK4143" i="1" s="1"/>
  <c r="AI4135" i="1"/>
  <c r="AJ4135" i="1"/>
  <c r="AK4135" i="1" s="1"/>
  <c r="AJ4127" i="1"/>
  <c r="AK4127" i="1" s="1"/>
  <c r="AI4127" i="1"/>
  <c r="AI4119" i="1"/>
  <c r="AJ4119" i="1"/>
  <c r="AK4119" i="1" s="1"/>
  <c r="AI4111" i="1"/>
  <c r="AJ4111" i="1"/>
  <c r="AK4111" i="1" s="1"/>
  <c r="AI4103" i="1"/>
  <c r="AJ4103" i="1"/>
  <c r="AK4103" i="1" s="1"/>
  <c r="AI4095" i="1"/>
  <c r="AJ4095" i="1"/>
  <c r="AK4095" i="1" s="1"/>
  <c r="AI4087" i="1"/>
  <c r="AJ4087" i="1"/>
  <c r="AK4087" i="1" s="1"/>
  <c r="AI4079" i="1"/>
  <c r="AJ4079" i="1"/>
  <c r="AK4079" i="1" s="1"/>
  <c r="AI4071" i="1"/>
  <c r="AJ4071" i="1"/>
  <c r="AK4071" i="1" s="1"/>
  <c r="AI4063" i="1"/>
  <c r="AJ4063" i="1"/>
  <c r="AK4063" i="1" s="1"/>
  <c r="AI4055" i="1"/>
  <c r="AJ4055" i="1"/>
  <c r="AK4055" i="1" s="1"/>
  <c r="AJ4047" i="1"/>
  <c r="AK4047" i="1" s="1"/>
  <c r="AI4047" i="1"/>
  <c r="AI4039" i="1"/>
  <c r="AJ4039" i="1"/>
  <c r="AK4039" i="1" s="1"/>
  <c r="AI4031" i="1"/>
  <c r="AJ4031" i="1"/>
  <c r="AK4031" i="1" s="1"/>
  <c r="AI4023" i="1"/>
  <c r="AJ4023" i="1"/>
  <c r="AK4023" i="1" s="1"/>
  <c r="AI4015" i="1"/>
  <c r="AJ4015" i="1"/>
  <c r="AK4015" i="1" s="1"/>
  <c r="AB4004" i="1"/>
  <c r="AC4004" i="1" s="1"/>
  <c r="AI4999" i="1"/>
  <c r="AJ4976" i="1"/>
  <c r="AK4976" i="1" s="1"/>
  <c r="AI4920" i="1"/>
  <c r="AJ4947" i="1"/>
  <c r="AK4947" i="1" s="1"/>
  <c r="AI4989" i="1"/>
  <c r="AI4981" i="1"/>
  <c r="AJ4973" i="1"/>
  <c r="AK4973" i="1" s="1"/>
  <c r="AJ4965" i="1"/>
  <c r="AK4965" i="1" s="1"/>
  <c r="AI4949" i="1"/>
  <c r="AJ4949" i="1"/>
  <c r="AK4949" i="1" s="1"/>
  <c r="AI4941" i="1"/>
  <c r="AJ4941" i="1"/>
  <c r="AK4941" i="1" s="1"/>
  <c r="AJ4933" i="1"/>
  <c r="AK4933" i="1" s="1"/>
  <c r="AI4925" i="1"/>
  <c r="AJ4925" i="1"/>
  <c r="AK4925" i="1" s="1"/>
  <c r="AI4917" i="1"/>
  <c r="AJ4917" i="1"/>
  <c r="AK4917" i="1" s="1"/>
  <c r="AJ4909" i="1"/>
  <c r="AK4909" i="1" s="1"/>
  <c r="AI4909" i="1"/>
  <c r="AI4901" i="1"/>
  <c r="AJ4901" i="1"/>
  <c r="AK4901" i="1" s="1"/>
  <c r="AI4893" i="1"/>
  <c r="AJ4893" i="1"/>
  <c r="AK4893" i="1" s="1"/>
  <c r="AI4885" i="1"/>
  <c r="AJ4885" i="1"/>
  <c r="AK4885" i="1" s="1"/>
  <c r="AI4877" i="1"/>
  <c r="AJ4877" i="1"/>
  <c r="AK4877" i="1" s="1"/>
  <c r="AI4869" i="1"/>
  <c r="AJ4869" i="1"/>
  <c r="AK4869" i="1" s="1"/>
  <c r="AI4861" i="1"/>
  <c r="AJ4861" i="1"/>
  <c r="AK4861" i="1" s="1"/>
  <c r="AI4853" i="1"/>
  <c r="AJ4853" i="1"/>
  <c r="AK4853" i="1" s="1"/>
  <c r="AI4845" i="1"/>
  <c r="AJ4845" i="1"/>
  <c r="AK4845" i="1" s="1"/>
  <c r="AI4837" i="1"/>
  <c r="AJ4837" i="1"/>
  <c r="AK4837" i="1" s="1"/>
  <c r="AJ4829" i="1"/>
  <c r="AK4829" i="1" s="1"/>
  <c r="AI4829" i="1"/>
  <c r="AJ4821" i="1"/>
  <c r="AK4821" i="1" s="1"/>
  <c r="AI4821" i="1"/>
  <c r="AJ4813" i="1"/>
  <c r="AK4813" i="1" s="1"/>
  <c r="AI4813" i="1"/>
  <c r="AI4805" i="1"/>
  <c r="AJ4805" i="1"/>
  <c r="AK4805" i="1" s="1"/>
  <c r="AI4797" i="1"/>
  <c r="AJ4797" i="1"/>
  <c r="AK4797" i="1" s="1"/>
  <c r="AI4789" i="1"/>
  <c r="AJ4789" i="1"/>
  <c r="AK4789" i="1" s="1"/>
  <c r="AI4781" i="1"/>
  <c r="AJ4781" i="1"/>
  <c r="AK4781" i="1" s="1"/>
  <c r="AI4773" i="1"/>
  <c r="AJ4773" i="1"/>
  <c r="AK4773" i="1" s="1"/>
  <c r="AI4765" i="1"/>
  <c r="AJ4765" i="1"/>
  <c r="AK4765" i="1" s="1"/>
  <c r="AI4757" i="1"/>
  <c r="AJ4757" i="1"/>
  <c r="AK4757" i="1" s="1"/>
  <c r="AI4749" i="1"/>
  <c r="AJ4749" i="1"/>
  <c r="AK4749" i="1" s="1"/>
  <c r="AI4741" i="1"/>
  <c r="AJ4741" i="1"/>
  <c r="AK4741" i="1" s="1"/>
  <c r="AI4733" i="1"/>
  <c r="AJ4733" i="1"/>
  <c r="AK4733" i="1" s="1"/>
  <c r="AI4725" i="1"/>
  <c r="AJ4725" i="1"/>
  <c r="AK4725" i="1" s="1"/>
  <c r="AJ4717" i="1"/>
  <c r="AK4717" i="1" s="1"/>
  <c r="AI4717" i="1"/>
  <c r="AI4709" i="1"/>
  <c r="AJ4709" i="1"/>
  <c r="AK4709" i="1" s="1"/>
  <c r="AJ4701" i="1"/>
  <c r="AK4701" i="1" s="1"/>
  <c r="AI4701" i="1"/>
  <c r="AI4693" i="1"/>
  <c r="AJ4693" i="1"/>
  <c r="AK4693" i="1" s="1"/>
  <c r="AI4685" i="1"/>
  <c r="AJ4685" i="1"/>
  <c r="AK4685" i="1" s="1"/>
  <c r="AI4677" i="1"/>
  <c r="AJ4677" i="1"/>
  <c r="AK4677" i="1" s="1"/>
  <c r="AI4669" i="1"/>
  <c r="AJ4669" i="1"/>
  <c r="AK4669" i="1" s="1"/>
  <c r="AI4661" i="1"/>
  <c r="AJ4661" i="1"/>
  <c r="AK4661" i="1" s="1"/>
  <c r="AI4653" i="1"/>
  <c r="AJ4653" i="1"/>
  <c r="AK4653" i="1" s="1"/>
  <c r="AJ4645" i="1"/>
  <c r="AK4645" i="1" s="1"/>
  <c r="AI4645" i="1"/>
  <c r="AI4637" i="1"/>
  <c r="AJ4637" i="1"/>
  <c r="AK4637" i="1" s="1"/>
  <c r="AI4629" i="1"/>
  <c r="AJ4629" i="1"/>
  <c r="AK4629" i="1" s="1"/>
  <c r="AI4621" i="1"/>
  <c r="AJ4621" i="1"/>
  <c r="AK4621" i="1" s="1"/>
  <c r="AI4613" i="1"/>
  <c r="AJ4613" i="1"/>
  <c r="AK4613" i="1" s="1"/>
  <c r="AJ4605" i="1"/>
  <c r="AK4605" i="1" s="1"/>
  <c r="AI4605" i="1"/>
  <c r="AI4597" i="1"/>
  <c r="AJ4597" i="1"/>
  <c r="AK4597" i="1" s="1"/>
  <c r="AI4589" i="1"/>
  <c r="AJ4589" i="1"/>
  <c r="AK4589" i="1" s="1"/>
  <c r="AI4581" i="1"/>
  <c r="AJ4581" i="1"/>
  <c r="AK4581" i="1" s="1"/>
  <c r="AJ4573" i="1"/>
  <c r="AK4573" i="1" s="1"/>
  <c r="AI4573" i="1"/>
  <c r="AI4565" i="1"/>
  <c r="AJ4565" i="1"/>
  <c r="AK4565" i="1" s="1"/>
  <c r="AJ4557" i="1"/>
  <c r="AK4557" i="1" s="1"/>
  <c r="AI4557" i="1"/>
  <c r="AI4549" i="1"/>
  <c r="AJ4549" i="1"/>
  <c r="AK4549" i="1" s="1"/>
  <c r="AI4541" i="1"/>
  <c r="AJ4541" i="1"/>
  <c r="AK4541" i="1" s="1"/>
  <c r="AJ4533" i="1"/>
  <c r="AK4533" i="1" s="1"/>
  <c r="AI4533" i="1"/>
  <c r="AJ4525" i="1"/>
  <c r="AK4525" i="1" s="1"/>
  <c r="AI4525" i="1"/>
  <c r="AI4517" i="1"/>
  <c r="AJ4517" i="1"/>
  <c r="AK4517" i="1" s="1"/>
  <c r="AI4509" i="1"/>
  <c r="AJ4509" i="1"/>
  <c r="AK4509" i="1" s="1"/>
  <c r="AI4501" i="1"/>
  <c r="AJ4501" i="1"/>
  <c r="AK4501" i="1" s="1"/>
  <c r="AI4493" i="1"/>
  <c r="AJ4493" i="1"/>
  <c r="AK4493" i="1" s="1"/>
  <c r="AJ4485" i="1"/>
  <c r="AK4485" i="1" s="1"/>
  <c r="AI4485" i="1"/>
  <c r="AI4477" i="1"/>
  <c r="AJ4477" i="1"/>
  <c r="AK4477" i="1" s="1"/>
  <c r="AI4469" i="1"/>
  <c r="AJ4469" i="1"/>
  <c r="AK4469" i="1" s="1"/>
  <c r="AI4461" i="1"/>
  <c r="AJ4461" i="1"/>
  <c r="AK4461" i="1" s="1"/>
  <c r="AI4453" i="1"/>
  <c r="AJ4453" i="1"/>
  <c r="AK4453" i="1" s="1"/>
  <c r="AJ4445" i="1"/>
  <c r="AK4445" i="1" s="1"/>
  <c r="AI4445" i="1"/>
  <c r="AI4437" i="1"/>
  <c r="AJ4437" i="1"/>
  <c r="AK4437" i="1" s="1"/>
  <c r="AI4429" i="1"/>
  <c r="AJ4429" i="1"/>
  <c r="AK4429" i="1" s="1"/>
  <c r="AJ4421" i="1"/>
  <c r="AK4421" i="1" s="1"/>
  <c r="AI4421" i="1"/>
  <c r="AI4413" i="1"/>
  <c r="AJ4413" i="1"/>
  <c r="AK4413" i="1" s="1"/>
  <c r="AI4405" i="1"/>
  <c r="AJ4405" i="1"/>
  <c r="AK4405" i="1" s="1"/>
  <c r="AJ4397" i="1"/>
  <c r="AK4397" i="1" s="1"/>
  <c r="AI4397" i="1"/>
  <c r="AI4389" i="1"/>
  <c r="AJ4389" i="1"/>
  <c r="AK4389" i="1" s="1"/>
  <c r="AI4381" i="1"/>
  <c r="AJ4381" i="1"/>
  <c r="AK4381" i="1" s="1"/>
  <c r="AI4373" i="1"/>
  <c r="AJ4373" i="1"/>
  <c r="AK4373" i="1" s="1"/>
  <c r="AI4365" i="1"/>
  <c r="AJ4365" i="1"/>
  <c r="AK4365" i="1" s="1"/>
  <c r="AI4357" i="1"/>
  <c r="AJ4357" i="1"/>
  <c r="AK4357" i="1" s="1"/>
  <c r="AJ4349" i="1"/>
  <c r="AK4349" i="1" s="1"/>
  <c r="AI4349" i="1"/>
  <c r="AI4341" i="1"/>
  <c r="AJ4341" i="1"/>
  <c r="AK4341" i="1" s="1"/>
  <c r="AJ4333" i="1"/>
  <c r="AK4333" i="1" s="1"/>
  <c r="AI4333" i="1"/>
  <c r="AI4325" i="1"/>
  <c r="AJ4325" i="1"/>
  <c r="AK4325" i="1" s="1"/>
  <c r="AI4317" i="1"/>
  <c r="AJ4317" i="1"/>
  <c r="AK4317" i="1" s="1"/>
  <c r="AI4309" i="1"/>
  <c r="AJ4309" i="1"/>
  <c r="AK4309" i="1" s="1"/>
  <c r="AI4301" i="1"/>
  <c r="AJ4301" i="1"/>
  <c r="AK4301" i="1" s="1"/>
  <c r="AI4293" i="1"/>
  <c r="AJ4293" i="1"/>
  <c r="AK4293" i="1" s="1"/>
  <c r="AI4285" i="1"/>
  <c r="AJ4285" i="1"/>
  <c r="AK4285" i="1" s="1"/>
  <c r="AJ4277" i="1"/>
  <c r="AK4277" i="1" s="1"/>
  <c r="AI4277" i="1"/>
  <c r="AI4269" i="1"/>
  <c r="AJ4269" i="1"/>
  <c r="AK4269" i="1" s="1"/>
  <c r="AJ4261" i="1"/>
  <c r="AK4261" i="1" s="1"/>
  <c r="AI4261" i="1"/>
  <c r="AI4253" i="1"/>
  <c r="AJ4253" i="1"/>
  <c r="AK4253" i="1" s="1"/>
  <c r="AI4245" i="1"/>
  <c r="AJ4245" i="1"/>
  <c r="AK4245" i="1" s="1"/>
  <c r="AI4237" i="1"/>
  <c r="AJ4237" i="1"/>
  <c r="AK4237" i="1" s="1"/>
  <c r="AI4229" i="1"/>
  <c r="AJ4229" i="1"/>
  <c r="AK4229" i="1" s="1"/>
  <c r="AI4221" i="1"/>
  <c r="AJ4221" i="1"/>
  <c r="AK4221" i="1" s="1"/>
  <c r="AI4213" i="1"/>
  <c r="AJ4213" i="1"/>
  <c r="AK4213" i="1" s="1"/>
  <c r="AI4205" i="1"/>
  <c r="AJ4205" i="1"/>
  <c r="AK4205" i="1" s="1"/>
  <c r="AI4197" i="1"/>
  <c r="AJ4197" i="1"/>
  <c r="AK4197" i="1" s="1"/>
  <c r="AI4189" i="1"/>
  <c r="AJ4189" i="1"/>
  <c r="AK4189" i="1" s="1"/>
  <c r="AI4181" i="1"/>
  <c r="AJ4181" i="1"/>
  <c r="AK4181" i="1" s="1"/>
  <c r="AJ4173" i="1"/>
  <c r="AK4173" i="1" s="1"/>
  <c r="AI4173" i="1"/>
  <c r="AI4165" i="1"/>
  <c r="AJ4165" i="1"/>
  <c r="AK4165" i="1" s="1"/>
  <c r="AI4157" i="1"/>
  <c r="AJ4157" i="1"/>
  <c r="AK4157" i="1" s="1"/>
  <c r="AI4149" i="1"/>
  <c r="AJ4149" i="1"/>
  <c r="AK4149" i="1" s="1"/>
  <c r="AI4141" i="1"/>
  <c r="AJ4141" i="1"/>
  <c r="AK4141" i="1" s="1"/>
  <c r="AJ4133" i="1"/>
  <c r="AK4133" i="1" s="1"/>
  <c r="AI4133" i="1"/>
  <c r="AI4125" i="1"/>
  <c r="AJ4125" i="1"/>
  <c r="AK4125" i="1" s="1"/>
  <c r="AI4117" i="1"/>
  <c r="AJ4117" i="1"/>
  <c r="AK4117" i="1" s="1"/>
  <c r="AI4109" i="1"/>
  <c r="AJ4109" i="1"/>
  <c r="AK4109" i="1" s="1"/>
  <c r="AI4101" i="1"/>
  <c r="AJ4101" i="1"/>
  <c r="AK4101" i="1" s="1"/>
  <c r="AI4093" i="1"/>
  <c r="AJ4093" i="1"/>
  <c r="AK4093" i="1" s="1"/>
  <c r="AI4085" i="1"/>
  <c r="AJ4085" i="1"/>
  <c r="AK4085" i="1" s="1"/>
  <c r="AI4077" i="1"/>
  <c r="AJ4077" i="1"/>
  <c r="AK4077" i="1" s="1"/>
  <c r="AI4069" i="1"/>
  <c r="AJ4069" i="1"/>
  <c r="AK4069" i="1" s="1"/>
  <c r="AI4061" i="1"/>
  <c r="AJ4061" i="1"/>
  <c r="AK4061" i="1" s="1"/>
  <c r="AJ4053" i="1"/>
  <c r="AK4053" i="1" s="1"/>
  <c r="AI4053" i="1"/>
  <c r="AI4045" i="1"/>
  <c r="AJ4045" i="1"/>
  <c r="AK4045" i="1" s="1"/>
  <c r="AI4037" i="1"/>
  <c r="AJ4037" i="1"/>
  <c r="AK4037" i="1" s="1"/>
  <c r="AI4029" i="1"/>
  <c r="AJ4029" i="1"/>
  <c r="AK4029" i="1" s="1"/>
  <c r="AI4021" i="1"/>
  <c r="AJ4021" i="1"/>
  <c r="AK4021" i="1" s="1"/>
  <c r="AI4013" i="1"/>
  <c r="AJ4013" i="1"/>
  <c r="AK4013" i="1" s="1"/>
  <c r="AJ4997" i="1"/>
  <c r="AK4997" i="1" s="1"/>
  <c r="AJ4991" i="1"/>
  <c r="AK4991" i="1" s="1"/>
  <c r="AJ4959" i="1"/>
  <c r="AK4959" i="1" s="1"/>
  <c r="AJ4957" i="1"/>
  <c r="AK4957" i="1" s="1"/>
  <c r="AI4996" i="1"/>
  <c r="AI4988" i="1"/>
  <c r="AJ4980" i="1"/>
  <c r="AK4980" i="1" s="1"/>
  <c r="AJ4972" i="1"/>
  <c r="AK4972" i="1" s="1"/>
  <c r="AI4956" i="1"/>
  <c r="AI4948" i="1"/>
  <c r="AJ4940" i="1"/>
  <c r="AK4940" i="1" s="1"/>
  <c r="AI4932" i="1"/>
  <c r="AI4924" i="1"/>
  <c r="AJ4916" i="1"/>
  <c r="AK4916" i="1" s="1"/>
  <c r="AI4908" i="1"/>
  <c r="AI4900" i="1"/>
  <c r="AI4892" i="1"/>
  <c r="AI4884" i="1"/>
  <c r="AI4876" i="1"/>
  <c r="AJ4860" i="1"/>
  <c r="AK4860" i="1" s="1"/>
  <c r="AJ4852" i="1"/>
  <c r="AK4852" i="1" s="1"/>
  <c r="AI4844" i="1"/>
  <c r="AI4820" i="1"/>
  <c r="AJ4804" i="1"/>
  <c r="AK4804" i="1" s="1"/>
  <c r="AJ4984" i="1"/>
  <c r="AK4984" i="1" s="1"/>
  <c r="AJ4951" i="1"/>
  <c r="AK4951" i="1" s="1"/>
  <c r="AI4995" i="1"/>
  <c r="AJ4995" i="1"/>
  <c r="AK4995" i="1" s="1"/>
  <c r="AI4979" i="1"/>
  <c r="AI4971" i="1"/>
  <c r="AJ4963" i="1"/>
  <c r="AK4963" i="1" s="1"/>
  <c r="AI4963" i="1"/>
  <c r="AJ4955" i="1"/>
  <c r="AK4955" i="1" s="1"/>
  <c r="AI4939" i="1"/>
  <c r="AJ4939" i="1"/>
  <c r="AK4939" i="1" s="1"/>
  <c r="AI4931" i="1"/>
  <c r="AJ4931" i="1"/>
  <c r="AK4931" i="1" s="1"/>
  <c r="AJ4923" i="1"/>
  <c r="AK4923" i="1" s="1"/>
  <c r="AI4915" i="1"/>
  <c r="AJ4915" i="1"/>
  <c r="AK4915" i="1" s="1"/>
  <c r="AI4907" i="1"/>
  <c r="AJ4907" i="1"/>
  <c r="AK4907" i="1" s="1"/>
  <c r="AJ4899" i="1"/>
  <c r="AK4899" i="1" s="1"/>
  <c r="AI4899" i="1"/>
  <c r="AI4891" i="1"/>
  <c r="AJ4891" i="1"/>
  <c r="AK4891" i="1" s="1"/>
  <c r="AJ4883" i="1"/>
  <c r="AK4883" i="1" s="1"/>
  <c r="AI4883" i="1"/>
  <c r="AI4875" i="1"/>
  <c r="AJ4875" i="1"/>
  <c r="AK4875" i="1" s="1"/>
  <c r="AI4867" i="1"/>
  <c r="AJ4867" i="1"/>
  <c r="AK4867" i="1" s="1"/>
  <c r="AI4859" i="1"/>
  <c r="AJ4859" i="1"/>
  <c r="AK4859" i="1" s="1"/>
  <c r="AI4851" i="1"/>
  <c r="AJ4851" i="1"/>
  <c r="AK4851" i="1" s="1"/>
  <c r="AI4843" i="1"/>
  <c r="AJ4843" i="1"/>
  <c r="AK4843" i="1" s="1"/>
  <c r="AJ4835" i="1"/>
  <c r="AK4835" i="1" s="1"/>
  <c r="AI4835" i="1"/>
  <c r="AI4827" i="1"/>
  <c r="AJ4827" i="1"/>
  <c r="AK4827" i="1" s="1"/>
  <c r="AI4819" i="1"/>
  <c r="AJ4819" i="1"/>
  <c r="AK4819" i="1" s="1"/>
  <c r="AJ4811" i="1"/>
  <c r="AK4811" i="1" s="1"/>
  <c r="AI4811" i="1"/>
  <c r="AI4803" i="1"/>
  <c r="AJ4803" i="1"/>
  <c r="AK4803" i="1" s="1"/>
  <c r="AI4795" i="1"/>
  <c r="AJ4795" i="1"/>
  <c r="AK4795" i="1" s="1"/>
  <c r="AI4787" i="1"/>
  <c r="AJ4787" i="1"/>
  <c r="AK4787" i="1" s="1"/>
  <c r="AI4779" i="1"/>
  <c r="AJ4779" i="1"/>
  <c r="AK4779" i="1" s="1"/>
  <c r="AJ4771" i="1"/>
  <c r="AK4771" i="1" s="1"/>
  <c r="AI4771" i="1"/>
  <c r="AI4763" i="1"/>
  <c r="AJ4763" i="1"/>
  <c r="AK4763" i="1" s="1"/>
  <c r="AI4755" i="1"/>
  <c r="AJ4755" i="1"/>
  <c r="AK4755" i="1" s="1"/>
  <c r="AI4747" i="1"/>
  <c r="AJ4747" i="1"/>
  <c r="AK4747" i="1" s="1"/>
  <c r="AI4739" i="1"/>
  <c r="AJ4739" i="1"/>
  <c r="AK4739" i="1" s="1"/>
  <c r="AI4731" i="1"/>
  <c r="AJ4731" i="1"/>
  <c r="AK4731" i="1" s="1"/>
  <c r="AJ4723" i="1"/>
  <c r="AK4723" i="1" s="1"/>
  <c r="AI4723" i="1"/>
  <c r="AI4715" i="1"/>
  <c r="AJ4715" i="1"/>
  <c r="AK4715" i="1" s="1"/>
  <c r="AI4707" i="1"/>
  <c r="AJ4707" i="1"/>
  <c r="AK4707" i="1" s="1"/>
  <c r="AI4699" i="1"/>
  <c r="AJ4699" i="1"/>
  <c r="AK4699" i="1" s="1"/>
  <c r="AJ4691" i="1"/>
  <c r="AK4691" i="1" s="1"/>
  <c r="AI4691" i="1"/>
  <c r="AI4683" i="1"/>
  <c r="AJ4683" i="1"/>
  <c r="AK4683" i="1" s="1"/>
  <c r="AJ4675" i="1"/>
  <c r="AK4675" i="1" s="1"/>
  <c r="AI4675" i="1"/>
  <c r="AI4667" i="1"/>
  <c r="AJ4667" i="1"/>
  <c r="AK4667" i="1" s="1"/>
  <c r="AI4659" i="1"/>
  <c r="AJ4659" i="1"/>
  <c r="AK4659" i="1" s="1"/>
  <c r="AI4651" i="1"/>
  <c r="AJ4651" i="1"/>
  <c r="AK4651" i="1" s="1"/>
  <c r="AI4643" i="1"/>
  <c r="AJ4643" i="1"/>
  <c r="AK4643" i="1" s="1"/>
  <c r="AI4635" i="1"/>
  <c r="AJ4635" i="1"/>
  <c r="AK4635" i="1" s="1"/>
  <c r="AI4627" i="1"/>
  <c r="AJ4627" i="1"/>
  <c r="AK4627" i="1" s="1"/>
  <c r="AI4619" i="1"/>
  <c r="AJ4619" i="1"/>
  <c r="AK4619" i="1" s="1"/>
  <c r="AI4611" i="1"/>
  <c r="AJ4611" i="1"/>
  <c r="AK4611" i="1" s="1"/>
  <c r="AI4603" i="1"/>
  <c r="AJ4603" i="1"/>
  <c r="AK4603" i="1" s="1"/>
  <c r="AI4595" i="1"/>
  <c r="AJ4595" i="1"/>
  <c r="AK4595" i="1" s="1"/>
  <c r="AJ4587" i="1"/>
  <c r="AK4587" i="1" s="1"/>
  <c r="AI4587" i="1"/>
  <c r="AI4579" i="1"/>
  <c r="AJ4579" i="1"/>
  <c r="AK4579" i="1" s="1"/>
  <c r="AI4571" i="1"/>
  <c r="AJ4571" i="1"/>
  <c r="AK4571" i="1" s="1"/>
  <c r="AI4563" i="1"/>
  <c r="AJ4563" i="1"/>
  <c r="AK4563" i="1" s="1"/>
  <c r="AJ4555" i="1"/>
  <c r="AK4555" i="1" s="1"/>
  <c r="AI4555" i="1"/>
  <c r="AI4547" i="1"/>
  <c r="AJ4547" i="1"/>
  <c r="AK4547" i="1" s="1"/>
  <c r="AI4539" i="1"/>
  <c r="AJ4539" i="1"/>
  <c r="AK4539" i="1" s="1"/>
  <c r="AI4531" i="1"/>
  <c r="AJ4531" i="1"/>
  <c r="AK4531" i="1" s="1"/>
  <c r="AI4523" i="1"/>
  <c r="AJ4523" i="1"/>
  <c r="AK4523" i="1" s="1"/>
  <c r="AJ4515" i="1"/>
  <c r="AK4515" i="1" s="1"/>
  <c r="AI4515" i="1"/>
  <c r="AI4507" i="1"/>
  <c r="AJ4507" i="1"/>
  <c r="AK4507" i="1" s="1"/>
  <c r="AI4499" i="1"/>
  <c r="AJ4499" i="1"/>
  <c r="AK4499" i="1" s="1"/>
  <c r="AI4491" i="1"/>
  <c r="AJ4491" i="1"/>
  <c r="AK4491" i="1" s="1"/>
  <c r="AJ4483" i="1"/>
  <c r="AK4483" i="1" s="1"/>
  <c r="AI4483" i="1"/>
  <c r="AJ4475" i="1"/>
  <c r="AK4475" i="1" s="1"/>
  <c r="AI4475" i="1"/>
  <c r="AI4467" i="1"/>
  <c r="AJ4467" i="1"/>
  <c r="AK4467" i="1" s="1"/>
  <c r="AI4459" i="1"/>
  <c r="AJ4459" i="1"/>
  <c r="AK4459" i="1" s="1"/>
  <c r="AI4451" i="1"/>
  <c r="AJ4451" i="1"/>
  <c r="AK4451" i="1" s="1"/>
  <c r="AI4443" i="1"/>
  <c r="AJ4443" i="1"/>
  <c r="AK4443" i="1" s="1"/>
  <c r="AI4435" i="1"/>
  <c r="AJ4435" i="1"/>
  <c r="AK4435" i="1" s="1"/>
  <c r="AI4427" i="1"/>
  <c r="AJ4427" i="1"/>
  <c r="AK4427" i="1" s="1"/>
  <c r="AI4419" i="1"/>
  <c r="AJ4419" i="1"/>
  <c r="AK4419" i="1" s="1"/>
  <c r="AI4411" i="1"/>
  <c r="AJ4411" i="1"/>
  <c r="AK4411" i="1" s="1"/>
  <c r="AI4403" i="1"/>
  <c r="AJ4403" i="1"/>
  <c r="AK4403" i="1" s="1"/>
  <c r="AI4395" i="1"/>
  <c r="AJ4395" i="1"/>
  <c r="AK4395" i="1" s="1"/>
  <c r="AJ4387" i="1"/>
  <c r="AK4387" i="1" s="1"/>
  <c r="AI4387" i="1"/>
  <c r="AI4379" i="1"/>
  <c r="AJ4379" i="1"/>
  <c r="AK4379" i="1" s="1"/>
  <c r="AI4371" i="1"/>
  <c r="AJ4371" i="1"/>
  <c r="AK4371" i="1" s="1"/>
  <c r="AI4363" i="1"/>
  <c r="AJ4363" i="1"/>
  <c r="AK4363" i="1" s="1"/>
  <c r="AI4355" i="1"/>
  <c r="AJ4355" i="1"/>
  <c r="AK4355" i="1" s="1"/>
  <c r="AI4347" i="1"/>
  <c r="AJ4347" i="1"/>
  <c r="AK4347" i="1" s="1"/>
  <c r="AI4339" i="1"/>
  <c r="AJ4339" i="1"/>
  <c r="AK4339" i="1" s="1"/>
  <c r="AI4331" i="1"/>
  <c r="AJ4331" i="1"/>
  <c r="AK4331" i="1" s="1"/>
  <c r="AI4323" i="1"/>
  <c r="AJ4323" i="1"/>
  <c r="AK4323" i="1" s="1"/>
  <c r="AI4315" i="1"/>
  <c r="AJ4315" i="1"/>
  <c r="AK4315" i="1" s="1"/>
  <c r="AI4307" i="1"/>
  <c r="AJ4307" i="1"/>
  <c r="AK4307" i="1" s="1"/>
  <c r="AJ4299" i="1"/>
  <c r="AK4299" i="1" s="1"/>
  <c r="AI4299" i="1"/>
  <c r="AI4291" i="1"/>
  <c r="AJ4291" i="1"/>
  <c r="AK4291" i="1" s="1"/>
  <c r="AJ4283" i="1"/>
  <c r="AK4283" i="1" s="1"/>
  <c r="AI4283" i="1"/>
  <c r="AI4275" i="1"/>
  <c r="AJ4275" i="1"/>
  <c r="AK4275" i="1" s="1"/>
  <c r="AJ4267" i="1"/>
  <c r="AK4267" i="1" s="1"/>
  <c r="AI4267" i="1"/>
  <c r="AI4259" i="1"/>
  <c r="AJ4259" i="1"/>
  <c r="AK4259" i="1" s="1"/>
  <c r="AI4251" i="1"/>
  <c r="AJ4251" i="1"/>
  <c r="AK4251" i="1" s="1"/>
  <c r="AI4243" i="1"/>
  <c r="AJ4243" i="1"/>
  <c r="AK4243" i="1" s="1"/>
  <c r="AI4235" i="1"/>
  <c r="AJ4235" i="1"/>
  <c r="AK4235" i="1" s="1"/>
  <c r="AI4227" i="1"/>
  <c r="AJ4227" i="1"/>
  <c r="AK4227" i="1" s="1"/>
  <c r="AJ4219" i="1"/>
  <c r="AK4219" i="1" s="1"/>
  <c r="AI4219" i="1"/>
  <c r="AI4211" i="1"/>
  <c r="AJ4211" i="1"/>
  <c r="AK4211" i="1" s="1"/>
  <c r="AI4203" i="1"/>
  <c r="AJ4203" i="1"/>
  <c r="AK4203" i="1" s="1"/>
  <c r="AI4195" i="1"/>
  <c r="AJ4195" i="1"/>
  <c r="AK4195" i="1" s="1"/>
  <c r="AI4187" i="1"/>
  <c r="AJ4187" i="1"/>
  <c r="AK4187" i="1" s="1"/>
  <c r="AJ4179" i="1"/>
  <c r="AK4179" i="1" s="1"/>
  <c r="AI4179" i="1"/>
  <c r="AI4171" i="1"/>
  <c r="AJ4171" i="1"/>
  <c r="AK4171" i="1" s="1"/>
  <c r="AI4163" i="1"/>
  <c r="AJ4163" i="1"/>
  <c r="AK4163" i="1" s="1"/>
  <c r="AI4155" i="1"/>
  <c r="AJ4155" i="1"/>
  <c r="AK4155" i="1" s="1"/>
  <c r="AI4147" i="1"/>
  <c r="AJ4147" i="1"/>
  <c r="AK4147" i="1" s="1"/>
  <c r="AJ4139" i="1"/>
  <c r="AK4139" i="1" s="1"/>
  <c r="AI4139" i="1"/>
  <c r="AJ4131" i="1"/>
  <c r="AK4131" i="1" s="1"/>
  <c r="AI4131" i="1"/>
  <c r="AI4123" i="1"/>
  <c r="AJ4123" i="1"/>
  <c r="AK4123" i="1" s="1"/>
  <c r="AI4115" i="1"/>
  <c r="AJ4115" i="1"/>
  <c r="AK4115" i="1" s="1"/>
  <c r="AI4107" i="1"/>
  <c r="AJ4107" i="1"/>
  <c r="AK4107" i="1" s="1"/>
  <c r="AI4099" i="1"/>
  <c r="AJ4099" i="1"/>
  <c r="AK4099" i="1" s="1"/>
  <c r="AI4091" i="1"/>
  <c r="AJ4091" i="1"/>
  <c r="AK4091" i="1" s="1"/>
  <c r="AI4083" i="1"/>
  <c r="AJ4083" i="1"/>
  <c r="AK4083" i="1" s="1"/>
  <c r="AI4075" i="1"/>
  <c r="AJ4075" i="1"/>
  <c r="AK4075" i="1" s="1"/>
  <c r="AI4067" i="1"/>
  <c r="AJ4067" i="1"/>
  <c r="AK4067" i="1" s="1"/>
  <c r="AJ4059" i="1"/>
  <c r="AK4059" i="1" s="1"/>
  <c r="AI4059" i="1"/>
  <c r="AI4051" i="1"/>
  <c r="AJ4051" i="1"/>
  <c r="AK4051" i="1" s="1"/>
  <c r="AI4043" i="1"/>
  <c r="AJ4043" i="1"/>
  <c r="AK4043" i="1" s="1"/>
  <c r="AI4035" i="1"/>
  <c r="AJ4035" i="1"/>
  <c r="AK4035" i="1" s="1"/>
  <c r="AI4027" i="1"/>
  <c r="AJ4027" i="1"/>
  <c r="AK4027" i="1" s="1"/>
  <c r="AI4019" i="1"/>
  <c r="AJ4019" i="1"/>
  <c r="AK4019" i="1" s="1"/>
  <c r="AI4011" i="1"/>
  <c r="AJ4011" i="1"/>
  <c r="AK4011" i="1" s="1"/>
  <c r="AJ4968" i="1"/>
  <c r="AK4968" i="1" s="1"/>
  <c r="AI4986" i="1"/>
  <c r="AI4978" i="1"/>
  <c r="AJ4970" i="1"/>
  <c r="AK4970" i="1" s="1"/>
  <c r="AJ4962" i="1"/>
  <c r="AK4962" i="1" s="1"/>
  <c r="AI4946" i="1"/>
  <c r="AJ4946" i="1"/>
  <c r="AK4946" i="1" s="1"/>
  <c r="AI4938" i="1"/>
  <c r="AJ4938" i="1"/>
  <c r="AK4938" i="1" s="1"/>
  <c r="AJ4930" i="1"/>
  <c r="AK4930" i="1" s="1"/>
  <c r="AI4922" i="1"/>
  <c r="AJ4922" i="1"/>
  <c r="AK4922" i="1" s="1"/>
  <c r="AI4914" i="1"/>
  <c r="AJ4914" i="1"/>
  <c r="AK4914" i="1" s="1"/>
  <c r="AJ4906" i="1"/>
  <c r="AK4906" i="1" s="1"/>
  <c r="AI4906" i="1"/>
  <c r="AI4898" i="1"/>
  <c r="AJ4898" i="1"/>
  <c r="AK4898" i="1" s="1"/>
  <c r="AI4890" i="1"/>
  <c r="AJ4890" i="1"/>
  <c r="AK4890" i="1" s="1"/>
  <c r="AI4882" i="1"/>
  <c r="AJ4882" i="1"/>
  <c r="AK4882" i="1" s="1"/>
  <c r="AI4874" i="1"/>
  <c r="AJ4874" i="1"/>
  <c r="AK4874" i="1" s="1"/>
  <c r="AI4866" i="1"/>
  <c r="AJ4866" i="1"/>
  <c r="AK4866" i="1" s="1"/>
  <c r="AI4858" i="1"/>
  <c r="AJ4858" i="1"/>
  <c r="AK4858" i="1" s="1"/>
  <c r="AJ4850" i="1"/>
  <c r="AK4850" i="1" s="1"/>
  <c r="AI4850" i="1"/>
  <c r="AJ4842" i="1"/>
  <c r="AK4842" i="1" s="1"/>
  <c r="AI4842" i="1"/>
  <c r="AJ4834" i="1"/>
  <c r="AK4834" i="1" s="1"/>
  <c r="AI4834" i="1"/>
  <c r="AJ4826" i="1"/>
  <c r="AK4826" i="1" s="1"/>
  <c r="AI4826" i="1"/>
  <c r="AJ4818" i="1"/>
  <c r="AK4818" i="1" s="1"/>
  <c r="AI4818" i="1"/>
  <c r="AJ4810" i="1"/>
  <c r="AK4810" i="1" s="1"/>
  <c r="AI4810" i="1"/>
  <c r="AI4802" i="1"/>
  <c r="AJ4802" i="1"/>
  <c r="AK4802" i="1" s="1"/>
  <c r="AI4794" i="1"/>
  <c r="AJ4794" i="1"/>
  <c r="AK4794" i="1" s="1"/>
  <c r="AJ4786" i="1"/>
  <c r="AK4786" i="1" s="1"/>
  <c r="AI4786" i="1"/>
  <c r="AI4778" i="1"/>
  <c r="AJ4778" i="1"/>
  <c r="AK4778" i="1" s="1"/>
  <c r="AI4770" i="1"/>
  <c r="AJ4770" i="1"/>
  <c r="AK4770" i="1" s="1"/>
  <c r="AI4762" i="1"/>
  <c r="AJ4762" i="1"/>
  <c r="AK4762" i="1" s="1"/>
  <c r="AI4754" i="1"/>
  <c r="AJ4754" i="1"/>
  <c r="AK4754" i="1" s="1"/>
  <c r="AI4746" i="1"/>
  <c r="AJ4746" i="1"/>
  <c r="AK4746" i="1" s="1"/>
  <c r="AI4738" i="1"/>
  <c r="AJ4738" i="1"/>
  <c r="AK4738" i="1" s="1"/>
  <c r="AI4730" i="1"/>
  <c r="AJ4730" i="1"/>
  <c r="AK4730" i="1" s="1"/>
  <c r="AI4722" i="1"/>
  <c r="AJ4722" i="1"/>
  <c r="AK4722" i="1" s="1"/>
  <c r="AI4714" i="1"/>
  <c r="AJ4714" i="1"/>
  <c r="AK4714" i="1" s="1"/>
  <c r="AI4706" i="1"/>
  <c r="AJ4706" i="1"/>
  <c r="AK4706" i="1" s="1"/>
  <c r="AI4698" i="1"/>
  <c r="AJ4698" i="1"/>
  <c r="AK4698" i="1" s="1"/>
  <c r="AI4690" i="1"/>
  <c r="AJ4690" i="1"/>
  <c r="AK4690" i="1" s="1"/>
  <c r="AI4682" i="1"/>
  <c r="AJ4682" i="1"/>
  <c r="AK4682" i="1" s="1"/>
  <c r="AI4674" i="1"/>
  <c r="AJ4674" i="1"/>
  <c r="AK4674" i="1" s="1"/>
  <c r="AI4666" i="1"/>
  <c r="AJ4666" i="1"/>
  <c r="AK4666" i="1" s="1"/>
  <c r="AI4658" i="1"/>
  <c r="AJ4658" i="1"/>
  <c r="AK4658" i="1" s="1"/>
  <c r="AI4650" i="1"/>
  <c r="AJ4650" i="1"/>
  <c r="AK4650" i="1" s="1"/>
  <c r="AI4642" i="1"/>
  <c r="AJ4642" i="1"/>
  <c r="AK4642" i="1" s="1"/>
  <c r="AI4634" i="1"/>
  <c r="AJ4634" i="1"/>
  <c r="AK4634" i="1" s="1"/>
  <c r="AI4626" i="1"/>
  <c r="AJ4626" i="1"/>
  <c r="AK4626" i="1" s="1"/>
  <c r="AJ4618" i="1"/>
  <c r="AK4618" i="1" s="1"/>
  <c r="AI4618" i="1"/>
  <c r="AI4610" i="1"/>
  <c r="AJ4610" i="1"/>
  <c r="AK4610" i="1" s="1"/>
  <c r="AI4602" i="1"/>
  <c r="AJ4602" i="1"/>
  <c r="AK4602" i="1" s="1"/>
  <c r="AI4594" i="1"/>
  <c r="AJ4594" i="1"/>
  <c r="AK4594" i="1" s="1"/>
  <c r="AJ4586" i="1"/>
  <c r="AK4586" i="1" s="1"/>
  <c r="AI4586" i="1"/>
  <c r="AJ4578" i="1"/>
  <c r="AK4578" i="1" s="1"/>
  <c r="AI4578" i="1"/>
  <c r="AI4570" i="1"/>
  <c r="AJ4570" i="1"/>
  <c r="AK4570" i="1" s="1"/>
  <c r="AJ4562" i="1"/>
  <c r="AK4562" i="1" s="1"/>
  <c r="AI4562" i="1"/>
  <c r="AI4554" i="1"/>
  <c r="AJ4554" i="1"/>
  <c r="AK4554" i="1" s="1"/>
  <c r="AJ4546" i="1"/>
  <c r="AK4546" i="1" s="1"/>
  <c r="AI4546" i="1"/>
  <c r="AI4538" i="1"/>
  <c r="AJ4538" i="1"/>
  <c r="AK4538" i="1" s="1"/>
  <c r="AI4530" i="1"/>
  <c r="AJ4530" i="1"/>
  <c r="AK4530" i="1" s="1"/>
  <c r="AI4522" i="1"/>
  <c r="AJ4522" i="1"/>
  <c r="AK4522" i="1" s="1"/>
  <c r="AI4514" i="1"/>
  <c r="AJ4514" i="1"/>
  <c r="AK4514" i="1" s="1"/>
  <c r="AI4506" i="1"/>
  <c r="AJ4506" i="1"/>
  <c r="AK4506" i="1" s="1"/>
  <c r="AI4498" i="1"/>
  <c r="AJ4498" i="1"/>
  <c r="AK4498" i="1" s="1"/>
  <c r="AI4490" i="1"/>
  <c r="AJ4490" i="1"/>
  <c r="AK4490" i="1" s="1"/>
  <c r="AI4482" i="1"/>
  <c r="AJ4482" i="1"/>
  <c r="AK4482" i="1" s="1"/>
  <c r="AI4474" i="1"/>
  <c r="AJ4474" i="1"/>
  <c r="AK4474" i="1" s="1"/>
  <c r="AI4466" i="1"/>
  <c r="AJ4466" i="1"/>
  <c r="AK4466" i="1" s="1"/>
  <c r="AI4458" i="1"/>
  <c r="AJ4458" i="1"/>
  <c r="AK4458" i="1" s="1"/>
  <c r="AI4450" i="1"/>
  <c r="AJ4450" i="1"/>
  <c r="AK4450" i="1" s="1"/>
  <c r="AI4442" i="1"/>
  <c r="AJ4442" i="1"/>
  <c r="AK4442" i="1" s="1"/>
  <c r="AI4434" i="1"/>
  <c r="AJ4434" i="1"/>
  <c r="AK4434" i="1" s="1"/>
  <c r="AI4426" i="1"/>
  <c r="AJ4426" i="1"/>
  <c r="AK4426" i="1" s="1"/>
  <c r="AJ4418" i="1"/>
  <c r="AK4418" i="1" s="1"/>
  <c r="AI4418" i="1"/>
  <c r="AI4410" i="1"/>
  <c r="AJ4410" i="1"/>
  <c r="AK4410" i="1" s="1"/>
  <c r="AI4402" i="1"/>
  <c r="AJ4402" i="1"/>
  <c r="AK4402" i="1" s="1"/>
  <c r="AI4394" i="1"/>
  <c r="AJ4394" i="1"/>
  <c r="AK4394" i="1" s="1"/>
  <c r="AI4386" i="1"/>
  <c r="AJ4386" i="1"/>
  <c r="AK4386" i="1" s="1"/>
  <c r="AI4378" i="1"/>
  <c r="AJ4378" i="1"/>
  <c r="AK4378" i="1" s="1"/>
  <c r="AJ4370" i="1"/>
  <c r="AK4370" i="1" s="1"/>
  <c r="AI4370" i="1"/>
  <c r="AI4362" i="1"/>
  <c r="AJ4362" i="1"/>
  <c r="AK4362" i="1" s="1"/>
  <c r="AJ4354" i="1"/>
  <c r="AK4354" i="1" s="1"/>
  <c r="AI4354" i="1"/>
  <c r="AI4346" i="1"/>
  <c r="AJ4346" i="1"/>
  <c r="AK4346" i="1" s="1"/>
  <c r="AI4338" i="1"/>
  <c r="AJ4338" i="1"/>
  <c r="AK4338" i="1" s="1"/>
  <c r="AI4330" i="1"/>
  <c r="AJ4330" i="1"/>
  <c r="AK4330" i="1" s="1"/>
  <c r="AI4322" i="1"/>
  <c r="AJ4322" i="1"/>
  <c r="AK4322" i="1" s="1"/>
  <c r="AJ4314" i="1"/>
  <c r="AK4314" i="1" s="1"/>
  <c r="AI4314" i="1"/>
  <c r="AI4306" i="1"/>
  <c r="AJ4306" i="1"/>
  <c r="AK4306" i="1" s="1"/>
  <c r="AJ4298" i="1"/>
  <c r="AK4298" i="1" s="1"/>
  <c r="AI4298" i="1"/>
  <c r="AI4290" i="1"/>
  <c r="AJ4290" i="1"/>
  <c r="AK4290" i="1" s="1"/>
  <c r="AI4282" i="1"/>
  <c r="AJ4282" i="1"/>
  <c r="AK4282" i="1" s="1"/>
  <c r="AI4274" i="1"/>
  <c r="AJ4274" i="1"/>
  <c r="AK4274" i="1" s="1"/>
  <c r="AI4266" i="1"/>
  <c r="AJ4266" i="1"/>
  <c r="AK4266" i="1" s="1"/>
  <c r="AI4258" i="1"/>
  <c r="AJ4258" i="1"/>
  <c r="AK4258" i="1" s="1"/>
  <c r="AI4250" i="1"/>
  <c r="AJ4250" i="1"/>
  <c r="AK4250" i="1" s="1"/>
  <c r="AI4242" i="1"/>
  <c r="AJ4242" i="1"/>
  <c r="AK4242" i="1" s="1"/>
  <c r="AI4234" i="1"/>
  <c r="AJ4234" i="1"/>
  <c r="AK4234" i="1" s="1"/>
  <c r="AI4226" i="1"/>
  <c r="AJ4226" i="1"/>
  <c r="AK4226" i="1" s="1"/>
  <c r="AI4218" i="1"/>
  <c r="AJ4218" i="1"/>
  <c r="AK4218" i="1" s="1"/>
  <c r="AI4210" i="1"/>
  <c r="AJ4210" i="1"/>
  <c r="AK4210" i="1" s="1"/>
  <c r="AI4202" i="1"/>
  <c r="AJ4202" i="1"/>
  <c r="AK4202" i="1" s="1"/>
  <c r="AI4194" i="1"/>
  <c r="AJ4194" i="1"/>
  <c r="AK4194" i="1" s="1"/>
  <c r="AI4186" i="1"/>
  <c r="AJ4186" i="1"/>
  <c r="AK4186" i="1" s="1"/>
  <c r="AI4178" i="1"/>
  <c r="AJ4178" i="1"/>
  <c r="AK4178" i="1" s="1"/>
  <c r="AJ4170" i="1"/>
  <c r="AK4170" i="1" s="1"/>
  <c r="AI4170" i="1"/>
  <c r="AI4162" i="1"/>
  <c r="AJ4162" i="1"/>
  <c r="AK4162" i="1" s="1"/>
  <c r="AI4154" i="1"/>
  <c r="AJ4154" i="1"/>
  <c r="AK4154" i="1" s="1"/>
  <c r="AJ4146" i="1"/>
  <c r="AK4146" i="1" s="1"/>
  <c r="AI4146" i="1"/>
  <c r="AJ4138" i="1"/>
  <c r="AK4138" i="1" s="1"/>
  <c r="AI4138" i="1"/>
  <c r="AJ4130" i="1"/>
  <c r="AK4130" i="1" s="1"/>
  <c r="AI4130" i="1"/>
  <c r="AI4122" i="1"/>
  <c r="AJ4122" i="1"/>
  <c r="AK4122" i="1" s="1"/>
  <c r="AI4114" i="1"/>
  <c r="AJ4114" i="1"/>
  <c r="AK4114" i="1" s="1"/>
  <c r="AI4106" i="1"/>
  <c r="AJ4106" i="1"/>
  <c r="AK4106" i="1" s="1"/>
  <c r="AI4098" i="1"/>
  <c r="AJ4098" i="1"/>
  <c r="AK4098" i="1" s="1"/>
  <c r="AI4090" i="1"/>
  <c r="AJ4090" i="1"/>
  <c r="AK4090" i="1" s="1"/>
  <c r="AI4082" i="1"/>
  <c r="AJ4082" i="1"/>
  <c r="AK4082" i="1" s="1"/>
  <c r="AI4074" i="1"/>
  <c r="AJ4074" i="1"/>
  <c r="AK4074" i="1" s="1"/>
  <c r="AI4066" i="1"/>
  <c r="AJ4066" i="1"/>
  <c r="AK4066" i="1" s="1"/>
  <c r="AI4058" i="1"/>
  <c r="AJ4058" i="1"/>
  <c r="AK4058" i="1" s="1"/>
  <c r="AJ4050" i="1"/>
  <c r="AK4050" i="1" s="1"/>
  <c r="AI4050" i="1"/>
  <c r="AI4042" i="1"/>
  <c r="AJ4042" i="1"/>
  <c r="AK4042" i="1" s="1"/>
  <c r="AI4034" i="1"/>
  <c r="AJ4034" i="1"/>
  <c r="AK4034" i="1" s="1"/>
  <c r="AI4026" i="1"/>
  <c r="AJ4026" i="1"/>
  <c r="AK4026" i="1" s="1"/>
  <c r="AI4018" i="1"/>
  <c r="AJ4018" i="1"/>
  <c r="AK4018" i="1" s="1"/>
  <c r="AI4010" i="1"/>
  <c r="AJ4010" i="1"/>
  <c r="AK4010" i="1" s="1"/>
  <c r="AJ4989" i="1"/>
  <c r="AK4989" i="1" s="1"/>
  <c r="AJ4927" i="1"/>
  <c r="AK4927" i="1" s="1"/>
  <c r="AI4923" i="1"/>
  <c r="AI4953" i="1"/>
  <c r="AI4916" i="1"/>
  <c r="AI4860" i="1"/>
  <c r="AI4817" i="1"/>
  <c r="AJ4900" i="1"/>
  <c r="AK4900" i="1" s="1"/>
  <c r="AJ4884" i="1"/>
  <c r="AK4884" i="1" s="1"/>
  <c r="AJ4924" i="1"/>
  <c r="AK4924" i="1" s="1"/>
  <c r="AJ4897" i="1"/>
  <c r="AK4897" i="1" s="1"/>
  <c r="AJ4985" i="1"/>
  <c r="AK4985" i="1" s="1"/>
  <c r="AJ4948" i="1"/>
  <c r="AK4948" i="1" s="1"/>
  <c r="AJ4921" i="1"/>
  <c r="AK4921" i="1" s="1"/>
  <c r="AJ4876" i="1"/>
  <c r="AK4876" i="1" s="1"/>
  <c r="AJ4833" i="1"/>
  <c r="AK4833" i="1" s="1"/>
  <c r="AJ4868" i="1"/>
  <c r="AK4868" i="1" s="1"/>
  <c r="AI4852" i="1"/>
  <c r="AJ4844" i="1"/>
  <c r="AK4844" i="1" s="1"/>
  <c r="AJ4836" i="1"/>
  <c r="AK4836" i="1" s="1"/>
  <c r="AI4828" i="1"/>
  <c r="AJ4820" i="1"/>
  <c r="AK4820" i="1" s="1"/>
  <c r="AJ4812" i="1"/>
  <c r="AK4812" i="1" s="1"/>
  <c r="AI4804" i="1"/>
  <c r="AI4796" i="1"/>
  <c r="AJ4796" i="1"/>
  <c r="AK4796" i="1" s="1"/>
  <c r="AI4788" i="1"/>
  <c r="AJ4788" i="1"/>
  <c r="AK4788" i="1" s="1"/>
  <c r="AJ4780" i="1"/>
  <c r="AK4780" i="1" s="1"/>
  <c r="AI4772" i="1"/>
  <c r="AJ4772" i="1"/>
  <c r="AK4772" i="1" s="1"/>
  <c r="AI4764" i="1"/>
  <c r="AJ4764" i="1"/>
  <c r="AK4764" i="1" s="1"/>
  <c r="AI4756" i="1"/>
  <c r="AJ4756" i="1"/>
  <c r="AK4756" i="1" s="1"/>
  <c r="AJ4748" i="1"/>
  <c r="AK4748" i="1" s="1"/>
  <c r="AI4748" i="1"/>
  <c r="AI4740" i="1"/>
  <c r="AJ4740" i="1"/>
  <c r="AK4740" i="1" s="1"/>
  <c r="AJ4732" i="1"/>
  <c r="AK4732" i="1" s="1"/>
  <c r="AI4732" i="1"/>
  <c r="AI4724" i="1"/>
  <c r="AJ4724" i="1"/>
  <c r="AK4724" i="1" s="1"/>
  <c r="AI4716" i="1"/>
  <c r="AJ4716" i="1"/>
  <c r="AK4716" i="1" s="1"/>
  <c r="AI4708" i="1"/>
  <c r="AJ4708" i="1"/>
  <c r="AK4708" i="1" s="1"/>
  <c r="AI4700" i="1"/>
  <c r="AJ4700" i="1"/>
  <c r="AK4700" i="1" s="1"/>
  <c r="AI4692" i="1"/>
  <c r="AJ4692" i="1"/>
  <c r="AK4692" i="1" s="1"/>
  <c r="AI4684" i="1"/>
  <c r="AJ4684" i="1"/>
  <c r="AK4684" i="1" s="1"/>
  <c r="AI4676" i="1"/>
  <c r="AJ4676" i="1"/>
  <c r="AK4676" i="1" s="1"/>
  <c r="AI4668" i="1"/>
  <c r="AJ4668" i="1"/>
  <c r="AK4668" i="1" s="1"/>
  <c r="AI4660" i="1"/>
  <c r="AJ4660" i="1"/>
  <c r="AK4660" i="1" s="1"/>
  <c r="AI4652" i="1"/>
  <c r="AJ4652" i="1"/>
  <c r="AK4652" i="1" s="1"/>
  <c r="AI4644" i="1"/>
  <c r="AJ4644" i="1"/>
  <c r="AK4644" i="1" s="1"/>
  <c r="AI4636" i="1"/>
  <c r="AJ4636" i="1"/>
  <c r="AK4636" i="1" s="1"/>
  <c r="AJ4628" i="1"/>
  <c r="AK4628" i="1" s="1"/>
  <c r="AI4628" i="1"/>
  <c r="AI4620" i="1"/>
  <c r="AJ4620" i="1"/>
  <c r="AK4620" i="1" s="1"/>
  <c r="AI4612" i="1"/>
  <c r="AJ4612" i="1"/>
  <c r="AK4612" i="1" s="1"/>
  <c r="AI4604" i="1"/>
  <c r="AJ4604" i="1"/>
  <c r="AK4604" i="1" s="1"/>
  <c r="AI4596" i="1"/>
  <c r="AJ4596" i="1"/>
  <c r="AK4596" i="1" s="1"/>
  <c r="AJ4588" i="1"/>
  <c r="AK4588" i="1" s="1"/>
  <c r="AI4588" i="1"/>
  <c r="AI4580" i="1"/>
  <c r="AJ4580" i="1"/>
  <c r="AK4580" i="1" s="1"/>
  <c r="AI4572" i="1"/>
  <c r="AJ4572" i="1"/>
  <c r="AK4572" i="1" s="1"/>
  <c r="AI4564" i="1"/>
  <c r="AJ4564" i="1"/>
  <c r="AK4564" i="1" s="1"/>
  <c r="AJ4556" i="1"/>
  <c r="AK4556" i="1" s="1"/>
  <c r="AI4556" i="1"/>
  <c r="AJ4548" i="1"/>
  <c r="AK4548" i="1" s="1"/>
  <c r="AI4548" i="1"/>
  <c r="AI4540" i="1"/>
  <c r="AJ4540" i="1"/>
  <c r="AK4540" i="1" s="1"/>
  <c r="AJ4532" i="1"/>
  <c r="AK4532" i="1" s="1"/>
  <c r="AI4532" i="1"/>
  <c r="AI4524" i="1"/>
  <c r="AJ4524" i="1"/>
  <c r="AK4524" i="1" s="1"/>
  <c r="AJ4516" i="1"/>
  <c r="AK4516" i="1" s="1"/>
  <c r="AI4516" i="1"/>
  <c r="AI4508" i="1"/>
  <c r="AJ4508" i="1"/>
  <c r="AK4508" i="1" s="1"/>
  <c r="AI4500" i="1"/>
  <c r="AJ4500" i="1"/>
  <c r="AK4500" i="1" s="1"/>
  <c r="AJ4492" i="1"/>
  <c r="AK4492" i="1" s="1"/>
  <c r="AI4492" i="1"/>
  <c r="AI4484" i="1"/>
  <c r="AJ4484" i="1"/>
  <c r="AK4484" i="1" s="1"/>
  <c r="AI4476" i="1"/>
  <c r="AJ4476" i="1"/>
  <c r="AK4476" i="1" s="1"/>
  <c r="AI4468" i="1"/>
  <c r="AJ4468" i="1"/>
  <c r="AK4468" i="1" s="1"/>
  <c r="AI4460" i="1"/>
  <c r="AJ4460" i="1"/>
  <c r="AK4460" i="1" s="1"/>
  <c r="AI4452" i="1"/>
  <c r="AJ4452" i="1"/>
  <c r="AK4452" i="1" s="1"/>
  <c r="AI4444" i="1"/>
  <c r="AJ4444" i="1"/>
  <c r="AK4444" i="1" s="1"/>
  <c r="AI4436" i="1"/>
  <c r="AJ4436" i="1"/>
  <c r="AK4436" i="1" s="1"/>
  <c r="AJ4428" i="1"/>
  <c r="AK4428" i="1" s="1"/>
  <c r="AI4428" i="1"/>
  <c r="AJ4420" i="1"/>
  <c r="AK4420" i="1" s="1"/>
  <c r="AI4420" i="1"/>
  <c r="AI4412" i="1"/>
  <c r="AJ4412" i="1"/>
  <c r="AK4412" i="1" s="1"/>
  <c r="AI4404" i="1"/>
  <c r="AJ4404" i="1"/>
  <c r="AK4404" i="1" s="1"/>
  <c r="AI4396" i="1"/>
  <c r="AJ4396" i="1"/>
  <c r="AK4396" i="1" s="1"/>
  <c r="AI4388" i="1"/>
  <c r="AJ4388" i="1"/>
  <c r="AK4388" i="1" s="1"/>
  <c r="AI4380" i="1"/>
  <c r="AJ4380" i="1"/>
  <c r="AK4380" i="1" s="1"/>
  <c r="AI4372" i="1"/>
  <c r="AJ4372" i="1"/>
  <c r="AK4372" i="1" s="1"/>
  <c r="AI4364" i="1"/>
  <c r="AJ4364" i="1"/>
  <c r="AK4364" i="1" s="1"/>
  <c r="AI4356" i="1"/>
  <c r="AJ4356" i="1"/>
  <c r="AK4356" i="1" s="1"/>
  <c r="AI4348" i="1"/>
  <c r="AJ4348" i="1"/>
  <c r="AK4348" i="1" s="1"/>
  <c r="AI4340" i="1"/>
  <c r="AJ4340" i="1"/>
  <c r="AK4340" i="1" s="1"/>
  <c r="AI4332" i="1"/>
  <c r="AJ4332" i="1"/>
  <c r="AK4332" i="1" s="1"/>
  <c r="AI4324" i="1"/>
  <c r="AJ4324" i="1"/>
  <c r="AK4324" i="1" s="1"/>
  <c r="AJ4316" i="1"/>
  <c r="AK4316" i="1" s="1"/>
  <c r="AI4316" i="1"/>
  <c r="AJ4308" i="1"/>
  <c r="AK4308" i="1" s="1"/>
  <c r="AI4308" i="1"/>
  <c r="AI4300" i="1"/>
  <c r="AJ4300" i="1"/>
  <c r="AK4300" i="1" s="1"/>
  <c r="AI4292" i="1"/>
  <c r="AJ4292" i="1"/>
  <c r="AK4292" i="1" s="1"/>
  <c r="AI4284" i="1"/>
  <c r="AJ4284" i="1"/>
  <c r="AK4284" i="1" s="1"/>
  <c r="AJ4276" i="1"/>
  <c r="AK4276" i="1" s="1"/>
  <c r="AI4276" i="1"/>
  <c r="AI4268" i="1"/>
  <c r="AJ4268" i="1"/>
  <c r="AK4268" i="1" s="1"/>
  <c r="AJ4260" i="1"/>
  <c r="AK4260" i="1" s="1"/>
  <c r="AI4260" i="1"/>
  <c r="AI4252" i="1"/>
  <c r="AJ4252" i="1"/>
  <c r="AK4252" i="1" s="1"/>
  <c r="AI4244" i="1"/>
  <c r="AJ4244" i="1"/>
  <c r="AK4244" i="1" s="1"/>
  <c r="AJ4236" i="1"/>
  <c r="AK4236" i="1" s="1"/>
  <c r="AI4236" i="1"/>
  <c r="AJ4228" i="1"/>
  <c r="AK4228" i="1" s="1"/>
  <c r="AI4228" i="1"/>
  <c r="AI4220" i="1"/>
  <c r="AJ4220" i="1"/>
  <c r="AK4220" i="1" s="1"/>
  <c r="AI4212" i="1"/>
  <c r="AJ4212" i="1"/>
  <c r="AK4212" i="1" s="1"/>
  <c r="AI4204" i="1"/>
  <c r="AJ4204" i="1"/>
  <c r="AK4204" i="1" s="1"/>
  <c r="AI4196" i="1"/>
  <c r="AJ4196" i="1"/>
  <c r="AK4196" i="1" s="1"/>
  <c r="AJ4188" i="1"/>
  <c r="AK4188" i="1" s="1"/>
  <c r="AI4188" i="1"/>
  <c r="AI4180" i="1"/>
  <c r="AJ4180" i="1"/>
  <c r="AK4180" i="1" s="1"/>
  <c r="AI4172" i="1"/>
  <c r="AJ4172" i="1"/>
  <c r="AK4172" i="1" s="1"/>
  <c r="AJ4164" i="1"/>
  <c r="AK4164" i="1" s="1"/>
  <c r="AI4164" i="1"/>
  <c r="AI4156" i="1"/>
  <c r="AJ4156" i="1"/>
  <c r="AK4156" i="1" s="1"/>
  <c r="AJ4148" i="1"/>
  <c r="AK4148" i="1" s="1"/>
  <c r="AI4148" i="1"/>
  <c r="AI4140" i="1"/>
  <c r="AJ4140" i="1"/>
  <c r="AK4140" i="1" s="1"/>
  <c r="AI4132" i="1"/>
  <c r="AJ4132" i="1"/>
  <c r="AK4132" i="1" s="1"/>
  <c r="AI4124" i="1"/>
  <c r="AJ4124" i="1"/>
  <c r="AK4124" i="1" s="1"/>
  <c r="AJ4116" i="1"/>
  <c r="AK4116" i="1" s="1"/>
  <c r="AI4116" i="1"/>
  <c r="AI4108" i="1"/>
  <c r="AJ4108" i="1"/>
  <c r="AK4108" i="1" s="1"/>
  <c r="AI4100" i="1"/>
  <c r="AJ4100" i="1"/>
  <c r="AK4100" i="1" s="1"/>
  <c r="AI4092" i="1"/>
  <c r="AJ4092" i="1"/>
  <c r="AK4092" i="1" s="1"/>
  <c r="AI4084" i="1"/>
  <c r="AJ4084" i="1"/>
  <c r="AK4084" i="1" s="1"/>
  <c r="AI4076" i="1"/>
  <c r="AJ4076" i="1"/>
  <c r="AK4076" i="1" s="1"/>
  <c r="AJ4068" i="1"/>
  <c r="AK4068" i="1" s="1"/>
  <c r="AI4068" i="1"/>
  <c r="AI4060" i="1"/>
  <c r="AJ4060" i="1"/>
  <c r="AK4060" i="1" s="1"/>
  <c r="AI4052" i="1"/>
  <c r="AJ4052" i="1"/>
  <c r="AK4052" i="1" s="1"/>
  <c r="AI4044" i="1"/>
  <c r="AJ4044" i="1"/>
  <c r="AK4044" i="1" s="1"/>
  <c r="AI4036" i="1"/>
  <c r="AJ4036" i="1"/>
  <c r="AK4036" i="1" s="1"/>
  <c r="AI4028" i="1"/>
  <c r="AJ4028" i="1"/>
  <c r="AK4028" i="1" s="1"/>
  <c r="AI4020" i="1"/>
  <c r="AJ4020" i="1"/>
  <c r="AK4020" i="1" s="1"/>
  <c r="AI4012" i="1"/>
  <c r="AJ4012" i="1"/>
  <c r="AK4012" i="1" s="1"/>
  <c r="AJ4945" i="1"/>
  <c r="AK4945" i="1" s="1"/>
  <c r="AJ4908" i="1"/>
  <c r="AK4908" i="1" s="1"/>
  <c r="AJ4873" i="1"/>
  <c r="AK4873" i="1" s="1"/>
  <c r="AJ4932" i="1"/>
  <c r="AK4932" i="1" s="1"/>
  <c r="AJ4905" i="1"/>
  <c r="AK4905" i="1" s="1"/>
  <c r="AJ4857" i="1"/>
  <c r="AK4857" i="1" s="1"/>
  <c r="AI4836" i="1"/>
  <c r="AJ4828" i="1"/>
  <c r="AK4828" i="1" s="1"/>
  <c r="AJ4993" i="1"/>
  <c r="AK4993" i="1" s="1"/>
  <c r="AJ4956" i="1"/>
  <c r="AK4956" i="1" s="1"/>
  <c r="AJ4929" i="1"/>
  <c r="AK4929" i="1" s="1"/>
  <c r="AJ4892" i="1"/>
  <c r="AK4892" i="1" s="1"/>
  <c r="AJ4889" i="1"/>
  <c r="AK4889" i="1" s="1"/>
  <c r="AI4812" i="1"/>
  <c r="AI4780" i="1"/>
  <c r="AI4881" i="1"/>
  <c r="AJ4865" i="1"/>
  <c r="AK4865" i="1" s="1"/>
  <c r="AI4849" i="1"/>
  <c r="AJ4841" i="1"/>
  <c r="AK4841" i="1" s="1"/>
  <c r="AJ4825" i="1"/>
  <c r="AK4825" i="1" s="1"/>
  <c r="AJ4809" i="1"/>
  <c r="AK4809" i="1" s="1"/>
  <c r="AI4801" i="1"/>
  <c r="AI4793" i="1"/>
  <c r="AJ4793" i="1"/>
  <c r="AK4793" i="1" s="1"/>
  <c r="AI4785" i="1"/>
  <c r="AJ4785" i="1"/>
  <c r="AK4785" i="1" s="1"/>
  <c r="AJ4777" i="1"/>
  <c r="AK4777" i="1" s="1"/>
  <c r="AI4777" i="1"/>
  <c r="AI4769" i="1"/>
  <c r="AJ4769" i="1"/>
  <c r="AK4769" i="1" s="1"/>
  <c r="AJ4761" i="1"/>
  <c r="AK4761" i="1" s="1"/>
  <c r="AI4761" i="1"/>
  <c r="AI4753" i="1"/>
  <c r="AJ4753" i="1"/>
  <c r="AK4753" i="1" s="1"/>
  <c r="AJ4745" i="1"/>
  <c r="AK4745" i="1" s="1"/>
  <c r="AI4745" i="1"/>
  <c r="AI4737" i="1"/>
  <c r="AJ4737" i="1"/>
  <c r="AK4737" i="1" s="1"/>
  <c r="AJ4729" i="1"/>
  <c r="AK4729" i="1" s="1"/>
  <c r="AI4729" i="1"/>
  <c r="AI4721" i="1"/>
  <c r="AJ4721" i="1"/>
  <c r="AK4721" i="1" s="1"/>
  <c r="AI4713" i="1"/>
  <c r="AJ4713" i="1"/>
  <c r="AK4713" i="1" s="1"/>
  <c r="AI4705" i="1"/>
  <c r="AJ4705" i="1"/>
  <c r="AK4705" i="1" s="1"/>
  <c r="AI4697" i="1"/>
  <c r="AJ4697" i="1"/>
  <c r="AK4697" i="1" s="1"/>
  <c r="AI4689" i="1"/>
  <c r="AJ4689" i="1"/>
  <c r="AK4689" i="1" s="1"/>
  <c r="AI4681" i="1"/>
  <c r="AJ4681" i="1"/>
  <c r="AK4681" i="1" s="1"/>
  <c r="AI4673" i="1"/>
  <c r="AJ4673" i="1"/>
  <c r="AK4673" i="1" s="1"/>
  <c r="AJ4665" i="1"/>
  <c r="AK4665" i="1" s="1"/>
  <c r="AI4665" i="1"/>
  <c r="AI4657" i="1"/>
  <c r="AJ4657" i="1"/>
  <c r="AK4657" i="1" s="1"/>
  <c r="AI4649" i="1"/>
  <c r="AJ4649" i="1"/>
  <c r="AK4649" i="1" s="1"/>
  <c r="AI4641" i="1"/>
  <c r="AJ4641" i="1"/>
  <c r="AK4641" i="1" s="1"/>
  <c r="AI4633" i="1"/>
  <c r="AJ4633" i="1"/>
  <c r="AK4633" i="1" s="1"/>
  <c r="AJ4625" i="1"/>
  <c r="AK4625" i="1" s="1"/>
  <c r="AI4625" i="1"/>
  <c r="AI4617" i="1"/>
  <c r="AJ4617" i="1"/>
  <c r="AK4617" i="1" s="1"/>
  <c r="AI4609" i="1"/>
  <c r="AJ4609" i="1"/>
  <c r="AK4609" i="1" s="1"/>
  <c r="AI4601" i="1"/>
  <c r="AJ4601" i="1"/>
  <c r="AK4601" i="1" s="1"/>
  <c r="AI4593" i="1"/>
  <c r="AJ4593" i="1"/>
  <c r="AK4593" i="1" s="1"/>
  <c r="AI4585" i="1"/>
  <c r="AJ4585" i="1"/>
  <c r="AK4585" i="1" s="1"/>
  <c r="AI4577" i="1"/>
  <c r="AJ4577" i="1"/>
  <c r="AK4577" i="1" s="1"/>
  <c r="AJ4569" i="1"/>
  <c r="AK4569" i="1" s="1"/>
  <c r="AI4569" i="1"/>
  <c r="AJ4561" i="1"/>
  <c r="AK4561" i="1" s="1"/>
  <c r="AI4561" i="1"/>
  <c r="AI4553" i="1"/>
  <c r="AJ4553" i="1"/>
  <c r="AK4553" i="1" s="1"/>
  <c r="AJ4545" i="1"/>
  <c r="AK4545" i="1" s="1"/>
  <c r="AI4545" i="1"/>
  <c r="AI4537" i="1"/>
  <c r="AJ4537" i="1"/>
  <c r="AK4537" i="1" s="1"/>
  <c r="AI4529" i="1"/>
  <c r="AJ4529" i="1"/>
  <c r="AK4529" i="1" s="1"/>
  <c r="AI4521" i="1"/>
  <c r="AJ4521" i="1"/>
  <c r="AK4521" i="1" s="1"/>
  <c r="AJ4513" i="1"/>
  <c r="AK4513" i="1" s="1"/>
  <c r="AI4513" i="1"/>
  <c r="AJ4505" i="1"/>
  <c r="AK4505" i="1" s="1"/>
  <c r="AI4505" i="1"/>
  <c r="AI4497" i="1"/>
  <c r="AJ4497" i="1"/>
  <c r="AK4497" i="1" s="1"/>
  <c r="AI4489" i="1"/>
  <c r="AJ4489" i="1"/>
  <c r="AK4489" i="1" s="1"/>
  <c r="AI4481" i="1"/>
  <c r="AJ4481" i="1"/>
  <c r="AK4481" i="1" s="1"/>
  <c r="AJ4473" i="1"/>
  <c r="AK4473" i="1" s="1"/>
  <c r="AI4473" i="1"/>
  <c r="AJ4465" i="1"/>
  <c r="AK4465" i="1" s="1"/>
  <c r="AI4465" i="1"/>
  <c r="AI4457" i="1"/>
  <c r="AJ4457" i="1"/>
  <c r="AK4457" i="1" s="1"/>
  <c r="AI4449" i="1"/>
  <c r="AJ4449" i="1"/>
  <c r="AK4449" i="1" s="1"/>
  <c r="AI4441" i="1"/>
  <c r="AJ4441" i="1"/>
  <c r="AK4441" i="1" s="1"/>
  <c r="AI4433" i="1"/>
  <c r="AJ4433" i="1"/>
  <c r="AK4433" i="1" s="1"/>
  <c r="AI4425" i="1"/>
  <c r="AJ4425" i="1"/>
  <c r="AK4425" i="1" s="1"/>
  <c r="AJ4417" i="1"/>
  <c r="AK4417" i="1" s="1"/>
  <c r="AI4417" i="1"/>
  <c r="AI4409" i="1"/>
  <c r="AJ4409" i="1"/>
  <c r="AK4409" i="1" s="1"/>
  <c r="AI4401" i="1"/>
  <c r="AJ4401" i="1"/>
  <c r="AK4401" i="1" s="1"/>
  <c r="AI4393" i="1"/>
  <c r="AJ4393" i="1"/>
  <c r="AK4393" i="1" s="1"/>
  <c r="AI4385" i="1"/>
  <c r="AJ4385" i="1"/>
  <c r="AK4385" i="1" s="1"/>
  <c r="AI4377" i="1"/>
  <c r="AJ4377" i="1"/>
  <c r="AK4377" i="1" s="1"/>
  <c r="AI4369" i="1"/>
  <c r="AJ4369" i="1"/>
  <c r="AK4369" i="1" s="1"/>
  <c r="AI4361" i="1"/>
  <c r="AJ4361" i="1"/>
  <c r="AK4361" i="1" s="1"/>
  <c r="AJ4353" i="1"/>
  <c r="AK4353" i="1" s="1"/>
  <c r="AI4353" i="1"/>
  <c r="AI4345" i="1"/>
  <c r="AJ4345" i="1"/>
  <c r="AK4345" i="1" s="1"/>
  <c r="AI4337" i="1"/>
  <c r="AJ4337" i="1"/>
  <c r="AK4337" i="1" s="1"/>
  <c r="AJ4329" i="1"/>
  <c r="AK4329" i="1" s="1"/>
  <c r="AI4329" i="1"/>
  <c r="AJ4321" i="1"/>
  <c r="AK4321" i="1" s="1"/>
  <c r="AI4321" i="1"/>
  <c r="AI4313" i="1"/>
  <c r="AJ4313" i="1"/>
  <c r="AK4313" i="1" s="1"/>
  <c r="AI4305" i="1"/>
  <c r="AJ4305" i="1"/>
  <c r="AK4305" i="1" s="1"/>
  <c r="AJ4297" i="1"/>
  <c r="AK4297" i="1" s="1"/>
  <c r="AI4297" i="1"/>
  <c r="AI4289" i="1"/>
  <c r="AJ4289" i="1"/>
  <c r="AK4289" i="1" s="1"/>
  <c r="AJ4281" i="1"/>
  <c r="AK4281" i="1" s="1"/>
  <c r="AI4281" i="1"/>
  <c r="AI4273" i="1"/>
  <c r="AJ4273" i="1"/>
  <c r="AK4273" i="1" s="1"/>
  <c r="AJ4265" i="1"/>
  <c r="AK4265" i="1" s="1"/>
  <c r="AI4265" i="1"/>
  <c r="AI4257" i="1"/>
  <c r="AJ4257" i="1"/>
  <c r="AK4257" i="1" s="1"/>
  <c r="AI4249" i="1"/>
  <c r="AJ4249" i="1"/>
  <c r="AK4249" i="1" s="1"/>
  <c r="AI4241" i="1"/>
  <c r="AJ4241" i="1"/>
  <c r="AK4241" i="1" s="1"/>
  <c r="AI4233" i="1"/>
  <c r="AJ4233" i="1"/>
  <c r="AK4233" i="1" s="1"/>
  <c r="AJ4225" i="1"/>
  <c r="AK4225" i="1" s="1"/>
  <c r="AI4225" i="1"/>
  <c r="AI4217" i="1"/>
  <c r="AJ4217" i="1"/>
  <c r="AK4217" i="1" s="1"/>
  <c r="AI4209" i="1"/>
  <c r="AJ4209" i="1"/>
  <c r="AK4209" i="1" s="1"/>
  <c r="AI4201" i="1"/>
  <c r="AJ4201" i="1"/>
  <c r="AK4201" i="1" s="1"/>
  <c r="AI4193" i="1"/>
  <c r="AJ4193" i="1"/>
  <c r="AK4193" i="1" s="1"/>
  <c r="AJ4185" i="1"/>
  <c r="AK4185" i="1" s="1"/>
  <c r="AI4185" i="1"/>
  <c r="AI4177" i="1"/>
  <c r="AJ4177" i="1"/>
  <c r="AK4177" i="1" s="1"/>
  <c r="AI4169" i="1"/>
  <c r="AJ4169" i="1"/>
  <c r="AK4169" i="1" s="1"/>
  <c r="AI4161" i="1"/>
  <c r="AJ4161" i="1"/>
  <c r="AK4161" i="1" s="1"/>
  <c r="AI4153" i="1"/>
  <c r="AJ4153" i="1"/>
  <c r="AK4153" i="1" s="1"/>
  <c r="AJ4145" i="1"/>
  <c r="AK4145" i="1" s="1"/>
  <c r="AI4145" i="1"/>
  <c r="AI4137" i="1"/>
  <c r="AJ4137" i="1"/>
  <c r="AK4137" i="1" s="1"/>
  <c r="AI4129" i="1"/>
  <c r="AJ4129" i="1"/>
  <c r="AK4129" i="1" s="1"/>
  <c r="AI4121" i="1"/>
  <c r="AJ4121" i="1"/>
  <c r="AK4121" i="1" s="1"/>
  <c r="AJ4113" i="1"/>
  <c r="AK4113" i="1" s="1"/>
  <c r="AI4113" i="1"/>
  <c r="AI4105" i="1"/>
  <c r="AJ4105" i="1"/>
  <c r="AK4105" i="1" s="1"/>
  <c r="AI4097" i="1"/>
  <c r="AJ4097" i="1"/>
  <c r="AK4097" i="1" s="1"/>
  <c r="AI4089" i="1"/>
  <c r="AJ4089" i="1"/>
  <c r="AK4089" i="1" s="1"/>
  <c r="AI4081" i="1"/>
  <c r="AJ4081" i="1"/>
  <c r="AK4081" i="1" s="1"/>
  <c r="AI4073" i="1"/>
  <c r="AJ4073" i="1"/>
  <c r="AK4073" i="1" s="1"/>
  <c r="AJ4065" i="1"/>
  <c r="AK4065" i="1" s="1"/>
  <c r="AI4065" i="1"/>
  <c r="AI4057" i="1"/>
  <c r="AJ4057" i="1"/>
  <c r="AK4057" i="1" s="1"/>
  <c r="AI4049" i="1"/>
  <c r="AJ4049" i="1"/>
  <c r="AK4049" i="1" s="1"/>
  <c r="AI4041" i="1"/>
  <c r="AJ4041" i="1"/>
  <c r="AK4041" i="1" s="1"/>
  <c r="AI4033" i="1"/>
  <c r="AJ4033" i="1"/>
  <c r="AK4033" i="1" s="1"/>
  <c r="AI4025" i="1"/>
  <c r="AJ4025" i="1"/>
  <c r="AK4025" i="1" s="1"/>
  <c r="AI4017" i="1"/>
  <c r="AJ4017" i="1"/>
  <c r="AK4017" i="1" s="1"/>
  <c r="AI4009" i="1"/>
  <c r="AJ4009" i="1"/>
  <c r="AI4868" i="1"/>
  <c r="AI4841" i="1"/>
  <c r="AB4002" i="1"/>
  <c r="AC4002" i="1" s="1"/>
  <c r="AE3995" i="1"/>
  <c r="AF3995" i="1" s="1"/>
  <c r="AG3995" i="1"/>
  <c r="AH3995" i="1"/>
  <c r="AE3996" i="1"/>
  <c r="AF3996" i="1" s="1"/>
  <c r="AG3996" i="1"/>
  <c r="AH3996" i="1"/>
  <c r="AE3997" i="1"/>
  <c r="AF3997" i="1" s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AE4001" i="1"/>
  <c r="AF4001" i="1" s="1"/>
  <c r="AG4001" i="1"/>
  <c r="AH4001" i="1"/>
  <c r="Y3995" i="1"/>
  <c r="Z3995" i="1"/>
  <c r="Y3996" i="1"/>
  <c r="Z3996" i="1"/>
  <c r="Y3997" i="1"/>
  <c r="Z3997" i="1"/>
  <c r="Y3998" i="1"/>
  <c r="Z3998" i="1"/>
  <c r="Y3999" i="1"/>
  <c r="Z3999" i="1"/>
  <c r="Y4000" i="1"/>
  <c r="Z4000" i="1"/>
  <c r="Y4001" i="1"/>
  <c r="Z4001" i="1"/>
  <c r="I3998" i="1"/>
  <c r="E3998" i="1" s="1"/>
  <c r="I3999" i="1"/>
  <c r="E3999" i="1" s="1"/>
  <c r="I4000" i="1"/>
  <c r="E4000" i="1" s="1"/>
  <c r="I4001" i="1"/>
  <c r="E4001" i="1" s="1"/>
  <c r="AP3998" i="1"/>
  <c r="AP3999" i="1"/>
  <c r="AP4000" i="1"/>
  <c r="AP4001" i="1"/>
  <c r="AQ3998" i="1"/>
  <c r="AQ3999" i="1"/>
  <c r="AQ4000" i="1"/>
  <c r="AQ4001" i="1"/>
  <c r="AR3998" i="1"/>
  <c r="AR3999" i="1"/>
  <c r="AR4000" i="1"/>
  <c r="AR4001" i="1"/>
  <c r="AS3998" i="1"/>
  <c r="AT3998" i="1" s="1"/>
  <c r="AS3999" i="1"/>
  <c r="AT3999" i="1" s="1"/>
  <c r="AS4000" i="1"/>
  <c r="AT4000" i="1" s="1"/>
  <c r="AS4001" i="1"/>
  <c r="AT4001" i="1" s="1"/>
  <c r="G3" i="6"/>
  <c r="G4" i="6"/>
  <c r="G2" i="6"/>
  <c r="F3" i="6"/>
  <c r="F4" i="6"/>
  <c r="F2" i="6"/>
  <c r="E3" i="6"/>
  <c r="E4" i="6"/>
  <c r="E2" i="6"/>
  <c r="D3" i="6"/>
  <c r="D4" i="6"/>
  <c r="D2" i="6"/>
  <c r="AU2" i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K4009" i="1" l="1"/>
  <c r="AJ4969" i="1"/>
  <c r="AK4969" i="1" s="1"/>
  <c r="AB3997" i="1"/>
  <c r="AC3997" i="1" s="1"/>
  <c r="AB3995" i="1"/>
  <c r="AC3995" i="1" s="1"/>
  <c r="AB3996" i="1"/>
  <c r="AC3996" i="1" s="1"/>
  <c r="AB3999" i="1"/>
  <c r="AC3999" i="1" s="1"/>
  <c r="AB4001" i="1"/>
  <c r="AC4001" i="1" s="1"/>
  <c r="AB4000" i="1"/>
  <c r="AC4000" i="1" s="1"/>
  <c r="AB3998" i="1"/>
  <c r="AC3998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E3976" i="1" s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A3977" i="1"/>
  <c r="A3978" i="1"/>
  <c r="A3979" i="1"/>
  <c r="A3980" i="1"/>
  <c r="A3981" i="1"/>
  <c r="A3982" i="1"/>
  <c r="A3983" i="1"/>
  <c r="A3984" i="1"/>
  <c r="A3985" i="1"/>
  <c r="A3986" i="1"/>
  <c r="A3987" i="1"/>
  <c r="D3976" i="1"/>
  <c r="A3976" i="1" s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AB3976" i="1" l="1"/>
  <c r="AC3976" i="1" s="1"/>
  <c r="I3990" i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94" i="1" l="1"/>
  <c r="AC3994" i="1" s="1"/>
  <c r="AB3987" i="1"/>
  <c r="AC3987" i="1" s="1"/>
  <c r="AB3979" i="1"/>
  <c r="AC3979" i="1" s="1"/>
  <c r="AB3986" i="1"/>
  <c r="AC3986" i="1" s="1"/>
  <c r="AB3978" i="1"/>
  <c r="AC3978" i="1" s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AB1211" i="1" s="1"/>
  <c r="AC1211" i="1" s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AB2051" i="1" s="1"/>
  <c r="AC2051" i="1" s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484" i="1"/>
  <c r="AC1484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2144" i="1"/>
  <c r="AC2144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1459" i="1"/>
  <c r="AC1459" i="1" s="1"/>
  <c r="AB2798" i="1"/>
  <c r="AC2798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2932" i="1"/>
  <c r="AC2932" i="1" s="1"/>
  <c r="AB1632" i="1"/>
  <c r="AC1632" i="1" s="1"/>
  <c r="AB1809" i="1"/>
  <c r="AC1809" i="1" s="1"/>
  <c r="AB3160" i="1"/>
  <c r="AC3160" i="1" s="1"/>
  <c r="AB2105" i="1"/>
  <c r="AC2105" i="1" s="1"/>
  <c r="AB3140" i="1"/>
  <c r="AB605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652" i="1"/>
  <c r="AC1652" i="1" s="1"/>
  <c r="AB352" i="1"/>
  <c r="AC352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808" i="1" l="1"/>
  <c r="AC808" i="1" s="1"/>
  <c r="AB668" i="1"/>
  <c r="AC668" i="1" s="1"/>
  <c r="AB1419" i="1"/>
  <c r="AC1419" i="1" s="1"/>
  <c r="AB1103" i="1"/>
  <c r="AC1103" i="1" s="1"/>
  <c r="AB433" i="1"/>
  <c r="AC433" i="1" s="1"/>
  <c r="AB2241" i="1"/>
  <c r="AC2241" i="1" s="1"/>
  <c r="AB260" i="1"/>
  <c r="AC260" i="1" s="1"/>
  <c r="AB257" i="1"/>
  <c r="AC257" i="1" s="1"/>
  <c r="AB1696" i="1"/>
  <c r="AC1696" i="1" s="1"/>
  <c r="AB3293" i="1"/>
  <c r="AC3293" i="1" s="1"/>
  <c r="AB3144" i="1"/>
  <c r="AC3144" i="1" s="1"/>
  <c r="AB1026" i="1"/>
  <c r="AC1026" i="1" s="1"/>
  <c r="AB2344" i="1"/>
  <c r="AC2344" i="1" s="1"/>
  <c r="AB1631" i="1"/>
  <c r="AC1631" i="1" s="1"/>
  <c r="AB473" i="1"/>
  <c r="AC473" i="1" s="1"/>
  <c r="AB2644" i="1"/>
  <c r="AC2644" i="1" s="1"/>
  <c r="AB2215" i="1"/>
  <c r="AC2215" i="1" s="1"/>
  <c r="AB1220" i="1"/>
  <c r="AC1220" i="1" s="1"/>
  <c r="AB679" i="1"/>
  <c r="AC679" i="1" s="1"/>
  <c r="AB1105" i="1"/>
  <c r="AC1105" i="1" s="1"/>
  <c r="AB3143" i="1"/>
  <c r="AC3143" i="1" s="1"/>
  <c r="AB112" i="1"/>
  <c r="AC112" i="1" s="1"/>
  <c r="AB1571" i="1"/>
  <c r="AC1571" i="1" s="1"/>
  <c r="AB3148" i="1"/>
  <c r="AC3148" i="1" s="1"/>
  <c r="AB1568" i="1"/>
  <c r="AC1568" i="1" s="1"/>
  <c r="AB2906" i="1"/>
  <c r="AC2906" i="1" s="1"/>
  <c r="AB2158" i="1"/>
  <c r="AC2158" i="1" s="1"/>
  <c r="AB1263" i="1"/>
  <c r="AC1263" i="1" s="1"/>
  <c r="AB3127" i="1"/>
  <c r="AC3127" i="1" s="1"/>
  <c r="AB540" i="1"/>
  <c r="AC540" i="1" s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4006" i="1" l="1"/>
  <c r="AJ4008" i="1"/>
  <c r="AI4005" i="1"/>
  <c r="AJ4005" i="1"/>
  <c r="AI4007" i="1"/>
  <c r="AJ4007" i="1"/>
  <c r="AI4006" i="1"/>
  <c r="AI4008" i="1"/>
  <c r="AI4004" i="1"/>
  <c r="AI4002" i="1"/>
  <c r="AI4003" i="1"/>
  <c r="AI4000" i="1"/>
  <c r="AI3996" i="1"/>
  <c r="AI3997" i="1"/>
  <c r="AI3995" i="1"/>
  <c r="AI3998" i="1"/>
  <c r="AI4001" i="1"/>
  <c r="AI3994" i="1"/>
  <c r="AI3999" i="1"/>
  <c r="AI3899" i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J3259" i="1" s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1552" i="1"/>
  <c r="AJ2554" i="1"/>
  <c r="AJ1518" i="1"/>
  <c r="AJ322" i="1"/>
  <c r="AJ3258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4007" i="1" l="1"/>
  <c r="AK4005" i="1"/>
  <c r="AK4008" i="1"/>
  <c r="AK4006" i="1"/>
  <c r="AJ4002" i="1"/>
  <c r="AK4002" i="1" s="1"/>
  <c r="AJ4004" i="1"/>
  <c r="AK4004" i="1" s="1"/>
  <c r="AJ4003" i="1"/>
  <c r="AK4003" i="1" s="1"/>
  <c r="AJ3386" i="1"/>
  <c r="AK3386" i="1" s="1"/>
  <c r="AJ3999" i="1"/>
  <c r="AK3999" i="1" s="1"/>
  <c r="AJ3996" i="1"/>
  <c r="AK3996" i="1" s="1"/>
  <c r="AJ4000" i="1"/>
  <c r="AK4000" i="1" s="1"/>
  <c r="AJ3994" i="1"/>
  <c r="AK3994" i="1" s="1"/>
  <c r="AJ3998" i="1"/>
  <c r="AK3998" i="1" s="1"/>
  <c r="AJ4001" i="1"/>
  <c r="AK4001" i="1" s="1"/>
  <c r="AJ3995" i="1"/>
  <c r="AK3995" i="1" s="1"/>
  <c r="AJ3997" i="1"/>
  <c r="AK3997" i="1" s="1"/>
  <c r="AJ2092" i="1"/>
  <c r="AK2092" i="1" s="1"/>
  <c r="AJ2122" i="1"/>
  <c r="AJ678" i="1"/>
  <c r="AJ3384" i="1"/>
  <c r="AK3384" i="1" s="1"/>
  <c r="AJ3311" i="1"/>
  <c r="AK3311" i="1" s="1"/>
  <c r="AJ2112" i="1"/>
  <c r="AK2112" i="1" s="1"/>
  <c r="AJ2942" i="1"/>
  <c r="AK2942" i="1" s="1"/>
  <c r="AJ2093" i="1"/>
  <c r="AK2093" i="1" s="1"/>
  <c r="AJ2457" i="1"/>
  <c r="AK2457" i="1" s="1"/>
  <c r="AJ2943" i="1"/>
  <c r="AJ1448" i="1"/>
  <c r="AJ1030" i="1"/>
  <c r="AK1030" i="1" s="1"/>
  <c r="AJ865" i="1"/>
  <c r="AK865" i="1" s="1"/>
  <c r="AJ3385" i="1"/>
  <c r="AK3385" i="1" s="1"/>
  <c r="AJ3256" i="1"/>
  <c r="AK3256" i="1" s="1"/>
  <c r="AJ657" i="1"/>
  <c r="AK657" i="1" s="1"/>
  <c r="AJ2154" i="1"/>
  <c r="AK2154" i="1" s="1"/>
  <c r="AJ1710" i="1"/>
  <c r="AJ1449" i="1"/>
  <c r="AJ1490" i="1"/>
  <c r="AK1490" i="1" s="1"/>
  <c r="AJ676" i="1"/>
  <c r="AJ3383" i="1"/>
  <c r="AK3383" i="1" s="1"/>
  <c r="AJ1095" i="1"/>
  <c r="AK1095" i="1" s="1"/>
  <c r="AJ679" i="1"/>
  <c r="AK679" i="1" s="1"/>
  <c r="AJ1553" i="1"/>
  <c r="AK1553" i="1" s="1"/>
  <c r="AJ3310" i="1"/>
  <c r="AK531" i="1"/>
  <c r="AJ432" i="1"/>
  <c r="AK432" i="1" s="1"/>
  <c r="AJ2460" i="1"/>
  <c r="AK2460" i="1" s="1"/>
  <c r="AJ675" i="1"/>
  <c r="AJ3257" i="1"/>
  <c r="AK3257" i="1" s="1"/>
  <c r="AJ677" i="1"/>
  <c r="AK677" i="1" s="1"/>
  <c r="AJ658" i="1"/>
  <c r="AK658" i="1" s="1"/>
  <c r="AJ656" i="1"/>
  <c r="AJ1073" i="1"/>
  <c r="AJ2023" i="1"/>
  <c r="AK2023" i="1" s="1"/>
  <c r="AJ339" i="1"/>
  <c r="AJ1312" i="1"/>
  <c r="AJ1103" i="1"/>
  <c r="AK1103" i="1" s="1"/>
  <c r="AJ1346" i="1"/>
  <c r="AK1346" i="1" s="1"/>
  <c r="AJ111" i="1"/>
  <c r="AK111" i="1" s="1"/>
  <c r="AJ3260" i="1"/>
  <c r="AJ979" i="1"/>
  <c r="AJ1100" i="1"/>
  <c r="AK1100" i="1" s="1"/>
  <c r="AJ1074" i="1"/>
  <c r="AK1074" i="1" s="1"/>
  <c r="AK3896" i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1644" i="1"/>
  <c r="AK3020" i="1"/>
  <c r="AK339" i="1"/>
  <c r="AK1518" i="1"/>
  <c r="AK3379" i="1"/>
  <c r="AK1526" i="1"/>
  <c r="AK117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350" i="1"/>
  <c r="AK1243" i="1"/>
  <c r="AK3258" i="1"/>
  <c r="AK1552" i="1"/>
  <c r="AK3198" i="1"/>
  <c r="AK3018" i="1"/>
  <c r="AK2218" i="1"/>
  <c r="AK656" i="1"/>
  <c r="AK486" i="1"/>
  <c r="AK1620" i="1"/>
  <c r="AK1645" i="1"/>
  <c r="AK2943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192" i="1"/>
  <c r="AK2190" i="1"/>
  <c r="AK3200" i="1"/>
  <c r="AK1580" i="1"/>
  <c r="AK529" i="1"/>
  <c r="AK36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528" i="1"/>
  <c r="AK3281" i="1"/>
  <c r="AK2231" i="1"/>
  <c r="AK361" i="1"/>
  <c r="AK979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676" i="1"/>
  <c r="AK3142" i="1"/>
  <c r="AK1497" i="1"/>
  <c r="AK2436" i="1"/>
  <c r="AK675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877" i="1" s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3299" i="1"/>
  <c r="AK3294" i="1"/>
  <c r="AJ2847" i="1"/>
  <c r="AK2847" i="1" s="1"/>
  <c r="AK1109" i="1"/>
  <c r="AJ1894" i="1"/>
  <c r="AK1894" i="1" s="1"/>
  <c r="AK890" i="1"/>
  <c r="AJ1786" i="1"/>
  <c r="AK1786" i="1" s="1"/>
  <c r="AK485" i="1"/>
  <c r="AK2458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<sst xmlns="http://schemas.openxmlformats.org/spreadsheetml/2006/main" count="52446" uniqueCount="3762">
  <si>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</si>
  <si>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</si>
  <si>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</si>
  <si>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</si>
  <si>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</si>
  <si>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</si>
  <si>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</si>
  <si>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</si>
  <si>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</si>
  <si>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</si>
  <si>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</si>
  <si>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</si>
  <si>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</si>
  <si>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</si>
  <si>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</si>
  <si>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</si>
  <si>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</si>
  <si>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</si>
  <si>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</si>
  <si>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</si>
  <si>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</si>
  <si>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</si>
  <si>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</si>
  <si>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</si>
  <si>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</si>
  <si>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</si>
  <si>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</si>
  <si>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</si>
  <si>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</si>
  <si>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</si>
  <si>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</si>
  <si>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</si>
  <si>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</si>
  <si>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</si>
  <si>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</si>
  <si>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</si>
  <si>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</si>
  <si>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</si>
  <si>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</si>
  <si>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</si>
  <si>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</si>
  <si>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</si>
  <si>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</si>
  <si>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</si>
  <si>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</si>
  <si>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</si>
  <si>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</si>
  <si>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</si>
  <si>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</si>
  <si>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</si>
  <si>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</si>
  <si>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</si>
  <si>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</si>
  <si>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</si>
  <si>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</si>
  <si>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</si>
  <si>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</si>
  <si>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</si>
  <si>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</si>
  <si>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</si>
  <si>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</si>
  <si>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</si>
  <si>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</si>
  <si>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</si>
  <si>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</si>
  <si>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</si>
  <si>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</si>
  <si>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</si>
  <si>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</si>
  <si>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</si>
  <si>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</si>
  <si>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</si>
  <si>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</si>
  <si>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</si>
  <si>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</si>
  <si>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</si>
  <si>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</si>
  <si>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</si>
  <si>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</si>
  <si>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</si>
  <si>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</si>
  <si>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</si>
  <si>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</si>
  <si>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</si>
  <si>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</si>
  <si>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</si>
  <si>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</si>
  <si>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</si>
  <si>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</si>
  <si>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</si>
  <si>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</si>
  <si>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</si>
  <si>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</si>
  <si>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</si>
  <si>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</si>
  <si>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</si>
  <si>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</si>
  <si>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</si>
  <si>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</si>
  <si>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</si>
  <si>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</si>
  <si>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</si>
  <si>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</si>
  <si>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</si>
  <si>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</si>
  <si>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</si>
  <si>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</si>
  <si>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</si>
  <si>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</si>
  <si>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</si>
  <si>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</si>
  <si>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</si>
  <si>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</si>
  <si>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</si>
  <si>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</si>
  <si>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</si>
  <si>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</si>
  <si>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</si>
  <si>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</si>
  <si>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</si>
  <si>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</si>
  <si>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</si>
  <si>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</si>
  <si>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</si>
  <si>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</si>
  <si>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</si>
  <si>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</si>
  <si>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</si>
  <si>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</si>
  <si>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</si>
  <si>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</si>
  <si>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</si>
  <si>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</si>
  <si>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</si>
  <si>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</si>
  <si>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</si>
  <si>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</si>
  <si>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</si>
  <si>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</si>
  <si>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</si>
  <si>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</si>
  <si>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</si>
  <si>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</si>
  <si>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</si>
  <si>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</si>
  <si>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</si>
  <si>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</si>
  <si>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</si>
  <si>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</si>
  <si>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</si>
  <si>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</si>
  <si>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</si>
  <si>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</si>
  <si>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</si>
  <si>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</si>
  <si>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</si>
  <si>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</si>
  <si>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</si>
  <si>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</si>
  <si>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</si>
  <si>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</si>
  <si>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</si>
  <si>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</si>
  <si>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</si>
  <si>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</si>
  <si>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</si>
  <si>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</si>
  <si>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</si>
  <si>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</si>
  <si>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</si>
  <si>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</si>
  <si>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</si>
  <si>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</si>
  <si>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</si>
  <si>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</si>
  <si>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</si>
  <si>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</si>
  <si>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</si>
  <si>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</si>
  <si>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</si>
  <si>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</si>
  <si>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</si>
  <si>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</si>
  <si>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</si>
  <si>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</si>
  <si>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</si>
  <si>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</si>
  <si>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</si>
  <si>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</si>
  <si>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</si>
  <si>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</si>
  <si>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</si>
  <si>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</si>
  <si>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</si>
  <si>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</si>
  <si>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</si>
  <si>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</si>
  <si>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</si>
  <si>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</si>
  <si>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</si>
  <si>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</si>
  <si>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</si>
  <si>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</si>
  <si>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</si>
  <si>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</si>
  <si>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</si>
  <si>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</si>
  <si>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</si>
  <si>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</si>
  <si>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</si>
  <si>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</si>
  <si>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</si>
  <si>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</si>
  <si>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</si>
  <si>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</si>
  <si>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</si>
  <si>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</si>
  <si>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</si>
  <si>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</si>
  <si>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</si>
  <si>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</si>
  <si>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</si>
  <si>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</si>
  <si>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</si>
  <si>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</si>
  <si>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</si>
  <si>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</si>
  <si>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</si>
  <si>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</si>
  <si>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</si>
  <si>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</si>
  <si>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</si>
  <si>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</si>
  <si>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</si>
  <si>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</si>
  <si>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</si>
  <si>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</si>
  <si>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</si>
  <si>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</si>
  <si>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</si>
  <si>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</si>
  <si>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</si>
  <si>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</si>
  <si>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</si>
  <si>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</si>
  <si>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</si>
  <si>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</si>
  <si>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</si>
  <si>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</si>
  <si>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</si>
  <si>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</si>
  <si>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</si>
  <si>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</si>
  <si>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</si>
  <si>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</si>
  <si>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</si>
  <si>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</si>
  <si>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</si>
  <si>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</si>
  <si>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</si>
  <si>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</si>
  <si>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</si>
  <si>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</si>
  <si>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</si>
  <si>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</si>
  <si>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</si>
  <si>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</si>
  <si>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</si>
  <si>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</si>
  <si>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</si>
  <si>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</si>
  <si>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</si>
  <si>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</si>
  <si>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</si>
  <si>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</si>
  <si>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</si>
  <si>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</si>
  <si>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</si>
  <si>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</si>
  <si>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</si>
  <si>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</si>
  <si>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</si>
  <si>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</si>
  <si>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</si>
  <si>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</si>
  <si>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</si>
  <si>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</si>
  <si>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</si>
  <si>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</si>
  <si>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</si>
  <si>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</si>
  <si>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</si>
  <si>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</si>
  <si>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</si>
  <si>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</si>
  <si>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</si>
  <si>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</si>
  <si>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</si>
  <si>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</si>
  <si>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</si>
  <si>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</si>
  <si>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</si>
  <si>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</si>
  <si>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</si>
  <si>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</si>
  <si>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</si>
  <si>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</si>
  <si>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</si>
  <si>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</si>
  <si>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</si>
  <si>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</si>
  <si>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</si>
  <si>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</si>
  <si>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</si>
  <si>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</si>
  <si>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</si>
  <si>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</si>
  <si>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</si>
  <si>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</si>
  <si>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</si>
  <si>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</si>
  <si>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</si>
  <si>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</si>
  <si>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</si>
  <si>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</si>
  <si>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</si>
  <si>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</si>
  <si>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</si>
  <si>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</si>
  <si>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</si>
  <si>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</si>
  <si>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</si>
  <si>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</si>
  <si>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</si>
  <si>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</si>
  <si>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</si>
  <si>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</si>
  <si>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</si>
  <si>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</si>
  <si>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</si>
  <si>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</si>
  <si>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</si>
  <si>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</si>
  <si>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</si>
  <si>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</si>
  <si>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</si>
  <si>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</si>
  <si>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</si>
  <si>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</si>
  <si>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</si>
  <si>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</si>
  <si>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</si>
  <si>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</si>
  <si>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</si>
  <si>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</si>
  <si>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</si>
  <si>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</si>
  <si>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</si>
  <si>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</si>
  <si>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</si>
  <si>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</si>
  <si>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</si>
  <si>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</si>
  <si>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</si>
  <si>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</si>
  <si>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</si>
  <si>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</si>
  <si>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</si>
  <si>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</si>
  <si>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</si>
  <si>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</si>
  <si>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</si>
  <si>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</si>
  <si>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</si>
  <si>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</si>
  <si>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</si>
  <si>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</si>
  <si>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</si>
  <si>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</si>
  <si>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</si>
  <si>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</si>
  <si>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</si>
  <si>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</si>
  <si>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</si>
  <si>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</si>
  <si>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</si>
  <si>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</si>
  <si>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</si>
  <si>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</si>
  <si>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</si>
  <si>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</si>
  <si>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</si>
  <si>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</si>
  <si>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</si>
  <si>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</si>
  <si>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</si>
  <si>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</si>
  <si>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</si>
  <si>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</si>
  <si>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</si>
  <si>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</si>
  <si>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</si>
  <si>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</si>
  <si>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</si>
  <si>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</si>
  <si>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</si>
  <si>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</si>
  <si>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</si>
  <si>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</si>
  <si>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</si>
  <si>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</si>
  <si>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</si>
  <si>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</si>
  <si>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</si>
  <si>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</si>
  <si>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</si>
  <si>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</si>
  <si>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</si>
  <si>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</si>
  <si>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</si>
  <si>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</si>
  <si>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</si>
  <si>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</si>
  <si>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</si>
  <si>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</si>
  <si>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</si>
  <si>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</si>
  <si>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</si>
  <si>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</si>
  <si>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</si>
  <si>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</si>
  <si>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</si>
  <si>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</si>
  <si>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</si>
  <si>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</si>
  <si>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</si>
  <si>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</si>
  <si>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</si>
  <si>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</si>
  <si>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</si>
  <si>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</si>
  <si>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</si>
  <si>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</si>
  <si>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</si>
  <si>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</si>
  <si>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</si>
  <si>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</si>
  <si>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</si>
  <si>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</si>
  <si>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</si>
  <si>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</si>
  <si>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</si>
  <si>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</si>
  <si>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</si>
  <si>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</si>
  <si>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</si>
  <si>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</si>
  <si>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</si>
  <si>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</si>
  <si>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</si>
  <si>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</si>
  <si>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</si>
  <si>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</si>
  <si>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</si>
  <si>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</si>
  <si>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</si>
  <si>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</si>
  <si>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</si>
  <si>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</si>
  <si>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</si>
  <si>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</si>
  <si>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</si>
  <si>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</si>
  <si>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</si>
  <si>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</si>
  <si>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</si>
  <si>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</si>
  <si>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</si>
  <si>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</si>
  <si>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</si>
  <si>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</si>
  <si>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</si>
  <si>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</si>
  <si>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</si>
  <si>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</si>
  <si>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</si>
  <si>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</si>
  <si>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</si>
  <si>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</si>
  <si>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</si>
  <si>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</si>
  <si>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</si>
  <si>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</si>
  <si>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</si>
  <si>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</si>
  <si>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</si>
  <si>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</si>
  <si>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</si>
  <si>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</si>
  <si>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</si>
  <si>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</si>
  <si>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</si>
  <si>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</si>
  <si>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</si>
  <si>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</si>
  <si>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</si>
  <si>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</si>
  <si>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</si>
  <si>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</si>
  <si>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</si>
  <si>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</si>
  <si>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</si>
  <si>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</si>
  <si>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</si>
  <si>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</si>
  <si>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</si>
  <si>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</si>
  <si>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</si>
  <si>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</si>
  <si>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</si>
  <si>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</si>
  <si>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</si>
  <si>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</si>
  <si>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</si>
  <si>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</si>
  <si>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</si>
  <si>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</si>
  <si>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</si>
  <si>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</si>
  <si>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</si>
  <si>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</si>
  <si>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</si>
  <si>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</si>
  <si>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</si>
  <si>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</si>
  <si>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</si>
  <si>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</si>
  <si>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</si>
  <si>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</si>
  <si>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</si>
  <si>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</si>
  <si>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</si>
  <si>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</si>
  <si>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</si>
  <si>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</si>
  <si>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</si>
  <si>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</si>
  <si>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</si>
  <si>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</si>
  <si>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</si>
  <si>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</si>
  <si>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</si>
  <si>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</si>
  <si>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</si>
  <si>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</si>
  <si>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</si>
  <si>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</si>
  <si>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</si>
  <si>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</si>
  <si>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</si>
  <si>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</si>
  <si>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</si>
  <si>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</si>
  <si>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</si>
  <si>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</si>
  <si>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</si>
  <si>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</si>
  <si>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</si>
  <si>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</si>
  <si>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</si>
  <si>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</si>
  <si>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</si>
  <si>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</si>
  <si>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</si>
  <si>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</si>
  <si>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</si>
  <si>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</si>
  <si>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</si>
  <si>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</si>
  <si>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</si>
  <si>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</si>
  <si>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</si>
  <si>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</si>
  <si>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</si>
  <si>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</si>
  <si>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</si>
  <si>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</si>
  <si>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</si>
  <si>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</si>
  <si>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</si>
  <si>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</si>
  <si>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</si>
  <si>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</si>
  <si>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</si>
  <si>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</si>
  <si>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</si>
  <si>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</si>
  <si>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</si>
  <si>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</si>
  <si>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</si>
  <si>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</si>
  <si>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</si>
  <si>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</si>
  <si>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</si>
  <si>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</si>
  <si>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</si>
  <si>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</si>
  <si>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</si>
  <si>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</si>
  <si>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</si>
  <si>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</si>
  <si>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</si>
  <si>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</si>
  <si>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</si>
  <si>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</si>
  <si>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</si>
  <si>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</si>
  <si>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</si>
  <si>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</si>
  <si>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</si>
  <si>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</si>
  <si>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</si>
  <si>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</si>
  <si>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</si>
  <si>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</si>
  <si>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</si>
  <si>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</si>
  <si>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</si>
  <si>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</si>
  <si>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</si>
  <si>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</si>
  <si>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</si>
  <si>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</si>
  <si>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</si>
  <si>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</si>
  <si>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</si>
  <si>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</si>
  <si>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</si>
  <si>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</si>
  <si>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</si>
  <si>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</si>
  <si>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</si>
  <si>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</si>
  <si>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</si>
  <si>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</si>
  <si>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</si>
  <si>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</si>
  <si>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</si>
  <si>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</si>
  <si>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</si>
  <si>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</si>
  <si>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</si>
  <si>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</si>
  <si>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</si>
  <si>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</si>
  <si>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</si>
  <si>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</si>
  <si>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</si>
  <si>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</si>
  <si>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</si>
  <si>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</si>
  <si>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</si>
  <si>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</si>
  <si>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</si>
  <si>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</si>
  <si>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</si>
  <si>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</si>
  <si>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</si>
  <si>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</si>
  <si>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</si>
  <si>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</si>
  <si>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</si>
  <si>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</si>
  <si>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</si>
  <si>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</si>
  <si>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</si>
  <si>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</si>
  <si>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</si>
  <si>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</si>
  <si>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</si>
  <si>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</si>
  <si>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</si>
  <si>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</si>
  <si>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</si>
  <si>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</si>
  <si>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</si>
  <si>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</si>
  <si>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</si>
  <si>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</si>
  <si>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</si>
  <si>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</si>
  <si>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</si>
  <si>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</si>
  <si>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</si>
  <si>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</si>
  <si>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</si>
  <si>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</si>
  <si>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</si>
  <si>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</si>
  <si>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</si>
  <si>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</si>
  <si>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</si>
  <si>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</si>
  <si>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</si>
  <si>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</si>
  <si>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</si>
  <si>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</si>
  <si>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</si>
  <si>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</si>
  <si>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</si>
  <si>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</si>
  <si>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</si>
  <si>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</si>
  <si>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</si>
  <si>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</si>
  <si>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</si>
  <si>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</si>
  <si>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</si>
  <si>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</si>
  <si>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</si>
  <si>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</si>
  <si>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</si>
  <si>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</si>
  <si>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</si>
  <si>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</si>
  <si>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</si>
  <si>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</si>
  <si>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</si>
  <si>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</si>
  <si>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</si>
  <si>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</si>
  <si>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</si>
  <si>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</si>
  <si>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</si>
  <si>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</si>
  <si>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</si>
  <si>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</si>
  <si>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</si>
  <si>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</si>
  <si>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</si>
  <si>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</si>
  <si>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</si>
  <si>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</si>
  <si>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</si>
  <si>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</si>
  <si>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</si>
  <si>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</si>
  <si>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</si>
  <si>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</si>
  <si>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</si>
  <si>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</si>
  <si>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</si>
  <si>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</si>
  <si>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</si>
  <si>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</si>
  <si>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</si>
  <si>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</si>
  <si>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</si>
  <si>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</si>
  <si>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</si>
  <si>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</si>
  <si>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</si>
  <si>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</si>
  <si>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</si>
  <si>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</si>
  <si>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</si>
  <si>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</si>
  <si>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</si>
  <si>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</si>
  <si>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</si>
  <si>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</si>
  <si>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</si>
  <si>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</si>
  <si>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</si>
  <si>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</si>
  <si>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</si>
  <si>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</si>
  <si>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</si>
  <si>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</si>
  <si>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</si>
  <si>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</si>
  <si>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</si>
  <si>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</si>
  <si>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</si>
  <si>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</si>
  <si>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</si>
  <si>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</si>
  <si>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</si>
  <si>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</si>
  <si>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</si>
  <si>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</si>
  <si>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</si>
  <si>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</si>
  <si>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</si>
  <si>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</si>
  <si>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</si>
  <si>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</si>
  <si>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</si>
  <si>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</si>
  <si>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</si>
  <si>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</si>
  <si>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</si>
  <si>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</si>
  <si>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</si>
  <si>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</si>
  <si>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</si>
  <si>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</si>
  <si>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</si>
  <si>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</si>
  <si>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</si>
  <si>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</si>
  <si>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</si>
  <si>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</si>
  <si>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</si>
  <si>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</si>
  <si>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</si>
  <si>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</si>
  <si>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</si>
  <si>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</si>
  <si>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</si>
  <si>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</si>
  <si>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</si>
  <si>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</si>
  <si>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</si>
  <si>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</si>
  <si>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</si>
  <si>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</si>
  <si>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</si>
  <si>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</si>
  <si>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</si>
  <si>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</si>
  <si>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</si>
  <si>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</si>
  <si>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</si>
  <si>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</si>
  <si>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</si>
  <si>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</si>
  <si>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</si>
  <si>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</si>
  <si>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</si>
  <si>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</si>
  <si>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</si>
  <si>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</si>
  <si>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</si>
  <si>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</si>
  <si>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</si>
  <si>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</si>
  <si>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</si>
  <si>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</si>
  <si>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</si>
  <si>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</si>
  <si>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</si>
  <si>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</si>
  <si>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</si>
  <si>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</si>
  <si>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</si>
  <si>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</si>
  <si>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</si>
  <si>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</si>
  <si>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</si>
  <si>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</si>
  <si>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</si>
  <si>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</si>
  <si>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</si>
  <si>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</si>
  <si>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</si>
  <si>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</si>
  <si>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</si>
  <si>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</si>
  <si>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</si>
  <si>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</si>
  <si>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</si>
  <si>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</si>
  <si>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</si>
  <si>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</si>
  <si>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</si>
  <si>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</si>
  <si>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</si>
  <si>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</si>
  <si>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</si>
  <si>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</si>
  <si>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</si>
  <si>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</si>
  <si>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</si>
  <si>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</si>
  <si>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</si>
  <si>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</si>
  <si>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</si>
  <si>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</si>
  <si>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</si>
  <si>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</si>
  <si>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</si>
  <si>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</si>
  <si>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</si>
  <si>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</si>
  <si>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</si>
  <si>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</si>
  <si>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</si>
  <si>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</si>
  <si>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</si>
  <si>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</si>
  <si>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</si>
  <si>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</si>
  <si>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</si>
  <si>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</si>
  <si>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</si>
  <si>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</si>
  <si>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</si>
  <si>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</si>
  <si>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</si>
  <si>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</si>
  <si>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</si>
  <si>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</si>
  <si>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</si>
  <si>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</si>
  <si>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</si>
  <si>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</si>
  <si>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</si>
  <si>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</si>
  <si>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</si>
  <si>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</si>
  <si>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</si>
  <si>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</si>
  <si>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</si>
  <si>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</si>
  <si>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</si>
  <si>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</si>
  <si>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</si>
  <si>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</si>
  <si>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</si>
  <si>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</si>
  <si>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</si>
  <si>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</si>
  <si>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</si>
  <si>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</si>
  <si>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</si>
  <si>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</si>
  <si>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</si>
  <si>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</si>
  <si>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</si>
  <si>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</si>
  <si>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</si>
  <si>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</si>
  <si>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</si>
  <si>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</si>
  <si>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</si>
  <si>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</si>
  <si>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</si>
  <si>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</si>
  <si>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</si>
  <si>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</si>
  <si>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</si>
  <si>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</si>
  <si>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</si>
  <si>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</si>
  <si>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</si>
  <si>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</si>
  <si>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</si>
  <si>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</si>
  <si>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</si>
  <si>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</si>
  <si>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</si>
  <si>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</si>
  <si>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</si>
  <si>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</si>
  <si>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</si>
  <si>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</si>
  <si>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</si>
  <si>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</si>
  <si>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</si>
  <si>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</si>
  <si>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</si>
  <si>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</si>
  <si>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</si>
  <si>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</si>
  <si>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</si>
  <si>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</si>
  <si>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</si>
  <si>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</si>
  <si>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</si>
  <si>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</si>
  <si>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</si>
  <si>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</si>
  <si>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</si>
  <si>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</si>
  <si>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</si>
  <si>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</si>
  <si>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</si>
  <si>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</si>
  <si>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</si>
  <si>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</si>
  <si>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</si>
  <si>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</si>
  <si>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</si>
  <si>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</si>
  <si>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</si>
  <si>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</si>
  <si>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</si>
  <si>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</si>
  <si>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</si>
  <si>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</si>
  <si>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</si>
  <si>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</si>
  <si>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</si>
  <si>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</si>
  <si>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</si>
  <si>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</si>
  <si>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</si>
  <si>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</si>
  <si>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</si>
  <si>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</si>
  <si>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</si>
  <si>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</si>
  <si>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</si>
  <si>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</si>
  <si>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</si>
  <si>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</si>
  <si>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</si>
  <si>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</si>
  <si>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</si>
  <si>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</si>
  <si>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</si>
  <si>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</si>
  <si>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</si>
  <si>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</si>
  <si>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</si>
  <si>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</si>
  <si>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</si>
  <si>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</si>
  <si>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</si>
  <si>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</si>
  <si>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</si>
  <si>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</si>
  <si>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</si>
  <si>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</si>
  <si>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</si>
  <si>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</si>
  <si>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</si>
  <si>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</si>
  <si>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</si>
  <si>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</si>
  <si>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</si>
  <si>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</si>
  <si>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</si>
  <si>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</si>
  <si>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</si>
  <si>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</si>
  <si>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</si>
  <si>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</si>
  <si>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</si>
  <si>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</si>
  <si>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</si>
  <si>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</si>
  <si>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</si>
  <si>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</si>
  <si>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</si>
  <si>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</si>
  <si>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</si>
  <si>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</si>
  <si>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</si>
  <si>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</si>
  <si>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</si>
  <si>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</si>
  <si>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</si>
  <si>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</si>
  <si>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</si>
  <si>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</si>
  <si>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</si>
  <si>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</si>
  <si>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</si>
  <si>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</si>
  <si>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</si>
  <si>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</si>
  <si>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</si>
  <si>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</si>
  <si>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</si>
  <si>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</si>
  <si>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</si>
  <si>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</si>
  <si>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</si>
  <si>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</si>
  <si>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</si>
  <si>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</si>
  <si>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</si>
  <si>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</si>
  <si>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</si>
  <si>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</si>
  <si>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</si>
  <si>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</si>
  <si>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</si>
  <si>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</si>
  <si>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</si>
  <si>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</si>
  <si>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</si>
  <si>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</si>
  <si>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</si>
  <si>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</si>
  <si>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</si>
  <si>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</si>
  <si>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</si>
  <si>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</si>
  <si>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</si>
  <si>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</si>
  <si>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</si>
  <si>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</si>
  <si>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</si>
  <si>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</si>
  <si>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</si>
  <si>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</si>
  <si>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</si>
  <si>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</si>
  <si>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</si>
  <si>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</si>
  <si>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</si>
  <si>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</si>
  <si>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</si>
  <si>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</si>
  <si>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</si>
  <si>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</si>
  <si>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</si>
  <si>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</si>
  <si>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</si>
  <si>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</si>
  <si>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</si>
  <si>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</si>
  <si>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</si>
  <si>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</si>
  <si>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</si>
  <si>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</si>
  <si>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</si>
  <si>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</si>
  <si>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</si>
  <si>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</si>
  <si>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</si>
  <si>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</si>
  <si>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</si>
  <si>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</si>
  <si>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</si>
  <si>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</si>
  <si>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</si>
  <si>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</si>
  <si>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</si>
  <si>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</si>
  <si>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</si>
  <si>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</si>
  <si>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</si>
  <si>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</si>
  <si>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</si>
  <si>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</si>
  <si>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</si>
  <si>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</si>
  <si>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</si>
  <si>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</si>
  <si>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</si>
  <si>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</si>
  <si>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</si>
  <si>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</si>
  <si>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</si>
  <si>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</si>
  <si>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</si>
  <si>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</si>
  <si>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</si>
  <si>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</si>
  <si>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</si>
  <si>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</si>
  <si>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</si>
  <si>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</si>
  <si>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</si>
  <si>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</si>
  <si>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</si>
  <si>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</si>
  <si>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</si>
  <si>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</si>
  <si>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</si>
  <si>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</si>
  <si>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</si>
  <si>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</si>
  <si>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</si>
  <si>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</si>
  <si>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</si>
  <si>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</si>
  <si>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</si>
  <si>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</si>
  <si>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</si>
  <si>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</si>
  <si>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</si>
  <si>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</si>
  <si>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</si>
  <si>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</si>
  <si>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</si>
  <si>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</si>
  <si>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</si>
  <si>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</si>
  <si>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</si>
  <si>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</si>
  <si>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</si>
  <si>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</si>
  <si>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</si>
  <si>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</si>
  <si>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</si>
  <si>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</si>
  <si>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</si>
  <si>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</si>
  <si>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</si>
  <si>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</si>
  <si>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</si>
  <si>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</si>
  <si>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</si>
  <si>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</si>
  <si>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</si>
  <si>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</si>
  <si>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</si>
  <si>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</si>
  <si>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</si>
  <si>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</si>
  <si>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</si>
  <si>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</si>
  <si>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</si>
  <si>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</si>
  <si>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</si>
  <si>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</si>
  <si>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</si>
  <si>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</si>
  <si>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</si>
  <si>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</si>
  <si>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</si>
  <si>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</si>
  <si>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</si>
  <si>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</si>
  <si>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</si>
  <si>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</si>
  <si>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</si>
  <si>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</si>
  <si>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</si>
  <si>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</si>
  <si>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</si>
  <si>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</si>
  <si>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</si>
  <si>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</si>
  <si>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</si>
  <si>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</si>
  <si>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</si>
  <si>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</si>
  <si>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</si>
  <si>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</si>
  <si>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</si>
  <si>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</si>
  <si>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</si>
  <si>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</si>
  <si>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</si>
  <si>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</si>
  <si>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</si>
  <si>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</si>
  <si>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</si>
  <si>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</si>
  <si>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</si>
  <si>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</si>
  <si>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</si>
  <si>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</si>
  <si>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</si>
  <si>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</si>
  <si>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</si>
  <si>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</si>
  <si>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</si>
  <si>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</si>
  <si>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</si>
  <si>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</si>
  <si>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</si>
  <si>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</si>
  <si>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</si>
  <si>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</si>
  <si>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</si>
  <si>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</si>
  <si>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</si>
  <si>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</si>
  <si>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</si>
  <si>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</si>
  <si>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</si>
  <si>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</si>
  <si>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</si>
  <si>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</si>
  <si>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</si>
  <si>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</si>
  <si>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</si>
  <si>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</si>
  <si>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</si>
  <si>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</si>
  <si>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</si>
  <si>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</si>
  <si>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</si>
  <si>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</si>
  <si>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</si>
  <si>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</si>
  <si>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</si>
  <si>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</si>
  <si>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</si>
  <si>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</si>
  <si>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</si>
  <si>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</si>
  <si>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</si>
  <si>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</si>
  <si>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</si>
  <si>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</si>
  <si>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</si>
  <si>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</si>
  <si>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</si>
  <si>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</si>
  <si>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</si>
  <si>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</si>
  <si>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</si>
  <si>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</si>
  <si>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</si>
  <si>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</si>
  <si>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</si>
  <si>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</si>
  <si>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</si>
  <si>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</si>
  <si>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</si>
  <si>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</si>
  <si>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</si>
  <si>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</si>
  <si>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</si>
  <si>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</si>
  <si>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</si>
  <si>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</si>
  <si>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</si>
  <si>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</si>
  <si>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</si>
  <si>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</si>
  <si>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</si>
  <si>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</si>
  <si>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</si>
  <si>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</si>
  <si>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</si>
  <si>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</si>
  <si>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</si>
  <si>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</si>
  <si>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</si>
  <si>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</si>
  <si>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</si>
  <si>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</si>
  <si>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</si>
  <si>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</si>
  <si>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</si>
  <si>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</si>
  <si>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</si>
  <si>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</si>
  <si>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</si>
  <si>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</si>
  <si>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</si>
  <si>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</si>
  <si>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</si>
  <si>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</si>
  <si>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</si>
  <si>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</si>
  <si>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</si>
  <si>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</si>
  <si>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</si>
  <si>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</si>
  <si>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</si>
  <si>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</si>
  <si>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</si>
  <si>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</si>
  <si>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</si>
  <si>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</si>
  <si>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</si>
  <si>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</si>
  <si>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</si>
  <si>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</si>
  <si>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</si>
  <si>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</si>
  <si>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</si>
  <si>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</si>
  <si>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</si>
  <si>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</si>
  <si>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</si>
  <si>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</si>
  <si>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</si>
  <si>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</si>
  <si>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</si>
  <si>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</si>
  <si>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</si>
  <si>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</si>
  <si>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</si>
  <si>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</si>
  <si>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</si>
  <si>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</si>
  <si>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</si>
  <si>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</si>
  <si>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</si>
  <si>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</si>
  <si>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</si>
  <si>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</si>
  <si>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</si>
  <si>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</si>
  <si>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</si>
  <si>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</si>
  <si>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</si>
  <si>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</si>
  <si>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</si>
  <si>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</si>
  <si>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</si>
  <si>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</si>
  <si>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</si>
  <si>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</si>
  <si>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</si>
  <si>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</si>
  <si>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</si>
  <si>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</si>
  <si>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</si>
  <si>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</si>
  <si>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</si>
  <si>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</si>
  <si>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</si>
  <si>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</si>
  <si>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</si>
  <si>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</si>
  <si>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</si>
  <si>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</si>
  <si>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</si>
  <si>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</si>
  <si>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</si>
  <si>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</si>
  <si>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</si>
  <si>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</si>
  <si>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</si>
  <si>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</si>
  <si>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</si>
  <si>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</si>
  <si>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</si>
  <si>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</si>
  <si>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</si>
  <si>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</si>
  <si>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</si>
  <si>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</si>
  <si>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</si>
  <si>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</si>
  <si>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</si>
  <si>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</si>
  <si>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</si>
  <si>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</si>
  <si>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</si>
  <si>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</si>
  <si>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</si>
  <si>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</si>
  <si>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</si>
  <si>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</si>
  <si>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</si>
  <si>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</si>
  <si>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</si>
  <si>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</si>
  <si>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</si>
  <si>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</si>
  <si>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</si>
  <si>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</si>
  <si>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</si>
  <si>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</si>
  <si>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</si>
  <si>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</si>
  <si>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</si>
  <si>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</si>
  <si>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</si>
  <si>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</si>
  <si>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</si>
  <si>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</si>
  <si>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</si>
  <si>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</si>
  <si>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</si>
  <si>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</si>
  <si>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</si>
  <si>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</si>
  <si>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</si>
  <si>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</si>
  <si>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</si>
  <si>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</si>
  <si>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</si>
  <si>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</si>
  <si>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</si>
  <si>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</si>
  <si>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</si>
  <si>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</si>
  <si>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</si>
  <si>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</si>
  <si>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</si>
  <si>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</si>
  <si>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</si>
  <si>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</si>
  <si>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</si>
  <si>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</si>
  <si>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</si>
  <si>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</si>
  <si>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</si>
  <si>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</si>
  <si>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</si>
  <si>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</si>
  <si>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</si>
  <si>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</si>
  <si>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</si>
  <si>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</si>
  <si>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</si>
  <si>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</si>
  <si>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</si>
  <si>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</si>
  <si>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</si>
  <si>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</si>
  <si>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</si>
  <si>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</si>
  <si>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</si>
  <si>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</si>
  <si>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</si>
  <si>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</si>
  <si>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</si>
  <si>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</si>
  <si>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</si>
  <si>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</si>
  <si>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</si>
  <si>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</si>
  <si>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</si>
  <si>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</si>
  <si>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</si>
  <si>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</si>
  <si>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</si>
  <si>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</si>
  <si>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</si>
  <si>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</si>
  <si>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</si>
  <si>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</si>
  <si>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</si>
  <si>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</si>
  <si>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</si>
  <si>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</si>
  <si>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</si>
  <si>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</si>
  <si>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</si>
  <si>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</si>
  <si>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</si>
  <si>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</si>
  <si>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</si>
  <si>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</si>
  <si>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</si>
  <si>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</si>
  <si>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</si>
  <si>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</si>
  <si>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</si>
  <si>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</si>
  <si>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</si>
  <si>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</si>
  <si>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</si>
  <si>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</si>
  <si>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</si>
  <si>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</si>
  <si>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</si>
  <si>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</si>
  <si>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</si>
  <si>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</si>
  <si>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</si>
  <si>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</si>
  <si>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</si>
  <si>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</si>
  <si>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</si>
  <si>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</si>
  <si>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</si>
  <si>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</si>
  <si>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</si>
  <si>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</si>
  <si>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</si>
  <si>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</si>
  <si>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</si>
  <si>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</si>
  <si>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</si>
  <si>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</si>
  <si>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</si>
  <si>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</si>
  <si>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</si>
  <si>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</si>
  <si>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</si>
  <si>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</si>
  <si>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</si>
  <si>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</si>
  <si>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</si>
  <si>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</si>
  <si>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</si>
  <si>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</si>
  <si>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</si>
  <si>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</si>
  <si>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</si>
  <si>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</si>
  <si>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</si>
  <si>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</si>
  <si>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</si>
  <si>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</si>
  <si>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</si>
  <si>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</si>
  <si>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</si>
  <si>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</si>
  <si>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</si>
  <si>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</si>
  <si>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</si>
  <si>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</si>
  <si>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</si>
  <si>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</si>
  <si>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</si>
  <si>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</si>
  <si>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</si>
  <si>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</si>
  <si>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</si>
  <si>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</si>
  <si>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</si>
  <si>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</si>
  <si>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</si>
  <si>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</si>
  <si>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</si>
  <si>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</si>
  <si>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</si>
  <si>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</si>
  <si>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</si>
  <si>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</si>
  <si>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</si>
  <si>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</si>
  <si>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</si>
  <si>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</si>
  <si>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</si>
  <si>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</si>
  <si>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</si>
  <si>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</si>
  <si>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</si>
  <si>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</si>
  <si>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</si>
  <si>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</si>
  <si>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</si>
  <si>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</si>
  <si>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</si>
  <si>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</si>
  <si>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</si>
  <si>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</si>
  <si>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</si>
  <si>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</si>
  <si>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</si>
  <si>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</si>
  <si>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</si>
  <si>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</si>
  <si>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</si>
  <si>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</si>
  <si>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</si>
  <si>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</si>
  <si>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</si>
  <si>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</si>
  <si>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</si>
  <si>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</si>
  <si>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</si>
  <si>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</si>
  <si>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</si>
  <si>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</si>
  <si>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</si>
  <si>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</si>
  <si>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</si>
  <si>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</si>
  <si>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</si>
  <si>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</si>
  <si>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</si>
  <si>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</si>
  <si>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</si>
  <si>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</si>
  <si>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</si>
  <si>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</si>
  <si>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</si>
  <si>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</si>
  <si>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</si>
  <si>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</si>
  <si>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</si>
  <si>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</si>
  <si>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</si>
  <si>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</si>
  <si>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</si>
  <si>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</si>
  <si>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</si>
  <si>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</si>
  <si>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</si>
  <si>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</si>
  <si>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</si>
  <si>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</si>
  <si>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</si>
  <si>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</si>
  <si>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</si>
  <si>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</si>
  <si>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</si>
  <si>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</si>
  <si>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</si>
  <si>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</si>
  <si>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</si>
  <si>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</si>
  <si>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</si>
  <si>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</si>
  <si>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</si>
  <si>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</si>
  <si>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</si>
  <si>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</si>
  <si>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</si>
  <si>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</si>
  <si>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</si>
  <si>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</si>
  <si>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</si>
  <si>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</si>
  <si>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</si>
  <si>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</si>
  <si>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</si>
  <si>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</si>
  <si>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</si>
  <si>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</si>
  <si>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</si>
  <si>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</si>
  <si>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</si>
  <si>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</si>
  <si>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</si>
  <si>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</si>
  <si>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</si>
  <si>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</si>
  <si>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</si>
  <si>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</si>
  <si>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</si>
  <si>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</si>
  <si>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</si>
  <si>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</si>
  <si>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</si>
  <si>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</si>
  <si>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</si>
  <si>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</si>
  <si>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</si>
  <si>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</si>
  <si>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</si>
  <si>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</si>
  <si>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</si>
  <si>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</si>
  <si>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</si>
  <si>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</si>
  <si>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</si>
  <si>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</si>
  <si>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</si>
  <si>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</si>
  <si>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</si>
  <si>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</si>
  <si>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</si>
  <si>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</si>
  <si>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</si>
  <si>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</si>
  <si>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</si>
  <si>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</si>
  <si>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</si>
  <si>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</si>
  <si>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</si>
  <si>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</si>
  <si>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</si>
  <si>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</si>
  <si>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</si>
  <si>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</si>
  <si>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</si>
  <si>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</si>
  <si>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</si>
  <si>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</si>
  <si>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</si>
  <si>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</si>
  <si>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</si>
  <si>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</si>
  <si>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</si>
  <si>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</si>
  <si>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</si>
  <si>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</si>
  <si>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</si>
  <si>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</si>
  <si>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</si>
  <si>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</si>
  <si>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</si>
  <si>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</si>
  <si>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</si>
  <si>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</si>
  <si>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</si>
  <si>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</si>
  <si>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</si>
  <si>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</si>
  <si>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</si>
  <si>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</si>
  <si>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</si>
  <si>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</si>
  <si>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</si>
  <si>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</si>
  <si>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</si>
  <si>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</si>
  <si>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</si>
  <si>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</si>
  <si>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</si>
  <si>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</si>
  <si>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</si>
  <si>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</si>
  <si>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</si>
  <si>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</si>
  <si>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</si>
  <si>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</si>
  <si>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</si>
  <si>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</si>
  <si>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</si>
  <si>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</si>
  <si>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</si>
  <si>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</si>
  <si>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</si>
  <si>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</si>
  <si>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</si>
  <si>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</si>
  <si>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</si>
  <si>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</si>
  <si>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</si>
  <si>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</si>
  <si>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</si>
  <si>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</si>
  <si>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</si>
  <si>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</si>
  <si>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</si>
  <si>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</si>
  <si>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</si>
  <si>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</si>
  <si>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</si>
  <si>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</si>
  <si>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</si>
  <si>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</si>
  <si>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</si>
  <si>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</si>
  <si>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</si>
  <si>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</si>
  <si>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</si>
  <si>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</si>
  <si>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</si>
  <si>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</si>
  <si>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</si>
  <si>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</si>
  <si>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</si>
  <si>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</si>
  <si>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</si>
  <si>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</si>
  <si>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</si>
  <si>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</si>
  <si>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</si>
  <si>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</si>
  <si>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</si>
  <si>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</si>
  <si>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</si>
  <si>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</si>
  <si>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</si>
  <si>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</si>
  <si>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</si>
  <si>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</si>
  <si>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</si>
  <si>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</si>
  <si>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</si>
  <si>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</si>
  <si>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</si>
  <si>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</si>
  <si>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</si>
  <si>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</si>
  <si>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</si>
  <si>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</si>
  <si>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</si>
  <si>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</si>
  <si>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</si>
  <si>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</si>
  <si>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</si>
  <si>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</si>
  <si>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</si>
  <si>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</si>
  <si>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</si>
  <si>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</si>
  <si>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</si>
  <si>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</si>
  <si>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</si>
  <si>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</si>
  <si>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</si>
  <si>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</si>
  <si>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</si>
  <si>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</si>
  <si>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</si>
  <si>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</si>
  <si>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</si>
  <si>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</si>
  <si>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</si>
  <si>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</si>
  <si>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</si>
  <si>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</si>
  <si>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</si>
  <si>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</si>
  <si>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</si>
  <si>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</si>
  <si>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</si>
  <si>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</si>
  <si>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</si>
  <si>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</si>
  <si>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</si>
  <si>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</si>
  <si>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</si>
  <si>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</si>
  <si>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</si>
  <si>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</si>
  <si>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</si>
  <si>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</si>
  <si>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</si>
  <si>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</si>
  <si>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</si>
  <si>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</si>
  <si>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</si>
  <si>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</si>
  <si>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</si>
  <si>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</si>
  <si>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</si>
  <si>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</si>
  <si>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</si>
  <si>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</si>
  <si>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</si>
  <si>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</si>
  <si>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</si>
  <si>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</si>
  <si>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</si>
  <si>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</si>
  <si>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</si>
  <si>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</si>
  <si>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</si>
  <si>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</si>
  <si>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</si>
  <si>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</si>
  <si>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</si>
  <si>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</si>
  <si>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</si>
  <si>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</si>
  <si>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</si>
  <si>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</si>
  <si>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</si>
  <si>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</si>
  <si>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</si>
  <si>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</si>
  <si>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</si>
  <si>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</si>
  <si>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</si>
  <si>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</si>
  <si>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</si>
  <si>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</si>
  <si>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</si>
  <si>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</si>
  <si>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</si>
  <si>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</si>
  <si>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</si>
  <si>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</si>
  <si>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</si>
  <si>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</si>
  <si>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</si>
  <si>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</si>
  <si>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</si>
  <si>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</si>
  <si>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</si>
  <si>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</si>
  <si>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</si>
  <si>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</si>
  <si>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</si>
  <si>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</si>
  <si>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</si>
  <si>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</si>
  <si>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</si>
  <si>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</si>
  <si>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</si>
  <si>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</si>
  <si>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</si>
  <si>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</si>
  <si>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</si>
  <si>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</si>
  <si>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</si>
  <si>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</si>
  <si>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</si>
  <si>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</si>
  <si>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</si>
  <si>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</si>
  <si>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</si>
  <si>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</si>
  <si>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</si>
  <si>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</si>
  <si>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</si>
  <si>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</si>
  <si>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</si>
  <si>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</si>
  <si>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</si>
  <si>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</si>
  <si>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</si>
  <si>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</si>
  <si>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</si>
  <si>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</si>
  <si>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</si>
  <si>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</si>
  <si>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</si>
  <si>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</si>
  <si>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</si>
  <si>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</si>
  <si>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</si>
  <si>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</si>
  <si>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</si>
  <si>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</si>
  <si>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</si>
  <si>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</si>
  <si>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</si>
  <si>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</si>
  <si>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</si>
  <si>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</si>
  <si>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</si>
  <si>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</si>
  <si>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</si>
  <si>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</si>
  <si>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</si>
  <si>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</si>
  <si>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</si>
  <si>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</si>
  <si>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</si>
  <si>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</si>
  <si>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</si>
  <si>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</si>
  <si>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</si>
  <si>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</si>
  <si>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</si>
  <si>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</si>
  <si>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</si>
  <si>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</si>
  <si>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</si>
  <si>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</si>
  <si>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</si>
  <si>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</si>
  <si>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</si>
  <si>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</si>
  <si>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</si>
  <si>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</si>
  <si>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</si>
  <si>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</si>
  <si>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</si>
  <si>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</si>
  <si>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</si>
  <si>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</si>
  <si>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</si>
  <si>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</si>
  <si>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</si>
  <si>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</si>
  <si>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</si>
  <si>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</si>
  <si>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</si>
  <si>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</si>
  <si>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</si>
  <si>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</si>
  <si>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</si>
  <si>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</si>
  <si>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</si>
  <si>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</si>
  <si>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</si>
  <si>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</si>
  <si>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</si>
  <si>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</si>
  <si>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</si>
  <si>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</si>
  <si>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</si>
  <si>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</si>
  <si>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</si>
  <si>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</si>
  <si>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</si>
  <si>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</si>
  <si>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</si>
  <si>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</si>
  <si>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</si>
  <si>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</si>
  <si>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</si>
  <si>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</si>
  <si>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</si>
  <si>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</si>
  <si>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</si>
  <si>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</si>
  <si>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</si>
  <si>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</si>
  <si>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</si>
  <si>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</si>
  <si>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</si>
  <si>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</si>
  <si>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</si>
  <si>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</si>
  <si>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</si>
  <si>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</si>
  <si>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</si>
  <si>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</si>
  <si>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</si>
  <si>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</si>
  <si>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</si>
  <si>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</si>
  <si>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</si>
  <si>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</si>
  <si>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</si>
  <si>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</si>
  <si>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</si>
  <si>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</si>
  <si>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</si>
  <si>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</si>
  <si>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</si>
  <si>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</si>
  <si>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</si>
  <si>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</si>
  <si>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</si>
  <si>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</si>
  <si>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</si>
  <si>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</si>
  <si>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</si>
  <si>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</si>
  <si>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</si>
  <si>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</si>
  <si>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</si>
  <si>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</si>
  <si>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</si>
  <si>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</si>
  <si>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</si>
  <si>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</si>
  <si>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</si>
  <si>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</si>
  <si>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</si>
  <si>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</si>
  <si>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</si>
  <si>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</si>
  <si>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</si>
  <si>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</si>
  <si>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</si>
  <si>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</si>
  <si>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</si>
  <si>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</si>
  <si>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</si>
  <si>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</si>
  <si>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</si>
  <si>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</si>
  <si>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</si>
  <si>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</si>
  <si>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</si>
  <si>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</si>
  <si>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</si>
  <si>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</si>
  <si>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</si>
  <si>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</si>
  <si>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</si>
  <si>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</si>
  <si>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</si>
  <si>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</si>
  <si>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</si>
  <si>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</si>
  <si>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</si>
  <si>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</si>
  <si>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</si>
  <si>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</si>
  <si>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</si>
  <si>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</si>
  <si>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</si>
  <si>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</si>
  <si>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</si>
  <si>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</si>
  <si>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</si>
  <si>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</si>
  <si>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</si>
  <si>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</si>
  <si>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</si>
  <si>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</si>
  <si>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</si>
  <si>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</si>
  <si>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</si>
  <si>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</si>
  <si>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</si>
  <si>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</si>
  <si>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</si>
  <si>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</si>
  <si>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</si>
  <si>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</si>
  <si>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</si>
  <si>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</si>
  <si>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</si>
  <si>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</si>
  <si>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</si>
  <si>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</si>
  <si>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</si>
  <si>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</si>
  <si>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</si>
  <si>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</si>
  <si>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</si>
  <si>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</si>
  <si>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</si>
  <si>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</si>
  <si>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</si>
  <si>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</si>
  <si>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</si>
  <si>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</si>
  <si>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</si>
  <si>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</si>
  <si>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</si>
  <si>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</si>
  <si>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</si>
  <si>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</si>
  <si>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</si>
  <si>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</si>
  <si>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</si>
  <si>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</si>
  <si>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</si>
  <si>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</si>
  <si>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</si>
  <si>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</si>
  <si>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</si>
  <si>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</si>
  <si>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</si>
  <si>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</si>
  <si>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</si>
  <si>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</si>
  <si>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</si>
  <si>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</si>
  <si>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</si>
  <si>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</si>
  <si>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</si>
  <si>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</si>
  <si>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</si>
  <si>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</si>
  <si>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</si>
  <si>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</si>
  <si>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</si>
  <si>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</si>
  <si>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</si>
  <si>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</si>
  <si>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</si>
  <si>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</si>
  <si>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</si>
  <si>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</si>
  <si>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</si>
  <si>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</si>
  <si>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</si>
  <si>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</si>
  <si>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</si>
  <si>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</si>
  <si>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</si>
  <si>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</si>
  <si>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</si>
  <si>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</si>
  <si>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</si>
  <si>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</si>
  <si>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</si>
  <si>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</si>
  <si>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</si>
  <si>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</si>
  <si>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</si>
  <si>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</si>
  <si>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</si>
  <si>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</si>
  <si>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</si>
  <si>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</si>
  <si>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</si>
  <si>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</si>
  <si>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</si>
  <si>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</si>
  <si>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</si>
  <si>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</si>
  <si>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</si>
  <si>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</si>
  <si>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</si>
  <si>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</si>
  <si>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</si>
  <si>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</si>
  <si>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</si>
  <si>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</si>
  <si>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</si>
  <si>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</si>
  <si>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</si>
  <si>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</si>
  <si>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</si>
  <si>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</si>
  <si>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</si>
  <si>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</si>
  <si>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</si>
  <si>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</si>
  <si>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</si>
  <si>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</si>
  <si>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</si>
  <si>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</si>
  <si>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</si>
  <si>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</si>
  <si>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</si>
  <si>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</si>
  <si>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</si>
  <si>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</si>
  <si>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</si>
  <si>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</si>
  <si>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</si>
  <si>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</si>
  <si>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</si>
  <si>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</si>
  <si>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</si>
  <si>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</si>
  <si>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</si>
  <si>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</si>
  <si>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</si>
  <si>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</si>
  <si>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</si>
  <si>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</si>
  <si>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</si>
  <si>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</si>
  <si>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</si>
  <si>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</si>
  <si>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</si>
  <si>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</si>
  <si>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</si>
  <si>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</si>
  <si>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</si>
  <si>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</si>
  <si>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</si>
  <si>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</si>
  <si>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</si>
  <si>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</si>
  <si>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</si>
  <si>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</si>
  <si>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</si>
  <si>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</si>
  <si>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</si>
  <si>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</si>
  <si>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</si>
  <si>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</si>
  <si>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</si>
  <si>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</si>
  <si>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</si>
  <si>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</si>
  <si>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</si>
  <si>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</si>
  <si>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</si>
  <si>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</si>
  <si>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</si>
  <si>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</si>
  <si>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</si>
  <si>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</si>
  <si>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</si>
  <si>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</si>
  <si>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</si>
  <si>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</si>
  <si>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</si>
  <si>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</si>
  <si>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</si>
  <si>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</si>
  <si>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</si>
  <si>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</si>
  <si>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</si>
  <si>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</si>
  <si>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</si>
  <si>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</si>
  <si>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</si>
  <si>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</si>
  <si>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</si>
  <si>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</si>
  <si>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</si>
  <si>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</si>
  <si>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</si>
  <si>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</si>
  <si>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</si>
  <si>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</si>
  <si>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</si>
  <si>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</si>
  <si>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</si>
  <si>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</si>
  <si>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</si>
  <si>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</si>
  <si>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</si>
  <si>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</si>
  <si>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</si>
  <si>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</si>
  <si>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</si>
  <si>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</si>
  <si>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</si>
  <si>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</si>
  <si>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</si>
  <si>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</si>
  <si>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</si>
  <si>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</si>
  <si>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</si>
  <si>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</si>
  <si>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</si>
  <si>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</si>
  <si>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</si>
  <si>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</si>
  <si>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</si>
  <si>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</si>
  <si>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</si>
  <si>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</si>
  <si>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</si>
  <si>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</si>
  <si>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</si>
  <si>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</si>
  <si>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</si>
  <si>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</si>
  <si>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</si>
  <si>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</si>
  <si>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</si>
  <si>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</si>
  <si>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</si>
  <si>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</si>
  <si>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</si>
  <si>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</si>
  <si>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</si>
  <si>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</si>
  <si>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</si>
  <si>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</si>
  <si>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</si>
  <si>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</si>
  <si>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</si>
  <si>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</si>
  <si>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</si>
  <si>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</si>
  <si>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</si>
  <si>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</si>
  <si>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</si>
  <si>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</si>
  <si>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</si>
  <si>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</si>
  <si>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</si>
  <si>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</si>
  <si>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</si>
  <si>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</si>
  <si>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</si>
  <si>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</si>
  <si>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</si>
  <si>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</si>
  <si>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</si>
  <si>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</si>
  <si>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</si>
  <si>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</si>
  <si>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</si>
  <si>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</si>
  <si>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</si>
  <si>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</si>
  <si>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</si>
  <si>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</si>
  <si>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</si>
  <si>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</si>
  <si>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</si>
  <si>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</si>
  <si>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</si>
  <si>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</si>
  <si>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</si>
  <si>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</si>
  <si>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</si>
  <si>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</si>
  <si>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</si>
  <si>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</si>
  <si>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</si>
  <si>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</si>
  <si>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</si>
  <si>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</si>
  <si>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</si>
  <si>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</si>
  <si>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</si>
  <si>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</si>
  <si>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</si>
  <si>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</si>
  <si>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</si>
  <si>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</si>
  <si>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</si>
  <si>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</si>
  <si>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</si>
  <si>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</si>
  <si>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</si>
  <si>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</si>
  <si>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</si>
  <si>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</si>
  <si>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</si>
  <si>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</si>
  <si>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</si>
  <si>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</si>
  <si>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</si>
  <si>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</si>
  <si>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</si>
  <si>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</si>
  <si>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</si>
  <si>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</si>
  <si>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</si>
  <si>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</si>
  <si>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</si>
  <si>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</si>
  <si>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</si>
  <si>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</si>
  <si>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</si>
  <si>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</si>
  <si>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</si>
  <si>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</si>
  <si>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</si>
  <si>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</si>
  <si>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</si>
  <si>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</si>
  <si>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</si>
  <si>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</si>
  <si>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</si>
  <si>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</si>
  <si>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</si>
  <si>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</si>
  <si>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</si>
  <si>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</si>
  <si>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</si>
  <si>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</si>
  <si>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</si>
  <si>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</si>
  <si>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</si>
  <si>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</si>
  <si>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</si>
  <si>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</si>
  <si>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</si>
  <si>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</si>
  <si>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</si>
  <si>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</si>
  <si>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</si>
  <si>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</si>
  <si>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</si>
  <si>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</si>
  <si>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</si>
  <si>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</si>
  <si>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</si>
  <si>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</si>
  <si>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</si>
  <si>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</si>
  <si>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</si>
  <si>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</si>
  <si>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</si>
  <si>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</si>
  <si>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</si>
  <si>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</si>
  <si>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</si>
  <si>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</si>
  <si>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</si>
  <si>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</si>
  <si>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</si>
  <si>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</si>
  <si>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</si>
  <si>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</si>
  <si>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</si>
  <si>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</si>
  <si>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</si>
  <si>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</si>
  <si>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</si>
  <si>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</si>
  <si>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</si>
  <si>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</si>
  <si>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</si>
  <si>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</si>
  <si>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</si>
  <si>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</si>
  <si>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</si>
  <si>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</si>
  <si>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</si>
  <si>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</si>
  <si>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</si>
  <si>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</si>
  <si>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</si>
  <si>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</si>
  <si>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</si>
  <si>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</si>
  <si>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</si>
  <si>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</si>
  <si>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</si>
  <si>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</si>
  <si>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</si>
  <si>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</si>
  <si>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</si>
  <si>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</si>
  <si>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</si>
  <si>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</si>
  <si>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</si>
  <si>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</si>
  <si>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</si>
  <si>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</si>
  <si>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</si>
  <si>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</si>
  <si>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</si>
  <si>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</si>
  <si>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</si>
  <si>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</si>
  <si>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</si>
  <si>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</si>
  <si>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</si>
  <si>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</si>
  <si>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</si>
  <si>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</si>
  <si>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</si>
  <si>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</si>
  <si>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</si>
  <si>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</si>
  <si>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</si>
  <si>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</si>
  <si>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</si>
  <si>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</si>
  <si>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</si>
  <si>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</si>
  <si>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</si>
  <si>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</si>
  <si>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</si>
  <si>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</si>
  <si>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</si>
  <si>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</si>
  <si>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</si>
  <si>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</si>
  <si>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</si>
  <si>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</si>
  <si>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</si>
  <si>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</si>
  <si>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</si>
  <si>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</si>
  <si>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</si>
  <si>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</si>
  <si>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</si>
  <si>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</si>
  <si>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</si>
  <si>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</si>
  <si>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</si>
  <si>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</si>
  <si>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</si>
  <si>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</si>
  <si>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</si>
  <si>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</si>
  <si>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</si>
  <si>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</si>
  <si>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</si>
  <si>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</si>
  <si>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</si>
  <si>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</si>
  <si>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</si>
  <si>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</si>
  <si>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</si>
  <si>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</si>
  <si>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</si>
  <si>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</si>
  <si>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</si>
  <si>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</si>
  <si>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</si>
  <si>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</si>
  <si>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</si>
  <si>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</si>
  <si>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</si>
  <si>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</si>
  <si>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</si>
  <si>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</si>
  <si>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</si>
  <si>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</si>
  <si>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</si>
  <si>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</si>
  <si>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</si>
  <si>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</si>
  <si>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</si>
  <si>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</si>
  <si>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</si>
  <si>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</si>
  <si>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</si>
  <si>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</si>
  <si>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</si>
  <si>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</si>
  <si>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</si>
  <si>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</si>
  <si>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</si>
  <si>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</si>
  <si>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</si>
  <si>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</si>
  <si>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</si>
  <si>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</si>
  <si>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</si>
  <si>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</si>
  <si>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</si>
  <si>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</si>
  <si>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</si>
  <si>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</si>
  <si>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</si>
  <si>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</si>
  <si>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</si>
  <si>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</si>
  <si>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</si>
  <si>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</si>
  <si>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</si>
  <si>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</si>
  <si>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</si>
  <si>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</si>
  <si>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</si>
  <si>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</si>
  <si>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</si>
  <si>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</si>
  <si>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</si>
  <si>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</si>
  <si>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</si>
  <si>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</si>
  <si>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</si>
  <si>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</si>
  <si>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</si>
  <si>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</si>
  <si>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</si>
  <si>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</si>
  <si>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</si>
  <si>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</si>
  <si>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</si>
  <si>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</si>
  <si>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</si>
  <si>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</si>
  <si>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</si>
  <si>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</si>
  <si>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</si>
  <si>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</si>
  <si>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</si>
  <si>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</si>
  <si>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</si>
  <si>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</si>
  <si>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</si>
  <si>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</si>
  <si>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</si>
  <si>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</si>
  <si>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</si>
  <si>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</si>
  <si>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</si>
  <si>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</si>
  <si>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</si>
  <si>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</si>
  <si>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</si>
  <si>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</si>
  <si>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</si>
  <si>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</si>
  <si>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</si>
  <si>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</si>
  <si>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</si>
  <si>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</si>
  <si>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</si>
  <si>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</si>
  <si>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</si>
  <si>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</si>
  <si>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</si>
  <si>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</si>
  <si>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</si>
  <si>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</si>
  <si>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</si>
  <si>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</si>
  <si>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</si>
  <si>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</si>
  <si>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</si>
  <si>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</si>
  <si>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</si>
  <si>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</si>
  <si>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</si>
  <si>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</si>
  <si>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</si>
  <si>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</si>
  <si>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</si>
  <si>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</si>
  <si>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</si>
  <si>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</si>
  <si>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</si>
  <si>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</si>
  <si>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</si>
  <si>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</si>
  <si>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</si>
  <si>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</si>
  <si>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</si>
  <si>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</si>
  <si>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</si>
  <si>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</si>
  <si>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</si>
  <si>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</si>
  <si>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</si>
  <si>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</si>
  <si>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</si>
  <si>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</si>
  <si>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</si>
  <si>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</si>
  <si>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</si>
  <si>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</si>
  <si>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</si>
  <si>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</si>
  <si>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</si>
  <si>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</si>
  <si>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</si>
  <si>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</si>
  <si>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</si>
  <si>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</si>
  <si>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</si>
  <si>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</si>
  <si>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</si>
  <si>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</si>
  <si>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</si>
  <si>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</si>
  <si>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</si>
  <si>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</si>
  <si>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</si>
  <si>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</si>
  <si>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</si>
  <si>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</si>
  <si>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</si>
  <si>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</si>
  <si>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</si>
  <si>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</si>
  <si>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</si>
  <si>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</si>
  <si>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</si>
  <si>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</si>
  <si>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</si>
  <si>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</si>
  <si>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</si>
  <si>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</si>
  <si>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</si>
  <si>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</si>
  <si>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</si>
  <si>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</si>
  <si>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</si>
  <si>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</si>
  <si>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</si>
  <si>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</si>
  <si>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</si>
  <si>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</si>
  <si>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</si>
  <si>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</si>
  <si>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</si>
  <si>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</si>
  <si>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</si>
  <si>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</si>
  <si>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</si>
  <si>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</si>
  <si>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</si>
  <si>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</si>
  <si>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</si>
  <si>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</si>
  <si>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</si>
  <si>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</si>
  <si>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</si>
  <si>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</si>
  <si>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</si>
  <si>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</si>
  <si>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</si>
  <si>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</si>
  <si>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</si>
  <si>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</si>
  <si>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</si>
  <si>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</si>
  <si>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</si>
  <si>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</si>
  <si>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</si>
  <si>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</si>
  <si>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</si>
  <si>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</si>
  <si>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</si>
  <si>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</si>
  <si>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</si>
  <si>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</si>
  <si>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</si>
  <si>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</si>
  <si>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</si>
  <si>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</si>
  <si>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</si>
  <si>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</si>
  <si>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</si>
  <si>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</si>
  <si>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</si>
  <si>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</si>
  <si>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</si>
  <si>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</si>
  <si>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</si>
  <si>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</si>
  <si>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</si>
  <si>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</si>
  <si>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</si>
  <si>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</si>
  <si>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</si>
  <si>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</si>
  <si>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</si>
  <si>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</si>
  <si>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</si>
  <si>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</si>
  <si>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</si>
  <si>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</si>
  <si>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</si>
  <si>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</si>
  <si>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</si>
  <si>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</si>
  <si>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</si>
  <si>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</si>
  <si>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</si>
  <si>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</si>
  <si>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</si>
  <si>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</si>
  <si>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</si>
  <si>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</si>
  <si>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</si>
  <si>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</si>
  <si>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</si>
  <si>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</si>
  <si>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</si>
  <si>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</si>
  <si>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</si>
  <si>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</si>
  <si>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</si>
  <si>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</si>
  <si>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</si>
  <si>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</si>
  <si>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</si>
  <si>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</si>
  <si>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</si>
  <si>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</si>
  <si>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</si>
  <si>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</si>
  <si>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</si>
  <si>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</si>
  <si>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</si>
  <si>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</si>
  <si>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</si>
  <si>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</si>
  <si>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</si>
  <si>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</si>
  <si>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</si>
  <si>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</si>
  <si>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</si>
  <si>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</si>
  <si>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</si>
  <si>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</si>
  <si>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</si>
  <si>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</si>
  <si>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</si>
  <si>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</si>
  <si>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</si>
  <si>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</si>
  <si>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</si>
  <si>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</si>
  <si>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</si>
  <si>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</si>
  <si>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</si>
  <si>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</si>
  <si>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</si>
  <si>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</si>
  <si>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</si>
  <si>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</si>
  <si>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</si>
  <si>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</si>
  <si>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</si>
  <si>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</si>
  <si>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</si>
  <si>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</si>
  <si>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</si>
  <si>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</si>
  <si>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</si>
  <si>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</si>
  <si>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</si>
  <si>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</si>
  <si>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</si>
  <si>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</si>
  <si>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</si>
  <si>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</si>
  <si>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</si>
  <si>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</si>
  <si>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</si>
  <si>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</si>
  <si>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</si>
  <si>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</si>
  <si>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</si>
  <si>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</si>
  <si>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</si>
  <si>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</si>
  <si>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</si>
  <si>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</si>
  <si>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</si>
  <si>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</si>
  <si>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</si>
  <si>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</si>
  <si>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</si>
  <si>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</si>
  <si>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</si>
  <si>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</si>
  <si>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</si>
  <si>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</si>
  <si>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</si>
  <si>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</si>
  <si>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</si>
  <si>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</si>
  <si>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</si>
  <si>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</si>
  <si>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</si>
  <si>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</si>
  <si>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</si>
  <si>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</si>
  <si>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</si>
  <si>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</si>
  <si>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</si>
  <si>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</si>
  <si>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</si>
  <si>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</si>
  <si>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</si>
  <si>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</si>
  <si>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</si>
  <si>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</si>
  <si>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</si>
  <si>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</si>
  <si>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</si>
  <si>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</si>
  <si>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</si>
  <si>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</si>
  <si>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</si>
  <si>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</si>
  <si>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</si>
  <si>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</si>
  <si>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</si>
  <si>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</si>
  <si>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</si>
  <si>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</si>
  <si>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</si>
  <si>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</si>
  <si>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</si>
  <si>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</si>
  <si>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</si>
  <si>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</si>
  <si>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</si>
  <si>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</si>
  <si>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</si>
  <si>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</si>
  <si>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</si>
  <si>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</si>
  <si>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</si>
  <si>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</si>
  <si>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</si>
  <si>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</si>
  <si>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</si>
  <si>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</si>
  <si>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</si>
  <si>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</si>
  <si>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</si>
  <si>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</si>
  <si>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</si>
  <si>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</si>
  <si>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</si>
  <si>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</si>
  <si>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</si>
  <si>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</si>
  <si>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</si>
  <si>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</si>
  <si>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</si>
  <si>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</si>
  <si>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</si>
  <si>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</si>
  <si>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</si>
  <si>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</si>
  <si>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</si>
  <si>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</si>
  <si>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</si>
  <si>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</si>
  <si>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</si>
  <si>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</si>
  <si>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</si>
  <si>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</si>
  <si>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</si>
  <si>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</si>
  <si>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</si>
  <si>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</si>
  <si>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</si>
  <si>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</si>
  <si>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</si>
  <si>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</si>
  <si>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</si>
  <si>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</si>
  <si>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</si>
  <si>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</si>
  <si>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</si>
  <si>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</si>
  <si>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</si>
  <si>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</si>
  <si>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</si>
  <si>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</si>
  <si>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</si>
  <si>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</si>
  <si>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</si>
  <si>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</si>
  <si>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</si>
  <si>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</si>
  <si>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</si>
  <si>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</si>
  <si>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</si>
  <si>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</si>
  <si>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</si>
  <si>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</si>
  <si>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</si>
  <si>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</si>
  <si>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</si>
  <si>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</si>
  <si>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</si>
  <si>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</si>
  <si>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</si>
  <si>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</si>
  <si>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</si>
  <si>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</si>
  <si>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</si>
  <si>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</si>
  <si>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</si>
  <si>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</si>
  <si>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</si>
  <si>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</si>
  <si>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</si>
  <si>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</si>
  <si>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</si>
  <si>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</si>
  <si>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</si>
  <si>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</si>
  <si>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</si>
  <si>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</si>
  <si>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</si>
  <si>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</si>
  <si>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</si>
  <si>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</si>
  <si>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</si>
  <si>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</si>
  <si>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</si>
  <si>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</si>
  <si>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</si>
  <si>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</si>
  <si>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</si>
  <si>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</si>
  <si>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</si>
  <si>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</si>
  <si>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</si>
  <si>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</si>
  <si>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</si>
  <si>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</si>
  <si>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</si>
  <si>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</si>
  <si>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</si>
  <si>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</si>
  <si>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</si>
  <si>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</si>
  <si>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</si>
  <si>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</si>
  <si>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</si>
  <si>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</si>
  <si>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</si>
  <si>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</si>
  <si>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</si>
  <si>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</si>
  <si>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</si>
  <si>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</si>
  <si>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</si>
  <si>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</si>
  <si>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</si>
  <si>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</si>
  <si>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</si>
  <si>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</si>
  <si>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</si>
  <si>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</si>
  <si>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</si>
  <si>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</si>
  <si>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</si>
  <si>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</si>
  <si>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</si>
  <si>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</si>
  <si>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</si>
  <si>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</si>
  <si>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</si>
  <si>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</si>
  <si>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</si>
  <si>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</si>
  <si>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</si>
  <si>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</si>
  <si>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</si>
  <si>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</si>
  <si>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</si>
  <si>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</si>
  <si>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</si>
  <si>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</si>
  <si>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</si>
  <si>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</si>
  <si>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</si>
  <si>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</si>
  <si>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</si>
  <si>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</si>
  <si>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</si>
  <si>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</si>
  <si>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</si>
  <si>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</si>
  <si>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</si>
  <si>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</si>
  <si>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</si>
  <si>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</si>
  <si>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</si>
  <si>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</si>
  <si>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</si>
  <si>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</si>
  <si>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</si>
  <si>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</si>
  <si>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</si>
  <si>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</si>
  <si>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</si>
  <si>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</si>
  <si>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</si>
  <si>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</si>
  <si>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</si>
  <si>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</si>
  <si>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</si>
  <si>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</si>
  <si>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</si>
  <si>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</si>
  <si>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</si>
  <si>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</si>
  <si>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</si>
  <si>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</si>
  <si>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</si>
  <si>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</si>
  <si>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</si>
  <si>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</si>
  <si>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</si>
  <si>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</si>
  <si>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</si>
  <si>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</si>
  <si>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</si>
  <si>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</si>
  <si>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</si>
  <si>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</si>
  <si>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</si>
  <si>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</si>
  <si>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</si>
  <si>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</si>
  <si>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</si>
  <si>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</si>
  <si>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</si>
  <si>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</si>
  <si>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</si>
  <si>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</si>
  <si>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</si>
  <si>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</si>
  <si>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</si>
  <si>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</si>
  <si>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</si>
  <si>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</si>
  <si>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</si>
  <si>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</si>
  <si>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</si>
  <si>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</si>
  <si>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</si>
  <si>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</si>
  <si>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</si>
  <si>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</si>
  <si>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</si>
  <si>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</si>
  <si>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</si>
  <si>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</si>
  <si>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</si>
  <si>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</si>
  <si>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</si>
  <si>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</si>
  <si>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</si>
  <si>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</si>
  <si>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</si>
  <si>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</si>
  <si>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</si>
  <si>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</si>
  <si>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</si>
  <si>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</si>
  <si>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</si>
  <si>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</si>
  <si>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</si>
  <si>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</si>
  <si>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</si>
  <si>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</si>
  <si>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</si>
  <si>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</si>
  <si>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</si>
  <si>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</si>
  <si>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</si>
  <si>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</si>
  <si>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</si>
  <si>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</si>
  <si>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</si>
  <si>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</si>
  <si>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</si>
  <si>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</si>
  <si>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</si>
  <si>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</si>
  <si>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</si>
  <si>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</si>
  <si>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</si>
  <si>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</si>
  <si>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</si>
  <si>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</si>
  <si>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</si>
  <si>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</si>
  <si>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</si>
  <si>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</si>
  <si>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</si>
  <si>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</si>
  <si>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</si>
  <si>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</si>
  <si>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</si>
  <si>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</si>
  <si>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</si>
  <si>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</si>
  <si>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</si>
  <si>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</si>
  <si>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</si>
  <si>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</si>
  <si>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</si>
  <si>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</si>
  <si>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</si>
  <si>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</si>
  <si>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</si>
  <si>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</si>
  <si>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</si>
  <si>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</si>
  <si>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</si>
  <si>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</si>
  <si>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</si>
  <si>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</si>
  <si>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</si>
  <si>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</si>
  <si>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</si>
  <si>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</si>
  <si>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</si>
  <si>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</si>
  <si>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</si>
  <si>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</si>
  <si>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</si>
  <si>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</si>
  <si>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</si>
  <si>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</si>
  <si>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</si>
  <si>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</si>
  <si>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</si>
  <si>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</si>
  <si>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</si>
  <si>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</si>
  <si>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</si>
  <si>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</si>
  <si>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</si>
  <si>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</si>
  <si>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</si>
  <si>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</si>
  <si>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</si>
  <si>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</si>
  <si>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</si>
  <si>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</si>
  <si>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</si>
  <si>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</si>
  <si>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</si>
  <si>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</si>
  <si>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</si>
  <si>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</si>
  <si>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</si>
  <si>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</si>
  <si>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</si>
  <si>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</si>
  <si>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</si>
  <si>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</si>
  <si>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</si>
  <si>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</si>
  <si>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</si>
  <si>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</si>
  <si>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</si>
  <si>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</si>
  <si>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</si>
  <si>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</si>
  <si>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</si>
  <si>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</si>
  <si>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</si>
  <si>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</si>
  <si>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</si>
  <si>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</si>
  <si>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</si>
  <si>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</si>
  <si>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</si>
  <si>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</si>
  <si>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</si>
  <si>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</si>
  <si>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</si>
  <si>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</si>
  <si>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</si>
  <si>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</si>
  <si>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</si>
  <si>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</si>
  <si>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</si>
  <si>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</si>
  <si>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</si>
  <si>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</si>
  <si>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</si>
  <si>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</si>
  <si>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</si>
  <si>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</si>
  <si>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</si>
  <si>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</si>
  <si>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</si>
  <si>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</si>
  <si>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</si>
  <si>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</si>
  <si>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</si>
  <si>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</si>
  <si>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</si>
  <si>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</si>
  <si>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</si>
  <si>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</si>
  <si>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</si>
  <si>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</si>
  <si>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</si>
  <si>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</si>
  <si>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</si>
  <si>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</si>
  <si>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</si>
  <si>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</si>
  <si>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</si>
  <si>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</si>
  <si>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</si>
  <si>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</si>
  <si>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</si>
  <si>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</si>
  <si>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</si>
  <si>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</si>
  <si>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</si>
  <si>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</si>
  <si>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</si>
  <si>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</si>
  <si>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</si>
  <si>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</si>
  <si>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</si>
  <si>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</si>
  <si>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</si>
  <si>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</si>
  <si>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</si>
  <si>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</si>
  <si>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</si>
  <si>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</si>
  <si>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</si>
  <si>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</si>
  <si>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</si>
  <si>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</si>
  <si>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</si>
  <si>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</si>
  <si>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</si>
  <si>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</si>
  <si>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</si>
  <si>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</si>
  <si>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</si>
  <si>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</si>
  <si>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</si>
  <si>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</si>
  <si>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</si>
  <si>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</si>
  <si>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</si>
  <si>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</si>
  <si>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</si>
  <si>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</si>
  <si>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</si>
  <si>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</si>
  <si>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</si>
  <si>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</si>
  <si>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</si>
  <si>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</si>
  <si>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</si>
  <si>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</si>
  <si>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</si>
  <si>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</si>
  <si>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</si>
  <si>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</si>
  <si>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</si>
  <si>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</si>
  <si>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</si>
  <si>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</si>
  <si>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</si>
  <si>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</si>
  <si>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</si>
  <si>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</si>
  <si>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</si>
  <si>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</si>
  <si>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</si>
  <si>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</si>
  <si>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</si>
  <si>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</si>
  <si>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</si>
  <si>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</si>
  <si>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</si>
  <si>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</si>
  <si>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</si>
  <si>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</si>
  <si>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</si>
  <si>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</si>
  <si>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</si>
  <si>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</si>
  <si>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</si>
  <si>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</si>
  <si>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</si>
  <si>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</si>
  <si>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</si>
  <si>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</si>
  <si>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</si>
  <si>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</si>
  <si>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</si>
  <si>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</si>
  <si>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</si>
  <si>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</si>
  <si>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</si>
  <si>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</si>
  <si>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</si>
  <si>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</si>
  <si>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</si>
  <si>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</si>
  <si>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</si>
  <si>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</si>
  <si>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</si>
  <si>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</si>
  <si>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</si>
  <si>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</si>
  <si>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</si>
  <si>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</si>
  <si>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</si>
  <si>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</si>
  <si>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</si>
  <si>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</si>
  <si>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</si>
  <si>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</si>
  <si>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</si>
  <si>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</si>
  <si>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</si>
  <si>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</si>
  <si>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</si>
  <si>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</si>
  <si>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</si>
  <si>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</si>
  <si>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</si>
  <si>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</si>
  <si>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</si>
  <si>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</si>
  <si>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</si>
  <si>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</si>
  <si>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</si>
  <si>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</si>
  <si>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</si>
  <si>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</si>
  <si>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</si>
  <si>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</si>
  <si>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</si>
  <si>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</si>
  <si>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</si>
  <si>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</si>
  <si>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</si>
  <si>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</si>
  <si>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</si>
  <si>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</si>
  <si>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</si>
  <si>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</si>
  <si>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</si>
  <si>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</si>
  <si>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</si>
  <si>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</si>
  <si>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</si>
  <si>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</si>
  <si>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</si>
  <si>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</si>
  <si>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</si>
  <si>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</si>
  <si>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</si>
  <si>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</si>
  <si>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</si>
  <si>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</si>
  <si>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</si>
  <si>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</si>
  <si>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</si>
  <si>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</si>
  <si>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</si>
  <si>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</si>
  <si>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</si>
  <si>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</si>
  <si>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</si>
  <si>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</si>
  <si>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</si>
  <si>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</si>
  <si>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</si>
  <si>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</si>
  <si>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</si>
  <si>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</si>
  <si>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</si>
  <si>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</si>
  <si>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</si>
  <si>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</si>
  <si>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</si>
  <si>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</si>
  <si>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</si>
  <si>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</si>
  <si>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</si>
  <si>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</si>
  <si>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</si>
  <si>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</si>
  <si>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</si>
  <si>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</si>
  <si>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</si>
  <si>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</si>
  <si>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</si>
  <si>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</si>
  <si>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</si>
  <si>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</si>
  <si>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</si>
  <si>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</si>
  <si>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</si>
  <si>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</si>
  <si>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</si>
  <si>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</si>
  <si>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</si>
  <si>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</si>
  <si>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</si>
  <si>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</si>
  <si>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</si>
  <si>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</si>
  <si>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</si>
  <si>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</si>
  <si>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</si>
  <si>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</si>
  <si>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</si>
  <si>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</si>
  <si>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</si>
  <si>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</si>
  <si>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</si>
  <si>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</si>
  <si>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</si>
  <si>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</si>
  <si>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</si>
  <si>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</si>
  <si>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</si>
  <si>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</si>
  <si>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</si>
  <si>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</si>
  <si>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</si>
  <si>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</si>
  <si>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</si>
  <si>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</si>
  <si>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</si>
  <si>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</si>
  <si>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</si>
  <si>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</si>
  <si>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</si>
  <si>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</si>
  <si>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</si>
  <si>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</si>
  <si>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</si>
  <si>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</si>
  <si>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</si>
  <si>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</si>
  <si>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</si>
  <si>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</si>
  <si>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</si>
  <si>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</si>
  <si>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</si>
  <si>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</si>
  <si>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</si>
  <si>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</si>
  <si>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</si>
  <si>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</si>
  <si>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</si>
  <si>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</si>
  <si>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</si>
  <si>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</si>
  <si>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</si>
  <si>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</si>
  <si>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</si>
  <si>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</si>
  <si>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</si>
  <si>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</si>
  <si>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</si>
  <si>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</si>
  <si>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</si>
  <si>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</si>
  <si>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</si>
  <si>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</si>
  <si>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</si>
  <si>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</si>
  <si>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</si>
  <si>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</si>
  <si>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</si>
  <si>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</si>
  <si>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</si>
  <si>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</si>
  <si>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</si>
  <si>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</si>
  <si>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</si>
  <si>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</si>
  <si>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</si>
  <si>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</si>
  <si>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</si>
  <si>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</si>
  <si>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</si>
  <si>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</si>
  <si>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</si>
  <si>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</si>
  <si>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</si>
  <si>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</si>
  <si>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</si>
  <si>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</si>
  <si>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</si>
  <si>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</si>
  <si>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</si>
  <si>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</si>
  <si>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</si>
  <si>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</si>
  <si>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</si>
  <si>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</si>
  <si>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</si>
  <si>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</si>
  <si>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</si>
  <si>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</si>
  <si>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</si>
  <si>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</si>
  <si>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</si>
  <si>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</si>
  <si>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</si>
  <si>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</si>
  <si>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</si>
  <si>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</si>
  <si>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</si>
  <si>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</si>
  <si>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</si>
  <si>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</si>
  <si>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</si>
  <si>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</si>
  <si>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</si>
  <si>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</si>
  <si>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</si>
  <si>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</si>
  <si>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</si>
  <si>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C49SZX20250030SX</t>
  </si>
  <si>
    <t>C49SZX20250027BH</t>
  </si>
  <si>
    <t>精速佳</t>
  </si>
  <si>
    <t>C49SHA20250221/TWB</t>
  </si>
  <si>
    <t>C49SHA20250225/HZY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</si>
  <si>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</si>
  <si>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</si>
  <si>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</si>
  <si>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</si>
  <si>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</si>
  <si>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</si>
  <si>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</si>
  <si>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</si>
  <si>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</si>
  <si>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</si>
  <si>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</si>
  <si>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</si>
  <si>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</si>
  <si>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</si>
  <si>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</si>
  <si>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</si>
  <si>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</si>
  <si>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</si>
  <si>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</si>
  <si>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</si>
  <si>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</si>
  <si>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</si>
  <si>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</si>
  <si>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</si>
  <si>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</si>
  <si>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</si>
  <si>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</si>
  <si>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</si>
  <si>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</si>
  <si>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</si>
  <si>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</si>
  <si>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</si>
  <si>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</si>
  <si>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</si>
  <si>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</si>
  <si>
    <t>Total _Sales_Target(Inv Amt HKD)</t>
  </si>
  <si>
    <t>C49SZX20250015DZ&amp;JAL</t>
  </si>
  <si>
    <t>C49SHA20250320/LQM</t>
  </si>
  <si>
    <t>C28SHA20250320/LQM</t>
  </si>
  <si>
    <t>C49SZX20250045EC</t>
  </si>
  <si>
    <t>仟朝</t>
  </si>
  <si>
    <t>C49SZX20250048SX</t>
  </si>
  <si>
    <t>C49SZX20250047JL</t>
  </si>
  <si>
    <t>C49BJS20250412ZX</t>
  </si>
  <si>
    <t>三河市坤方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</si>
</sst>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_-* #,##0_-;\-* #,##0_-;_-* &quot;-&quot;??_-;_-@_-"/>
    <numFmt numFmtId="173" formatCode="_-* #,##0_-;\-* #,##0_-;_-* &quot;-&quot;?_-;_-@_-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9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167" fontId="0" fillId="8" borderId="0" xfId="1" applyNumberFormat="1" applyFon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6"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CCCCFF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  <color rgb="FFBAA9F0"/>
      <color rgb="FF9CF0E3"/>
      <color rgb="FFFEA0E3"/>
      <color rgb="FFFFCCFF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TekH2ioW024m2CtOMJ4Imt2oe8OKTBJlLRQedoXsJwHS-zc52aPTrK7C9B-O1F3" itemId="01IWVH5ON2DYSZC4MH35G2BZ4SSHTCE7MO">
      <xxl21:absoluteUrl r:id="rId2"/>
    </xxl21:alternateUrls>
    <sheetNames>
      <sheetName val="Sheet2"/>
      <sheetName val="Raw data"/>
      <sheetName val="Sheet3"/>
      <sheetName val="Data pick list"/>
      <sheetName val="Sheet1"/>
      <sheetName val="工作表1"/>
    </sheetNames>
    <sheetDataSet>
      <sheetData sheetId="0"/>
      <sheetData sheetId="1">
        <row r="1">
          <cell r="A1" t="str">
            <v>Contract Signed
Month</v>
          </cell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  <cell r="AG4"/>
        </row>
        <row r="5">
          <cell r="C5" t="str">
            <v>C28SZX20170110KC</v>
          </cell>
          <cell r="Y5">
            <v>260000</v>
          </cell>
          <cell r="AG5"/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  <cell r="AG23"/>
        </row>
        <row r="24">
          <cell r="C24" t="str">
            <v>C49SZX20170135RW</v>
          </cell>
          <cell r="Y24">
            <v>7000000</v>
          </cell>
          <cell r="AG24"/>
        </row>
        <row r="25">
          <cell r="C25" t="str">
            <v>C49SZX20170139SS</v>
          </cell>
          <cell r="Y25">
            <v>26000000</v>
          </cell>
          <cell r="AG25"/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  <cell r="AG27"/>
        </row>
        <row r="28">
          <cell r="C28" t="str">
            <v>C49SZX20170153YJ</v>
          </cell>
          <cell r="Y28">
            <v>10170000</v>
          </cell>
          <cell r="AG28"/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  <cell r="AG30"/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  <cell r="AG33"/>
        </row>
        <row r="34">
          <cell r="C34" t="str">
            <v>C49SZX20170168ZX</v>
          </cell>
          <cell r="Y34">
            <v>10400000</v>
          </cell>
          <cell r="AG34"/>
        </row>
        <row r="35">
          <cell r="C35" t="str">
            <v>C49SZX20170169SX</v>
          </cell>
          <cell r="Y35">
            <v>12129250</v>
          </cell>
          <cell r="AG35"/>
        </row>
        <row r="36">
          <cell r="C36" t="str">
            <v>C49SZX20170171JL</v>
          </cell>
          <cell r="Y36">
            <v>12400000</v>
          </cell>
          <cell r="AG36"/>
        </row>
        <row r="37">
          <cell r="C37" t="str">
            <v>C49SZX20170171JL</v>
          </cell>
          <cell r="Y37">
            <v>7509000</v>
          </cell>
          <cell r="AG37"/>
        </row>
        <row r="38">
          <cell r="C38" t="str">
            <v>C49SZX20170172JL</v>
          </cell>
          <cell r="Y38">
            <v>8800000</v>
          </cell>
          <cell r="AG38"/>
        </row>
        <row r="39">
          <cell r="C39" t="str">
            <v>C49SZX20170175JY</v>
          </cell>
          <cell r="Y39">
            <v>11530000</v>
          </cell>
          <cell r="AG39"/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  <cell r="AG42"/>
        </row>
        <row r="43">
          <cell r="C43" t="str">
            <v>C49SZX20170182DZ</v>
          </cell>
          <cell r="Y43">
            <v>10588000</v>
          </cell>
          <cell r="AG43"/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  <cell r="AG45"/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  <cell r="AG51"/>
        </row>
        <row r="52">
          <cell r="C52" t="str">
            <v>C49SZX20170191DZ</v>
          </cell>
          <cell r="Y52">
            <v>10000000</v>
          </cell>
          <cell r="AG52"/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  <cell r="AG294"/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C49SZX20240200SS</v>
          </cell>
          <cell r="Y2539">
            <v>13355000</v>
          </cell>
          <cell r="AG2539" t="str">
            <v>DAP SZ</v>
          </cell>
        </row>
        <row r="2540">
          <cell r="C2540" t="str">
            <v>C49SZX20240200SS</v>
          </cell>
          <cell r="Y2540">
            <v>13355000</v>
          </cell>
          <cell r="AG2540" t="str">
            <v>DAP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C49SZX20240208MZ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C49SZX20250015DZ&amp;JAL</v>
          </cell>
          <cell r="Y2591">
            <v>35700</v>
          </cell>
          <cell r="AG2591" t="str">
            <v>DDU VIETNAM</v>
          </cell>
        </row>
        <row r="2592">
          <cell r="C2592" t="str">
            <v>C49SZX20250015DZ&amp;JAL</v>
          </cell>
          <cell r="Y2592">
            <v>35700</v>
          </cell>
          <cell r="AG2592" t="str">
            <v>DDU VIETNAM</v>
          </cell>
        </row>
        <row r="2593">
          <cell r="C2593" t="str">
            <v>C49SZX20250015DZ&amp;JAL</v>
          </cell>
          <cell r="Y2593">
            <v>80580</v>
          </cell>
          <cell r="AG2593" t="str">
            <v>DDU VIETNAM</v>
          </cell>
        </row>
        <row r="2594">
          <cell r="C2594" t="str">
            <v>C49SZX20250015DZ&amp;JAL</v>
          </cell>
          <cell r="Y2594">
            <v>86650</v>
          </cell>
          <cell r="AG2594" t="str">
            <v>DDU VIETNAM</v>
          </cell>
        </row>
        <row r="2595">
          <cell r="C2595" t="str">
            <v>C49SZX20250015DZ&amp;JAL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C49SZX20250015DZ&amp;JAL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C49SZX20250015DZ&amp;JAL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C49SZX20250015DZ&amp;JAL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C49SZX20250015DZ&amp;JAL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C49SZX20250015DZ&amp;JAL</v>
          </cell>
          <cell r="Y2600">
            <v>72050</v>
          </cell>
          <cell r="AG2600" t="str">
            <v>DDU VIETNAM</v>
          </cell>
        </row>
        <row r="2601">
          <cell r="C2601" t="str">
            <v>C49SZX20250015DZ&amp;JAL</v>
          </cell>
          <cell r="Y2601">
            <v>72050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C49SZX20250045EC</v>
          </cell>
          <cell r="Y2619">
            <v>370000</v>
          </cell>
          <cell r="AG2619" t="str">
            <v>DDP DG</v>
          </cell>
        </row>
        <row r="2620">
          <cell r="C2620" t="str">
            <v>C49SZX20250045EC</v>
          </cell>
          <cell r="Y2620">
            <v>370000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  <row r="2647">
          <cell r="C2647" t="str">
            <v>C49SZX20250048SX</v>
          </cell>
          <cell r="Y2647">
            <v>460000</v>
          </cell>
          <cell r="AG2647" t="str">
            <v>DDP SZ</v>
          </cell>
        </row>
        <row r="2648">
          <cell r="C2648" t="str">
            <v>C49SZX20250047JL</v>
          </cell>
          <cell r="Y2648">
            <v>393000</v>
          </cell>
          <cell r="AG2648" t="str">
            <v>DDP DG</v>
          </cell>
        </row>
        <row r="2649">
          <cell r="C2649" t="str">
            <v>C49SZX20250047JL</v>
          </cell>
          <cell r="Y2649">
            <v>670000</v>
          </cell>
          <cell r="AG2649" t="str">
            <v>DDP DG</v>
          </cell>
        </row>
      </sheetData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5000" totalsRowShown="0" headerRowDxfId="83" dataDxfId="81" headerRowBorderDxfId="82" tableBorderDxfId="80">
  <autoFilter ref="A1:AU5000" xr:uid="{A45583E2-F1E3-414A-85B7-FCF03CE7C6FC}"/>
  <tableColumns count="47">
    <tableColumn id="1" xr3:uid="{AAE9CE7A-6EE5-684B-BD8B-6FB306BD4AA2}" name="FY_Contract" dataDxfId="79"/>
    <tableColumn id="2" xr3:uid="{6DD04691-AC56-2D44-8010-202EFF160852}" name="Contract_Yr" dataDxfId="78"/>
    <tableColumn id="3" xr3:uid="{5DA8E0A0-39FB-BB4F-8D7D-511A2970B9E7}" name="Contract_Month" dataDxfId="77"/>
    <tableColumn id="41" xr3:uid="{2ACA8F28-14CE-5F4D-B426-8592D3E37B68}" name="FQ(Contract)" dataDxfId="76"/>
    <tableColumn id="4" xr3:uid="{EAA0CFF9-B844-6E4F-AE8E-FDFAF111D1EA}" name="FY_INV" dataDxfId="75"/>
    <tableColumn id="5" xr3:uid="{1925BE00-6C62-5C40-8C03-E61BE8CBFBDA}" name="Inv_Yr" dataDxfId="74"/>
    <tableColumn id="6" xr3:uid="{CE663C22-ACEB-1F44-89EA-16CBA3F75EE8}" name="Inv_Month" dataDxfId="73"/>
    <tableColumn id="7" xr3:uid="{FA7DE3F2-58FD-5A4B-98EA-C85A23C795DD}" name="Contract Cancelled_x000a_Month(due to YAMAHA delivery)" dataDxfId="72"/>
    <tableColumn id="8" xr3:uid="{E9D14EAF-764F-7948-AA3A-467F3CA849CA}" name="FQ(Invoice)" dataDxfId="71"/>
    <tableColumn id="9" xr3:uid="{80BEA84F-85F1-EF45-B44A-E7A29335712A}" name="Contract_No." dataDxfId="70"/>
    <tableColumn id="10" xr3:uid="{1A61F2DF-64BD-CE4F-9A6D-6D912C9FCD60}" name="Customer_Name" dataDxfId="69"/>
    <tableColumn id="42" xr3:uid="{CEBF68FB-82CA-C241-B227-C6C1FCCABFE1}" name="Ordered_Items" dataDxfId="68"/>
    <tableColumn id="12" xr3:uid="{58A21035-FFFC-FE4D-932C-573A25109147}" name="BRAND" dataDxfId="67"/>
    <tableColumn id="13" xr3:uid="{0BD97201-BE7C-5947-A031-9B9E32363AEC}" name="Item Qty" dataDxfId="66"/>
    <tableColumn id="14" xr3:uid="{CD8B0CF5-AC6D-9C44-823D-894FA3996830}" name="QTY(Feeder/ Nozzle/Accessories)" dataDxfId="65"/>
    <tableColumn id="15" xr3:uid="{D596FB67-9716-E34E-83F3-E9B087FC9D78}" name="Product_Type" dataDxfId="64"/>
    <tableColumn id="16" xr3:uid="{3755E707-C533-EB4B-B691-9D181F5F4D00}" name="New_Customer" dataDxfId="63"/>
    <tableColumn id="17" xr3:uid="{38980276-396A-2741-9309-A7FAC3105339}" name="COST_CENTRE" dataDxfId="62"/>
    <tableColumn id="18" xr3:uid="{D808C100-E07E-1043-B266-076B2B30BB2D}" name="Region" dataDxfId="61"/>
    <tableColumn id="19" xr3:uid="{0D51CAF2-B0C9-B347-8B82-CABB6DF0A0FF}" name="Location" dataDxfId="60"/>
    <tableColumn id="20" xr3:uid="{54FB57A7-B461-1742-9E6E-62E4E17CCB33}" name="Territeries" dataDxfId="59"/>
    <tableColumn id="21" xr3:uid="{32EA7D3E-9A57-1346-833B-BCC6DE2B9CDA}" name="Salesman" dataDxfId="58"/>
    <tableColumn id="22" xr3:uid="{2B115E8E-C749-874C-A1EA-00343DFA4914}" name="Curr" dataDxfId="57"/>
    <tableColumn id="23" xr3:uid="{C8303ADB-7A05-B644-A090-0C48B3042F89}" name="Contract Unit Price" dataDxfId="56"/>
    <tableColumn id="24" xr3:uid="{5BE49477-DF64-D049-96E2-6CAD890E2EA4}" name="VAT" dataDxfId="55"/>
    <tableColumn id="25" xr3:uid="{3D797418-8B29-A649-8BC4-E04C6619DE2E}" name="Signed Contract Amt" dataDxfId="54"/>
    <tableColumn id="26" xr3:uid="{476E64A9-124A-9548-85A7-6108450DFAAF}" name="Rate" dataDxfId="53"/>
    <tableColumn id="27" xr3:uid="{8FCA62EF-C920-A146-90F6-505F525E7A60}" name="Before tax Inv Amt (HKD)" dataDxfId="52"/>
    <tableColumn id="28" xr3:uid="{4EF416A5-534F-F543-AE13-B9B0B589096F}" name="G.P.  (HKD)" dataDxfId="51"/>
    <tableColumn id="29" xr3:uid="{BD20A655-677C-B84F-A51A-041C90BF7E67}" name="G.P. %" dataDxfId="50"/>
    <tableColumn id="30" xr3:uid="{242FB1B0-5A85-CD4B-A9E1-126C07CDA70F}" name="New Customer Qty" dataDxfId="49"/>
    <tableColumn id="31" xr3:uid="{58F4A1A1-47C9-1E43-8A95-625FF6547678}" name="New Customer Qty(Contract month)" dataDxfId="48"/>
    <tableColumn id="32" xr3:uid="{F3D4DEEC-53C2-6349-9CE2-E268DD946B2A}" name="Signed Contract Qty" dataDxfId="47"/>
    <tableColumn id="33" xr3:uid="{C8185536-B203-AA45-B0E4-36800B70926F}" name="Invoiced Contract Qty" dataDxfId="46"/>
    <tableColumn id="34" xr3:uid="{1EC37648-CC4C-C142-A616-BA9753252F28}" name="INVOICE  AMOUNT HKD of month" dataDxfId="45"/>
    <tableColumn id="35" xr3:uid="{5F4522B6-EAD9-F04E-A867-6287622DEAF3}" name="GP ( HKD) of month" dataDxfId="44"/>
    <tableColumn id="36" xr3:uid="{6AA1D995-9017-FB4E-A3AB-C846363DF78E}" name="GP%_of_month" dataDxfId="43"/>
    <tableColumn id="37" xr3:uid="{F4748927-DC9C-454F-8008-8C1DE3849D97}" name="INV NO." dataDxfId="42"/>
    <tableColumn id="38" xr3:uid="{B17BF2DE-1699-AC4A-ACB4-8EF428F40280}" name="ISSUED INV_x000a_AMOUNT_x000a_" dataDxfId="41"/>
    <tableColumn id="39" xr3:uid="{455EA308-FF47-914C-8AA3-88C9FDBB59F1}" name="S/N" dataDxfId="40"/>
    <tableColumn id="40" xr3:uid="{AF10112C-DE0C-CE4E-9895-A3798FA91332}" name="Remarks" dataDxfId="39"/>
    <tableColumn id="11" xr3:uid="{924118CF-3456-B642-A0DE-075C50629FEE}" name="INV YR&amp;MONTH" dataDxfId="38">
      <calculatedColumnFormula>IF(F2="","",F2&amp;G2)</calculatedColumnFormula>
    </tableColumn>
    <tableColumn id="43" xr3:uid="{EF9680DE-D49E-A147-8E74-0FBC400753FC}" name="INV YR&amp;MONTH&amp;CUR" dataDxfId="37">
      <calculatedColumnFormula>IF(W2="","",F2&amp;G2&amp;W2)</calculatedColumnFormula>
    </tableColumn>
    <tableColumn id="45" xr3:uid="{447CD2C3-FCAB-1146-B89C-8D8D9D128FC5}" name="BRAND_Details" dataDxfId="36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5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4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33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6"/>
  <sheetViews>
    <sheetView tabSelected="1" topLeftCell="Q1" zoomScale="70" zoomScaleNormal="70" workbookViewId="0">
      <pane ySplit="1" topLeftCell="A4002" activePane="bottomLeft" state="frozen"/>
      <selection activeCell="L1" sqref="L1"/>
      <selection pane="bottomLeft" activeCell="AD4009" sqref="AD4009:AD4010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39843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  <col min="47" max="47" width="19.796875" style="15" bestFit="1" customWidth="1"/>
  </cols>
  <sheetData>
    <row r="1" spans="1:47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3742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3749</v>
      </c>
    </row>
    <row r="2" spans="1:47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  <c r="AU3" s="22" t="s">
        <v>3743</v>
      </c>
    </row>
    <row r="4" spans="1:47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  <c r="AU4" s="22" t="s">
        <v>3743</v>
      </c>
    </row>
    <row r="5" spans="1:47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  <c r="AU5" s="22" t="s">
        <v>3743</v>
      </c>
    </row>
    <row r="6" spans="1:47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  <c r="AU6" s="22" t="s">
        <v>3744</v>
      </c>
    </row>
    <row r="7" spans="1:47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  <c r="AU7" s="22" t="s">
        <v>3744</v>
      </c>
    </row>
    <row r="8" spans="1:47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  <c r="AU8" s="22">
        <v>0</v>
      </c>
    </row>
    <row r="9" spans="1:47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  <c r="AU9" s="22">
        <v>0</v>
      </c>
    </row>
    <row r="10" spans="1:47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  <c r="AU10" s="22" t="s">
        <v>3744</v>
      </c>
    </row>
    <row r="11" spans="1:47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543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  <c r="AU11" s="22" t="s">
        <v>3745</v>
      </c>
    </row>
    <row r="12" spans="1:47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  <c r="AU12" s="22" t="s">
        <v>3745</v>
      </c>
    </row>
    <row r="13" spans="1:47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  <c r="AU13" s="22" t="s">
        <v>3745</v>
      </c>
    </row>
    <row r="14" spans="1:47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499582152.5142017</v>
      </c>
      <c r="AJ14" s="19">
        <f t="shared" si="8"/>
        <v>59520528.679470733</v>
      </c>
      <c r="AK14" s="20">
        <f t="shared" si="9"/>
        <v>0.11914062257814291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  <c r="AU14" s="22" t="s">
        <v>3745</v>
      </c>
    </row>
    <row r="15" spans="1:47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499582152.5142017</v>
      </c>
      <c r="AJ15" s="19">
        <f t="shared" si="8"/>
        <v>59520528.679470733</v>
      </c>
      <c r="AK15" s="20">
        <f t="shared" si="9"/>
        <v>0.11914062257814291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  <c r="AU15" s="22" t="s">
        <v>3745</v>
      </c>
    </row>
    <row r="16" spans="1:47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  <c r="AU16" s="22" t="s">
        <v>3240</v>
      </c>
    </row>
    <row r="17" spans="1:47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  <c r="AU17" s="22" t="s">
        <v>3745</v>
      </c>
    </row>
    <row r="18" spans="1:47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  <c r="AU18" s="22" t="s">
        <v>3745</v>
      </c>
    </row>
    <row r="19" spans="1:47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  <c r="AU19" s="22" t="s">
        <v>3743</v>
      </c>
    </row>
    <row r="20" spans="1:47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480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  <c r="AU20" s="22" t="s">
        <v>3750</v>
      </c>
    </row>
    <row r="21" spans="1:47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  <c r="AU21" s="22" t="s">
        <v>3745</v>
      </c>
    </row>
    <row r="22" spans="1:47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  <c r="AU22" s="22" t="s">
        <v>3744</v>
      </c>
    </row>
    <row r="23" spans="1:47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  <c r="AU23" s="22" t="s">
        <v>3745</v>
      </c>
    </row>
    <row r="24" spans="1:47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  <c r="AU24" s="22" t="s">
        <v>3745</v>
      </c>
    </row>
    <row r="25" spans="1:47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  <c r="AU25" s="22" t="s">
        <v>3745</v>
      </c>
    </row>
    <row r="26" spans="1:47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  <c r="AU26" s="22">
        <v>0</v>
      </c>
    </row>
    <row r="27" spans="1:47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  <c r="AU27" s="22">
        <v>0</v>
      </c>
    </row>
    <row r="28" spans="1:47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  <c r="AU28" s="22" t="s">
        <v>3744</v>
      </c>
    </row>
    <row r="29" spans="1:47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499582152.5142017</v>
      </c>
      <c r="AJ29" s="19">
        <f t="shared" si="8"/>
        <v>59520528.679470733</v>
      </c>
      <c r="AK29" s="20">
        <f t="shared" si="9"/>
        <v>0.11914062257814291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  <c r="AU29" s="22" t="s">
        <v>3744</v>
      </c>
    </row>
    <row r="30" spans="1:47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  <c r="AU30" s="22" t="s">
        <v>3743</v>
      </c>
    </row>
    <row r="31" spans="1:47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  <c r="AU31" s="22" t="s">
        <v>3743</v>
      </c>
    </row>
    <row r="32" spans="1:47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  <c r="AU32" s="22" t="s">
        <v>3744</v>
      </c>
    </row>
    <row r="33" spans="1:47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  <c r="AU33" s="22" t="s">
        <v>3744</v>
      </c>
    </row>
    <row r="34" spans="1:47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  <c r="AU34" s="22" t="s">
        <v>3744</v>
      </c>
    </row>
    <row r="35" spans="1:47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  <c r="AU35" s="22" t="s">
        <v>3744</v>
      </c>
    </row>
    <row r="36" spans="1:47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  <c r="AU36" s="22" t="s">
        <v>3744</v>
      </c>
    </row>
    <row r="37" spans="1:47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  <c r="AU37" s="22" t="s">
        <v>3744</v>
      </c>
    </row>
    <row r="38" spans="1:47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  <c r="AU38" s="22" t="s">
        <v>3744</v>
      </c>
    </row>
    <row r="39" spans="1:47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  <c r="AU39" s="22" t="s">
        <v>3744</v>
      </c>
    </row>
    <row r="40" spans="1:47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  <c r="AU40" s="22" t="s">
        <v>3240</v>
      </c>
    </row>
    <row r="41" spans="1:47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  <c r="AU41" s="22" t="s">
        <v>3750</v>
      </c>
    </row>
    <row r="42" spans="1:47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  <c r="AU42" s="22" t="s">
        <v>3743</v>
      </c>
    </row>
    <row r="43" spans="1:47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  <c r="AU43" s="22" t="s">
        <v>3745</v>
      </c>
    </row>
    <row r="44" spans="1:47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  <c r="AU44" s="22">
        <v>0</v>
      </c>
    </row>
    <row r="45" spans="1:47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  <c r="AU45" s="22" t="s">
        <v>3744</v>
      </c>
    </row>
    <row r="46" spans="1:47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  <c r="AU46" s="22" t="s">
        <v>3744</v>
      </c>
    </row>
    <row r="47" spans="1:47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  <c r="AU47" s="22" t="s">
        <v>3744</v>
      </c>
    </row>
    <row r="48" spans="1:47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  <c r="AU48" s="22" t="s">
        <v>3744</v>
      </c>
    </row>
    <row r="49" spans="1:47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  <c r="AU49" s="22" t="s">
        <v>3743</v>
      </c>
    </row>
    <row r="50" spans="1:47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  <c r="AU50" s="22" t="s">
        <v>3745</v>
      </c>
    </row>
    <row r="51" spans="1:47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  <c r="AU51" s="22" t="s">
        <v>3743</v>
      </c>
    </row>
    <row r="52" spans="1:47" s="12" customFormat="1">
      <c r="A52" s="33" t="str">
        <f t="shared" si="15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499582152.5142017</v>
      </c>
      <c r="AJ52" s="19">
        <f t="shared" si="8"/>
        <v>59520528.679470733</v>
      </c>
      <c r="AK52" s="20">
        <f t="shared" si="9"/>
        <v>0.11914062257814291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  <c r="AU52" s="22" t="s">
        <v>3745</v>
      </c>
    </row>
    <row r="53" spans="1:47" s="12" customFormat="1">
      <c r="A53" s="33" t="str">
        <f t="shared" si="15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499582152.5142017</v>
      </c>
      <c r="AJ53" s="19">
        <f t="shared" si="8"/>
        <v>59520528.679470733</v>
      </c>
      <c r="AK53" s="20">
        <f t="shared" si="9"/>
        <v>0.11914062257814291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  <c r="AU53" s="22" t="s">
        <v>3745</v>
      </c>
    </row>
    <row r="54" spans="1:47" s="12" customFormat="1">
      <c r="A54" s="33" t="str">
        <f t="shared" si="15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499582152.5142017</v>
      </c>
      <c r="AJ54" s="19">
        <f t="shared" si="8"/>
        <v>59520528.679470733</v>
      </c>
      <c r="AK54" s="20">
        <f t="shared" si="9"/>
        <v>0.11914062257814291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  <c r="AU54" s="22" t="s">
        <v>3745</v>
      </c>
    </row>
    <row r="55" spans="1:47" s="12" customFormat="1">
      <c r="A55" s="33" t="str">
        <f t="shared" si="15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499582152.5142017</v>
      </c>
      <c r="AJ55" s="19">
        <f t="shared" si="8"/>
        <v>59520528.679470733</v>
      </c>
      <c r="AK55" s="20">
        <f t="shared" si="9"/>
        <v>0.11914062257814291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  <c r="AU55" s="22" t="s">
        <v>3745</v>
      </c>
    </row>
    <row r="56" spans="1:47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  <c r="AU56" s="22" t="s">
        <v>3743</v>
      </c>
    </row>
    <row r="57" spans="1:47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  <c r="AU57" s="22" t="s">
        <v>3743</v>
      </c>
    </row>
    <row r="58" spans="1:47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  <c r="AU58" s="22" t="s">
        <v>3745</v>
      </c>
    </row>
    <row r="59" spans="1:47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  <c r="AU59" s="22" t="s">
        <v>3240</v>
      </c>
    </row>
    <row r="60" spans="1:47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  <c r="AU60" s="22" t="s">
        <v>3240</v>
      </c>
    </row>
    <row r="61" spans="1:47" s="12" customFormat="1">
      <c r="A61" s="33" t="str">
        <f t="shared" si="15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499582152.5142017</v>
      </c>
      <c r="AJ61" s="19">
        <f t="shared" si="8"/>
        <v>59520528.679470733</v>
      </c>
      <c r="AK61" s="20">
        <f t="shared" si="9"/>
        <v>0.11914062257814291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  <c r="AU61" s="22" t="s">
        <v>3745</v>
      </c>
    </row>
    <row r="62" spans="1:47" s="12" customFormat="1">
      <c r="A62" s="33" t="str">
        <f t="shared" si="15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499582152.5142017</v>
      </c>
      <c r="AJ62" s="19">
        <f t="shared" si="8"/>
        <v>59520528.679470733</v>
      </c>
      <c r="AK62" s="20">
        <f t="shared" si="9"/>
        <v>0.11914062257814291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  <c r="AU62" s="22" t="s">
        <v>3745</v>
      </c>
    </row>
    <row r="63" spans="1:47" s="12" customFormat="1">
      <c r="A63" s="33" t="str">
        <f t="shared" si="15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499582152.5142017</v>
      </c>
      <c r="AJ63" s="19">
        <f t="shared" si="8"/>
        <v>59520528.679470733</v>
      </c>
      <c r="AK63" s="20">
        <f t="shared" si="9"/>
        <v>0.11914062257814291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  <c r="AU63" s="22" t="s">
        <v>3745</v>
      </c>
    </row>
    <row r="64" spans="1:47" s="12" customFormat="1">
      <c r="A64" s="33" t="str">
        <f t="shared" si="15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499582152.5142017</v>
      </c>
      <c r="AJ64" s="19">
        <f t="shared" si="8"/>
        <v>59520528.679470733</v>
      </c>
      <c r="AK64" s="20">
        <f t="shared" si="9"/>
        <v>0.11914062257814291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  <c r="AU64" s="22" t="s">
        <v>3745</v>
      </c>
    </row>
    <row r="65" spans="1:47" s="12" customFormat="1">
      <c r="A65" s="33" t="str">
        <f t="shared" si="15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499582152.5142017</v>
      </c>
      <c r="AJ65" s="19">
        <f t="shared" si="8"/>
        <v>59520528.679470733</v>
      </c>
      <c r="AK65" s="20">
        <f t="shared" si="9"/>
        <v>0.11914062257814291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  <c r="AU65" s="22" t="s">
        <v>3745</v>
      </c>
    </row>
    <row r="66" spans="1:47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  <c r="AU66" s="22">
        <v>0</v>
      </c>
    </row>
    <row r="67" spans="1:47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8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  <c r="AU67" s="22" t="s">
        <v>3743</v>
      </c>
    </row>
    <row r="68" spans="1:47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8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  <c r="AU68" s="22" t="s">
        <v>3240</v>
      </c>
    </row>
    <row r="69" spans="1:47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8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  <c r="AU69" s="22" t="s">
        <v>3743</v>
      </c>
    </row>
    <row r="70" spans="1:47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8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  <c r="AU70" s="22" t="s">
        <v>3745</v>
      </c>
    </row>
    <row r="71" spans="1:47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7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8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499582152.5142017</v>
      </c>
      <c r="AJ71" s="19">
        <f t="shared" si="24"/>
        <v>59520528.679470733</v>
      </c>
      <c r="AK71" s="20">
        <f t="shared" si="25"/>
        <v>0.11914062257814291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  <c r="AU71" s="22" t="s">
        <v>3744</v>
      </c>
    </row>
    <row r="72" spans="1:47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7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8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499582152.5142017</v>
      </c>
      <c r="AJ72" s="19">
        <f t="shared" si="24"/>
        <v>59520528.679470733</v>
      </c>
      <c r="AK72" s="20">
        <f t="shared" si="25"/>
        <v>0.11914062257814291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  <c r="AU72" s="22" t="s">
        <v>3744</v>
      </c>
    </row>
    <row r="73" spans="1:47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8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  <c r="AU73" s="22" t="s">
        <v>3744</v>
      </c>
    </row>
    <row r="74" spans="1:47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8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  <c r="AU74" s="22" t="s">
        <v>3745</v>
      </c>
    </row>
    <row r="75" spans="1:47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7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8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499582152.5142017</v>
      </c>
      <c r="AJ75" s="19">
        <f t="shared" si="24"/>
        <v>59520528.679470733</v>
      </c>
      <c r="AK75" s="20">
        <f t="shared" si="25"/>
        <v>0.11914062257814291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  <c r="AU75" s="22" t="s">
        <v>3745</v>
      </c>
    </row>
    <row r="76" spans="1:47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8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221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  <c r="AU76" s="22" t="s">
        <v>3750</v>
      </c>
    </row>
    <row r="77" spans="1:47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8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221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  <c r="AU77" s="22" t="s">
        <v>3750</v>
      </c>
    </row>
    <row r="78" spans="1:47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8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  <c r="AU78" s="22" t="s">
        <v>3750</v>
      </c>
    </row>
    <row r="79" spans="1:47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8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  <c r="AU79" s="22" t="s">
        <v>3750</v>
      </c>
    </row>
    <row r="80" spans="1:47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7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8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19242877.433628317</v>
      </c>
      <c r="AJ80" s="19">
        <f t="shared" si="24"/>
        <v>2240020.1770353983</v>
      </c>
      <c r="AK80" s="20">
        <f t="shared" si="25"/>
        <v>0.11640775579232249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  <c r="AU80" s="22" t="s">
        <v>3240</v>
      </c>
    </row>
    <row r="81" spans="1:47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8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490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  <c r="AU81" s="22" t="s">
        <v>3744</v>
      </c>
    </row>
    <row r="82" spans="1:47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8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  <c r="AU82" s="22" t="s">
        <v>3745</v>
      </c>
    </row>
    <row r="83" spans="1:47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8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  <c r="AU83" s="22" t="s">
        <v>3745</v>
      </c>
    </row>
    <row r="84" spans="1:47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8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  <c r="AU84" s="22" t="s">
        <v>3745</v>
      </c>
    </row>
    <row r="85" spans="1:47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8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  <c r="AU85" s="22" t="s">
        <v>3745</v>
      </c>
    </row>
    <row r="86" spans="1:47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8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  <c r="AU86" s="22" t="s">
        <v>3745</v>
      </c>
    </row>
    <row r="87" spans="1:47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8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  <c r="AU87" s="22" t="s">
        <v>3745</v>
      </c>
    </row>
    <row r="88" spans="1:47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8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  <c r="AU88" s="22" t="s">
        <v>3745</v>
      </c>
    </row>
    <row r="89" spans="1:47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8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  <c r="AU89" s="22" t="s">
        <v>3745</v>
      </c>
    </row>
    <row r="90" spans="1:47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8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  <c r="AU90" s="22" t="s">
        <v>3745</v>
      </c>
    </row>
    <row r="91" spans="1:47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8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  <c r="AU91" s="22" t="s">
        <v>3745</v>
      </c>
    </row>
    <row r="92" spans="1:47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8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  <c r="AU92" s="22" t="s">
        <v>3745</v>
      </c>
    </row>
    <row r="93" spans="1:47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7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8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499582152.5142017</v>
      </c>
      <c r="AJ93" s="19">
        <f t="shared" si="24"/>
        <v>59520528.679470733</v>
      </c>
      <c r="AK93" s="20">
        <f t="shared" si="25"/>
        <v>0.11914062257814291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  <c r="AU93" s="22" t="s">
        <v>3745</v>
      </c>
    </row>
    <row r="94" spans="1:47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7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8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499582152.5142017</v>
      </c>
      <c r="AJ94" s="19">
        <f t="shared" si="24"/>
        <v>59520528.679470733</v>
      </c>
      <c r="AK94" s="20">
        <f t="shared" si="25"/>
        <v>0.11914062257814291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  <c r="AU94" s="22" t="s">
        <v>3745</v>
      </c>
    </row>
    <row r="95" spans="1:47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8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  <c r="AU95" s="22" t="s">
        <v>3745</v>
      </c>
    </row>
    <row r="96" spans="1:47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8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  <c r="AU96" s="22" t="s">
        <v>3745</v>
      </c>
    </row>
    <row r="97" spans="1:47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8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  <c r="AU97" s="22" t="s">
        <v>3745</v>
      </c>
    </row>
    <row r="98" spans="1:47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8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  <c r="AU98" s="22" t="s">
        <v>3745</v>
      </c>
    </row>
    <row r="99" spans="1:47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8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  <c r="AU99" s="22" t="s">
        <v>3745</v>
      </c>
    </row>
    <row r="100" spans="1:47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8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  <c r="AU100" s="22" t="s">
        <v>3745</v>
      </c>
    </row>
    <row r="101" spans="1:47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8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  <c r="AU101" s="22" t="s">
        <v>3745</v>
      </c>
    </row>
    <row r="102" spans="1:47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8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  <c r="AU102" s="22" t="s">
        <v>3745</v>
      </c>
    </row>
    <row r="103" spans="1:47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8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  <c r="AU103" s="22" t="s">
        <v>3745</v>
      </c>
    </row>
    <row r="104" spans="1:47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8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  <c r="AU104" s="22" t="s">
        <v>3745</v>
      </c>
    </row>
    <row r="105" spans="1:47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8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2834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  <c r="AU105" s="22" t="s">
        <v>3750</v>
      </c>
    </row>
    <row r="106" spans="1:47" s="12" customFormat="1">
      <c r="A106" s="33" t="str">
        <f t="shared" si="31"/>
        <v>cancel</v>
      </c>
      <c r="B106" s="152"/>
      <c r="C106" s="152" t="s">
        <v>185</v>
      </c>
      <c r="D106" s="33" t="str">
        <f t="shared" si="16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7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8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499582152.5142017</v>
      </c>
      <c r="AJ106" s="19">
        <f t="shared" si="24"/>
        <v>59520528.679470733</v>
      </c>
      <c r="AK106" s="20">
        <f t="shared" si="25"/>
        <v>0.11914062257814291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  <c r="AU106" s="22" t="s">
        <v>3744</v>
      </c>
    </row>
    <row r="107" spans="1:47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8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  <c r="AU107" s="22" t="s">
        <v>3745</v>
      </c>
    </row>
    <row r="108" spans="1:47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8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  <c r="AU108" s="22" t="s">
        <v>3745</v>
      </c>
    </row>
    <row r="109" spans="1:47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8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  <c r="AU109" s="22" t="s">
        <v>3744</v>
      </c>
    </row>
    <row r="110" spans="1:47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8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  <c r="AU110" s="22" t="s">
        <v>3240</v>
      </c>
    </row>
    <row r="111" spans="1:47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8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  <c r="AU111" s="22" t="s">
        <v>3743</v>
      </c>
    </row>
    <row r="112" spans="1:47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8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  <c r="AU112" s="22" t="s">
        <v>3743</v>
      </c>
    </row>
    <row r="113" spans="1:47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8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  <c r="AU113" s="22" t="s">
        <v>3240</v>
      </c>
    </row>
    <row r="114" spans="1:47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8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  <c r="AU114" s="22" t="s">
        <v>3240</v>
      </c>
    </row>
    <row r="115" spans="1:47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8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  <c r="AU115" s="22" t="s">
        <v>3750</v>
      </c>
    </row>
    <row r="116" spans="1:47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8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  <c r="AU116" s="22" t="s">
        <v>3750</v>
      </c>
    </row>
    <row r="117" spans="1:47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8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  <c r="AU117" s="22" t="s">
        <v>3743</v>
      </c>
    </row>
    <row r="118" spans="1:47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8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  <c r="AU118" s="22" t="s">
        <v>3743</v>
      </c>
    </row>
    <row r="119" spans="1:47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8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  <c r="AU119" s="22" t="s">
        <v>3743</v>
      </c>
    </row>
    <row r="120" spans="1:47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8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  <c r="AU120" s="22" t="s">
        <v>3743</v>
      </c>
    </row>
    <row r="121" spans="1:47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8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  <c r="AU121" s="22" t="s">
        <v>3743</v>
      </c>
    </row>
    <row r="122" spans="1:47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8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  <c r="AU122" s="22" t="s">
        <v>3745</v>
      </c>
    </row>
    <row r="123" spans="1:47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8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  <c r="AU123" s="22" t="s">
        <v>3745</v>
      </c>
    </row>
    <row r="124" spans="1:47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8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  <c r="AU124" s="22" t="s">
        <v>3745</v>
      </c>
    </row>
    <row r="125" spans="1:47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8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  <c r="AU125" s="22" t="s">
        <v>3745</v>
      </c>
    </row>
    <row r="126" spans="1:47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8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  <c r="AU126" s="22" t="s">
        <v>3745</v>
      </c>
    </row>
    <row r="127" spans="1:47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8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  <c r="AU127" s="22" t="s">
        <v>3745</v>
      </c>
    </row>
    <row r="128" spans="1:47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8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  <c r="AU128" s="22" t="s">
        <v>3744</v>
      </c>
    </row>
    <row r="129" spans="1:47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8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  <c r="AU129" s="22" t="s">
        <v>3240</v>
      </c>
    </row>
    <row r="130" spans="1:47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5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  <c r="AU131" s="22" t="s">
        <v>3240</v>
      </c>
    </row>
    <row r="132" spans="1:47" s="12" customFormat="1">
      <c r="A132" s="33" t="str">
        <f t="shared" si="48"/>
        <v>cancel</v>
      </c>
      <c r="B132" s="152"/>
      <c r="C132" s="152" t="s">
        <v>185</v>
      </c>
      <c r="D132" s="33" t="str">
        <f t="shared" si="33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4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5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499582152.5142017</v>
      </c>
      <c r="AJ132" s="19">
        <f t="shared" si="41"/>
        <v>59520528.679470733</v>
      </c>
      <c r="AK132" s="20">
        <f t="shared" si="42"/>
        <v>0.11914062257814291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  <c r="AU132" s="22" t="s">
        <v>3745</v>
      </c>
    </row>
    <row r="133" spans="1:47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5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  <c r="AU133" s="22" t="s">
        <v>3743</v>
      </c>
    </row>
    <row r="134" spans="1:47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si="40"/>
        <v>20319282.700884953</v>
      </c>
      <c r="AJ134" s="27">
        <f t="shared" si="41"/>
        <v>2408851.9638623013</v>
      </c>
      <c r="AK134" s="28">
        <f t="shared" ref="AK134:AK197" si="57">IF(AJ134&gt;0,AJ134/AI134,"")</f>
        <v>0.11855004919821259</v>
      </c>
      <c r="AL134" s="24"/>
      <c r="AM134" s="24"/>
      <c r="AN134" s="24"/>
      <c r="AO134" s="24"/>
      <c r="AP134" s="28" t="str">
        <f t="shared" ref="AP134:AP197" si="58">IF(F134="","",F134&amp;G134)</f>
        <v>20244</v>
      </c>
      <c r="AQ134" s="28" t="str">
        <f t="shared" ref="AQ134:AQ197" si="59">IF(W134="","",F134&amp;G134&amp;W134)</f>
        <v>20244RMB</v>
      </c>
      <c r="AR134" s="206" t="str">
        <f t="shared" ref="AR134:AR197" si="60">IFERROR(IF(AND(M134="YAMAHA", R134="C28"), "YAMAHA_Non_Mounter", IF(AND(M134="YAMAHA", R134="C49"), "YAMAHA_Mounter", M134)),"")</f>
        <v>YAMAHA_Mounter</v>
      </c>
      <c r="AS134" s="22">
        <f t="shared" ref="AS134:AS197" si="61">IFERROR(IF(OR(G134="TBA", G134=""), "", DATEDIF(DATE(B134, C134, 1), DATE(F134, G134, 1), "M")),"")</f>
        <v>1</v>
      </c>
      <c r="AT134" s="24" t="str">
        <f t="shared" ref="AT134:AT197" si="62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52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40"/>
        <v>20319282.700884953</v>
      </c>
      <c r="AJ135" s="27">
        <f t="shared" si="41"/>
        <v>2408851.9638623013</v>
      </c>
      <c r="AK135" s="28">
        <f t="shared" si="57"/>
        <v>0.11855004919821259</v>
      </c>
      <c r="AL135" s="24"/>
      <c r="AM135" s="24"/>
      <c r="AN135" s="24"/>
      <c r="AO135" s="24"/>
      <c r="AP135" s="28" t="str">
        <f t="shared" si="58"/>
        <v>20244</v>
      </c>
      <c r="AQ135" s="28" t="str">
        <f t="shared" si="59"/>
        <v>20244RMB</v>
      </c>
      <c r="AR135" s="206" t="str">
        <f t="shared" si="60"/>
        <v>YAMAHA_Mounter</v>
      </c>
      <c r="AS135" s="22">
        <f t="shared" si="61"/>
        <v>1</v>
      </c>
      <c r="AT135" s="24" t="str">
        <f t="shared" si="62"/>
        <v>0-3 months</v>
      </c>
      <c r="AU135" s="22" t="s">
        <v>3240</v>
      </c>
    </row>
    <row r="136" spans="1:47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52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57"/>
        <v>0.12581216063459488</v>
      </c>
      <c r="AL136" s="17"/>
      <c r="AM136" s="17"/>
      <c r="AN136" s="17"/>
      <c r="AO136" s="17"/>
      <c r="AP136" s="28" t="str">
        <f t="shared" si="58"/>
        <v>20209</v>
      </c>
      <c r="AQ136" s="28" t="str">
        <f t="shared" si="59"/>
        <v>20209RMB</v>
      </c>
      <c r="AR136" s="206" t="str">
        <f t="shared" si="60"/>
        <v>YAMAHA_Mounter</v>
      </c>
      <c r="AS136" s="22">
        <f t="shared" si="61"/>
        <v>1</v>
      </c>
      <c r="AT136" s="24" t="str">
        <f t="shared" si="62"/>
        <v>0-3 months</v>
      </c>
      <c r="AU136" s="22" t="s">
        <v>3743</v>
      </c>
    </row>
    <row r="137" spans="1:47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51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52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63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40"/>
        <v>499582152.5142017</v>
      </c>
      <c r="AJ137" s="19">
        <f t="shared" si="41"/>
        <v>59520528.679470733</v>
      </c>
      <c r="AK137" s="20">
        <f t="shared" si="57"/>
        <v>0.11914062257814291</v>
      </c>
      <c r="AL137" s="17"/>
      <c r="AM137" s="17"/>
      <c r="AN137" s="17"/>
      <c r="AO137" s="17"/>
      <c r="AP137" s="28" t="str">
        <f t="shared" si="58"/>
        <v>CancelCancel</v>
      </c>
      <c r="AQ137" s="28" t="str">
        <f t="shared" si="59"/>
        <v>CancelCancelRMB</v>
      </c>
      <c r="AR137" s="206" t="str">
        <f t="shared" si="60"/>
        <v>YAMAHA_Mounter</v>
      </c>
      <c r="AS137" s="22" t="str">
        <f t="shared" si="61"/>
        <v/>
      </c>
      <c r="AT137" s="24" t="str">
        <f t="shared" si="62"/>
        <v/>
      </c>
      <c r="AU137" s="22" t="s">
        <v>3750</v>
      </c>
    </row>
    <row r="138" spans="1:47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51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52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63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40"/>
        <v>499582152.5142017</v>
      </c>
      <c r="AJ138" s="19">
        <f t="shared" si="41"/>
        <v>59520528.679470733</v>
      </c>
      <c r="AK138" s="20">
        <f t="shared" si="57"/>
        <v>0.11914062257814291</v>
      </c>
      <c r="AL138" s="17"/>
      <c r="AM138" s="17"/>
      <c r="AN138" s="17"/>
      <c r="AO138" s="17"/>
      <c r="AP138" s="28" t="str">
        <f t="shared" si="58"/>
        <v>CancelCancel</v>
      </c>
      <c r="AQ138" s="28" t="str">
        <f t="shared" si="59"/>
        <v>CancelCancelJPY</v>
      </c>
      <c r="AR138" s="206" t="str">
        <f t="shared" si="60"/>
        <v>YAMAHA_Mounter</v>
      </c>
      <c r="AS138" s="22" t="str">
        <f t="shared" si="61"/>
        <v/>
      </c>
      <c r="AT138" s="24" t="str">
        <f t="shared" si="62"/>
        <v/>
      </c>
      <c r="AU138" s="22" t="s">
        <v>3744</v>
      </c>
    </row>
    <row r="139" spans="1:47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51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52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63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40"/>
        <v>499582152.5142017</v>
      </c>
      <c r="AJ139" s="19">
        <f t="shared" si="41"/>
        <v>59520528.679470733</v>
      </c>
      <c r="AK139" s="20">
        <f t="shared" si="57"/>
        <v>0.11914062257814291</v>
      </c>
      <c r="AL139" s="17"/>
      <c r="AM139" s="17"/>
      <c r="AN139" s="17"/>
      <c r="AO139" s="17"/>
      <c r="AP139" s="28" t="str">
        <f t="shared" si="58"/>
        <v>CancelCancel</v>
      </c>
      <c r="AQ139" s="28" t="str">
        <f t="shared" si="59"/>
        <v>CancelCancelJPY</v>
      </c>
      <c r="AR139" s="206" t="str">
        <f t="shared" si="60"/>
        <v>YAMAHA_Mounter</v>
      </c>
      <c r="AS139" s="22" t="str">
        <f t="shared" si="61"/>
        <v/>
      </c>
      <c r="AT139" s="24" t="str">
        <f t="shared" si="62"/>
        <v/>
      </c>
      <c r="AU139" s="22" t="s">
        <v>3744</v>
      </c>
    </row>
    <row r="140" spans="1:47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51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52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63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40"/>
        <v>499582152.5142017</v>
      </c>
      <c r="AJ140" s="19">
        <f t="shared" si="41"/>
        <v>59520528.679470733</v>
      </c>
      <c r="AK140" s="20">
        <f t="shared" si="57"/>
        <v>0.11914062257814291</v>
      </c>
      <c r="AL140" s="17"/>
      <c r="AM140" s="17"/>
      <c r="AN140" s="17"/>
      <c r="AO140" s="17"/>
      <c r="AP140" s="28" t="str">
        <f t="shared" si="58"/>
        <v>CancelCancel</v>
      </c>
      <c r="AQ140" s="28" t="str">
        <f t="shared" si="59"/>
        <v>CancelCancelJPY</v>
      </c>
      <c r="AR140" s="206" t="str">
        <f t="shared" si="60"/>
        <v>YAMAHA_Mounter</v>
      </c>
      <c r="AS140" s="22" t="str">
        <f t="shared" si="61"/>
        <v/>
      </c>
      <c r="AT140" s="24" t="str">
        <f t="shared" si="62"/>
        <v/>
      </c>
      <c r="AU140" s="22" t="s">
        <v>3744</v>
      </c>
    </row>
    <row r="141" spans="1:47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51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52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63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40"/>
        <v>499582152.5142017</v>
      </c>
      <c r="AJ141" s="19">
        <f t="shared" si="41"/>
        <v>59520528.679470733</v>
      </c>
      <c r="AK141" s="20">
        <f t="shared" si="57"/>
        <v>0.11914062257814291</v>
      </c>
      <c r="AL141" s="17"/>
      <c r="AM141" s="17"/>
      <c r="AN141" s="17"/>
      <c r="AO141" s="17"/>
      <c r="AP141" s="28" t="str">
        <f t="shared" si="58"/>
        <v>CancelCancel</v>
      </c>
      <c r="AQ141" s="28" t="str">
        <f t="shared" si="59"/>
        <v>CancelCancelJPY</v>
      </c>
      <c r="AR141" s="206" t="str">
        <f t="shared" si="60"/>
        <v>YAMAHA_Mounter</v>
      </c>
      <c r="AS141" s="22" t="str">
        <f t="shared" si="61"/>
        <v/>
      </c>
      <c r="AT141" s="24" t="str">
        <f t="shared" si="62"/>
        <v/>
      </c>
      <c r="AU141" s="22" t="s">
        <v>3744</v>
      </c>
    </row>
    <row r="142" spans="1:47" s="12" customFormat="1">
      <c r="A142" s="33" t="str">
        <f t="shared" si="49"/>
        <v>cancel</v>
      </c>
      <c r="B142" s="152"/>
      <c r="C142" s="152" t="s">
        <v>185</v>
      </c>
      <c r="D142" s="33" t="str">
        <f t="shared" si="50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51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52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63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40"/>
        <v>499582152.5142017</v>
      </c>
      <c r="AJ142" s="19">
        <f t="shared" si="41"/>
        <v>59520528.679470733</v>
      </c>
      <c r="AK142" s="20">
        <f t="shared" si="57"/>
        <v>0.11914062257814291</v>
      </c>
      <c r="AL142" s="17"/>
      <c r="AM142" s="17"/>
      <c r="AN142" s="17"/>
      <c r="AO142" s="17"/>
      <c r="AP142" s="28" t="str">
        <f t="shared" si="58"/>
        <v>CancelCancel</v>
      </c>
      <c r="AQ142" s="28" t="str">
        <f t="shared" si="59"/>
        <v>CancelCancelRMB</v>
      </c>
      <c r="AR142" s="206" t="str">
        <f t="shared" si="60"/>
        <v>YAMAHA_Mounter</v>
      </c>
      <c r="AS142" s="22" t="str">
        <f t="shared" si="61"/>
        <v/>
      </c>
      <c r="AT142" s="24" t="str">
        <f t="shared" si="62"/>
        <v/>
      </c>
      <c r="AU142" s="22" t="s">
        <v>3743</v>
      </c>
    </row>
    <row r="143" spans="1:47" s="12" customFormat="1">
      <c r="A143" s="33" t="str">
        <f t="shared" si="49"/>
        <v>cancel</v>
      </c>
      <c r="B143" s="152"/>
      <c r="C143" s="152" t="s">
        <v>185</v>
      </c>
      <c r="D143" s="33" t="str">
        <f t="shared" si="50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51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52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63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40"/>
        <v>499582152.5142017</v>
      </c>
      <c r="AJ143" s="19">
        <f t="shared" si="41"/>
        <v>59520528.679470733</v>
      </c>
      <c r="AK143" s="20">
        <f t="shared" si="57"/>
        <v>0.11914062257814291</v>
      </c>
      <c r="AL143" s="17"/>
      <c r="AM143" s="17"/>
      <c r="AN143" s="17"/>
      <c r="AO143" s="17"/>
      <c r="AP143" s="28" t="str">
        <f t="shared" si="58"/>
        <v>CancelCancel</v>
      </c>
      <c r="AQ143" s="28" t="str">
        <f t="shared" si="59"/>
        <v>CancelCancelRMB</v>
      </c>
      <c r="AR143" s="206" t="str">
        <f t="shared" si="60"/>
        <v>YAMAHA_Mounter</v>
      </c>
      <c r="AS143" s="22" t="str">
        <f t="shared" si="61"/>
        <v/>
      </c>
      <c r="AT143" s="24" t="str">
        <f t="shared" si="62"/>
        <v/>
      </c>
      <c r="AU143" s="22" t="s">
        <v>3743</v>
      </c>
    </row>
    <row r="144" spans="1:47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52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63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57"/>
        <v>0.12272431622253084</v>
      </c>
      <c r="AL144" s="17"/>
      <c r="AM144" s="17"/>
      <c r="AN144" s="17"/>
      <c r="AO144" s="17"/>
      <c r="AP144" s="28" t="str">
        <f t="shared" si="58"/>
        <v>202311</v>
      </c>
      <c r="AQ144" s="28" t="str">
        <f t="shared" si="59"/>
        <v>202311RMB</v>
      </c>
      <c r="AR144" s="206" t="str">
        <f t="shared" si="60"/>
        <v>YAMAHA_Mounter</v>
      </c>
      <c r="AS144" s="22">
        <f t="shared" si="61"/>
        <v>4</v>
      </c>
      <c r="AT144" s="24" t="str">
        <f t="shared" si="62"/>
        <v>4-6 months</v>
      </c>
      <c r="AU144" s="22" t="s">
        <v>3750</v>
      </c>
    </row>
    <row r="145" spans="1:47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52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63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57"/>
        <v>0.12272431622253084</v>
      </c>
      <c r="AL145" s="17"/>
      <c r="AM145" s="17"/>
      <c r="AN145" s="17"/>
      <c r="AO145" s="17"/>
      <c r="AP145" s="28" t="str">
        <f t="shared" si="58"/>
        <v>202311</v>
      </c>
      <c r="AQ145" s="28" t="str">
        <f t="shared" si="59"/>
        <v>202311RMB</v>
      </c>
      <c r="AR145" s="206" t="str">
        <f t="shared" si="60"/>
        <v>YAMAHA_Mounter</v>
      </c>
      <c r="AS145" s="22">
        <f t="shared" si="61"/>
        <v>4</v>
      </c>
      <c r="AT145" s="24" t="str">
        <f t="shared" si="62"/>
        <v>4-6 months</v>
      </c>
      <c r="AU145" s="22" t="s">
        <v>3750</v>
      </c>
    </row>
    <row r="146" spans="1:47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51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52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40"/>
        <v>499582152.5142017</v>
      </c>
      <c r="AJ146" s="19">
        <f t="shared" si="41"/>
        <v>59520528.679470733</v>
      </c>
      <c r="AK146" s="20">
        <f t="shared" si="57"/>
        <v>0.11914062257814291</v>
      </c>
      <c r="AL146" s="17"/>
      <c r="AM146" s="17"/>
      <c r="AN146" s="17"/>
      <c r="AO146" s="17"/>
      <c r="AP146" s="28" t="str">
        <f t="shared" si="58"/>
        <v>CancelCancel</v>
      </c>
      <c r="AQ146" s="28" t="str">
        <f t="shared" si="59"/>
        <v>CancelCancelRMB</v>
      </c>
      <c r="AR146" s="206" t="str">
        <f t="shared" si="60"/>
        <v>YAMAHA_Mounter</v>
      </c>
      <c r="AS146" s="22" t="str">
        <f t="shared" si="61"/>
        <v/>
      </c>
      <c r="AT146" s="24" t="str">
        <f t="shared" si="62"/>
        <v/>
      </c>
      <c r="AU146" s="22" t="s">
        <v>3743</v>
      </c>
    </row>
    <row r="147" spans="1:47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52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57"/>
        <v>0.1278167874546958</v>
      </c>
      <c r="AL147" s="17"/>
      <c r="AM147" s="17"/>
      <c r="AN147" s="17"/>
      <c r="AO147" s="17"/>
      <c r="AP147" s="28" t="str">
        <f t="shared" si="58"/>
        <v>20224</v>
      </c>
      <c r="AQ147" s="28" t="str">
        <f t="shared" si="59"/>
        <v>20224JPY</v>
      </c>
      <c r="AR147" s="206" t="str">
        <f t="shared" si="60"/>
        <v>YAMAHA_Mounter</v>
      </c>
      <c r="AS147" s="22">
        <f t="shared" si="61"/>
        <v>10</v>
      </c>
      <c r="AT147" s="24" t="str">
        <f t="shared" si="62"/>
        <v>&gt; 6 months</v>
      </c>
      <c r="AU147" s="22" t="s">
        <v>3744</v>
      </c>
    </row>
    <row r="148" spans="1:47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52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57"/>
        <v>0.14353007902118958</v>
      </c>
      <c r="AL148" s="17"/>
      <c r="AM148" s="17"/>
      <c r="AN148" s="17"/>
      <c r="AO148" s="17"/>
      <c r="AP148" s="28" t="str">
        <f t="shared" si="58"/>
        <v>20228</v>
      </c>
      <c r="AQ148" s="28" t="str">
        <f t="shared" si="59"/>
        <v>20228JPY</v>
      </c>
      <c r="AR148" s="206" t="str">
        <f t="shared" si="60"/>
        <v>YAMAHA_Mounter</v>
      </c>
      <c r="AS148" s="22">
        <f t="shared" si="61"/>
        <v>14</v>
      </c>
      <c r="AT148" s="24" t="str">
        <f t="shared" si="62"/>
        <v>&gt; 6 months</v>
      </c>
      <c r="AU148" s="22" t="s">
        <v>3744</v>
      </c>
    </row>
    <row r="149" spans="1:47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52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57"/>
        <v>0.10493974908778378</v>
      </c>
      <c r="AL149" s="17"/>
      <c r="AM149" s="17"/>
      <c r="AN149" s="17"/>
      <c r="AO149" s="17"/>
      <c r="AP149" s="28" t="str">
        <f t="shared" si="58"/>
        <v>201911</v>
      </c>
      <c r="AQ149" s="28" t="str">
        <f t="shared" si="59"/>
        <v>201911RMB</v>
      </c>
      <c r="AR149" s="206" t="str">
        <f t="shared" si="60"/>
        <v>YAMAHA_Mounter</v>
      </c>
      <c r="AS149" s="22">
        <f t="shared" si="61"/>
        <v>0</v>
      </c>
      <c r="AT149" s="24" t="str">
        <f t="shared" si="62"/>
        <v>0-3 months</v>
      </c>
      <c r="AU149" s="22" t="s">
        <v>3240</v>
      </c>
    </row>
    <row r="150" spans="1:47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52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57"/>
        <v>0.13676937682988152</v>
      </c>
      <c r="AL150" s="17"/>
      <c r="AM150" s="17"/>
      <c r="AN150" s="17"/>
      <c r="AO150" s="17"/>
      <c r="AP150" s="28" t="str">
        <f t="shared" si="58"/>
        <v>20204</v>
      </c>
      <c r="AQ150" s="28" t="str">
        <f t="shared" si="59"/>
        <v>20204RMB</v>
      </c>
      <c r="AR150" s="206" t="str">
        <f t="shared" si="60"/>
        <v>YAMAHA_Mounter</v>
      </c>
      <c r="AS150" s="22">
        <f t="shared" si="61"/>
        <v>1</v>
      </c>
      <c r="AT150" s="24" t="str">
        <f t="shared" si="62"/>
        <v>0-3 months</v>
      </c>
      <c r="AU150" s="22" t="s">
        <v>3240</v>
      </c>
    </row>
    <row r="151" spans="1:47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52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57"/>
        <v>0.13676937682988152</v>
      </c>
      <c r="AL151" s="17"/>
      <c r="AM151" s="17"/>
      <c r="AN151" s="17"/>
      <c r="AO151" s="17"/>
      <c r="AP151" s="28" t="str">
        <f t="shared" si="58"/>
        <v>20204</v>
      </c>
      <c r="AQ151" s="28" t="str">
        <f t="shared" si="59"/>
        <v>20204RMB</v>
      </c>
      <c r="AR151" s="206" t="str">
        <f t="shared" si="60"/>
        <v>YAMAHA_Mounter</v>
      </c>
      <c r="AS151" s="22">
        <f t="shared" si="61"/>
        <v>0</v>
      </c>
      <c r="AT151" s="24" t="str">
        <f t="shared" si="62"/>
        <v>0-3 months</v>
      </c>
      <c r="AU151" s="22" t="s">
        <v>3240</v>
      </c>
    </row>
    <row r="152" spans="1:47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52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57"/>
        <v>0.14353007902118958</v>
      </c>
      <c r="AL152" s="17"/>
      <c r="AM152" s="17"/>
      <c r="AN152" s="17"/>
      <c r="AO152" s="17"/>
      <c r="AP152" s="28" t="str">
        <f t="shared" si="58"/>
        <v>20228</v>
      </c>
      <c r="AQ152" s="28" t="str">
        <f t="shared" si="59"/>
        <v>20228RMB</v>
      </c>
      <c r="AR152" s="206" t="str">
        <f t="shared" si="60"/>
        <v>YAMAHA_Mounter</v>
      </c>
      <c r="AS152" s="22">
        <f t="shared" si="61"/>
        <v>0</v>
      </c>
      <c r="AT152" s="24" t="str">
        <f t="shared" si="62"/>
        <v>0-3 months</v>
      </c>
      <c r="AU152" s="22" t="s">
        <v>3240</v>
      </c>
    </row>
    <row r="153" spans="1:47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52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57"/>
        <v>0.13203962224416277</v>
      </c>
      <c r="AL153" s="17"/>
      <c r="AM153" s="17"/>
      <c r="AN153" s="17"/>
      <c r="AO153" s="17"/>
      <c r="AP153" s="28" t="str">
        <f t="shared" si="58"/>
        <v>201812</v>
      </c>
      <c r="AQ153" s="28" t="str">
        <f t="shared" si="59"/>
        <v>201812RMB</v>
      </c>
      <c r="AR153" s="206" t="str">
        <f t="shared" si="60"/>
        <v>YAMAHA_Mounter</v>
      </c>
      <c r="AS153" s="22">
        <f t="shared" si="61"/>
        <v>6</v>
      </c>
      <c r="AT153" s="24" t="str">
        <f t="shared" si="62"/>
        <v>4-6 months</v>
      </c>
      <c r="AU153" s="22" t="s">
        <v>3743</v>
      </c>
    </row>
    <row r="154" spans="1:47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52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57"/>
        <v>0.13314606898547499</v>
      </c>
      <c r="AL154" s="17"/>
      <c r="AM154" s="17"/>
      <c r="AN154" s="17"/>
      <c r="AO154" s="17"/>
      <c r="AP154" s="28" t="str">
        <f t="shared" si="58"/>
        <v>20187</v>
      </c>
      <c r="AQ154" s="28" t="str">
        <f t="shared" si="59"/>
        <v>20187RMB</v>
      </c>
      <c r="AR154" s="206" t="str">
        <f t="shared" si="60"/>
        <v>YAMAHA_Mounter</v>
      </c>
      <c r="AS154" s="22">
        <f t="shared" si="61"/>
        <v>3</v>
      </c>
      <c r="AT154" s="24" t="str">
        <f t="shared" si="62"/>
        <v>0-3 months</v>
      </c>
      <c r="AU154" s="22" t="s">
        <v>3240</v>
      </c>
    </row>
    <row r="155" spans="1:47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52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57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58"/>
        <v>20184</v>
      </c>
      <c r="AQ155" s="28" t="str">
        <f t="shared" si="59"/>
        <v>20184RMB</v>
      </c>
      <c r="AR155" s="206" t="str">
        <f t="shared" si="60"/>
        <v>YAMAHA_Mounter</v>
      </c>
      <c r="AS155" s="22">
        <f t="shared" si="61"/>
        <v>0</v>
      </c>
      <c r="AT155" s="24" t="str">
        <f t="shared" si="62"/>
        <v>0-3 months</v>
      </c>
      <c r="AU155" s="22" t="s">
        <v>3240</v>
      </c>
    </row>
    <row r="156" spans="1:47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52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57"/>
        <v>0.141215124388995</v>
      </c>
      <c r="AL156" s="17"/>
      <c r="AM156" s="17"/>
      <c r="AN156" s="17"/>
      <c r="AO156" s="17"/>
      <c r="AP156" s="28" t="str">
        <f t="shared" si="58"/>
        <v>20215</v>
      </c>
      <c r="AQ156" s="28" t="str">
        <f t="shared" si="59"/>
        <v>20215RMB</v>
      </c>
      <c r="AR156" s="206" t="str">
        <f t="shared" si="60"/>
        <v>YAMAHA_Mounter</v>
      </c>
      <c r="AS156" s="22">
        <f t="shared" si="61"/>
        <v>2</v>
      </c>
      <c r="AT156" s="24" t="str">
        <f t="shared" si="62"/>
        <v>0-3 months</v>
      </c>
      <c r="AU156" s="22" t="s">
        <v>3240</v>
      </c>
    </row>
    <row r="157" spans="1:47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52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57"/>
        <v>0.1494810557466355</v>
      </c>
      <c r="AL157" s="17"/>
      <c r="AM157" s="17"/>
      <c r="AN157" s="17"/>
      <c r="AO157" s="17"/>
      <c r="AP157" s="28" t="str">
        <f t="shared" si="58"/>
        <v>20217</v>
      </c>
      <c r="AQ157" s="28" t="str">
        <f t="shared" si="59"/>
        <v>20217RMB</v>
      </c>
      <c r="AR157" s="206" t="str">
        <f t="shared" si="60"/>
        <v>YAMAHA_Mounter</v>
      </c>
      <c r="AS157" s="22">
        <f t="shared" si="61"/>
        <v>3</v>
      </c>
      <c r="AT157" s="24" t="str">
        <f t="shared" si="62"/>
        <v>0-3 months</v>
      </c>
      <c r="AU157" s="22" t="s">
        <v>3240</v>
      </c>
    </row>
    <row r="158" spans="1:47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52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57"/>
        <v>0.14268518919984163</v>
      </c>
      <c r="AL158" s="17"/>
      <c r="AM158" s="17"/>
      <c r="AN158" s="17"/>
      <c r="AO158" s="17"/>
      <c r="AP158" s="28" t="str">
        <f t="shared" si="58"/>
        <v>202212</v>
      </c>
      <c r="AQ158" s="28" t="str">
        <f t="shared" si="59"/>
        <v>202212RMB</v>
      </c>
      <c r="AR158" s="206" t="str">
        <f t="shared" si="60"/>
        <v>YAMAHA_Mounter</v>
      </c>
      <c r="AS158" s="22">
        <f t="shared" si="61"/>
        <v>0</v>
      </c>
      <c r="AT158" s="24" t="str">
        <f t="shared" si="62"/>
        <v>0-3 months</v>
      </c>
      <c r="AU158" s="22" t="s">
        <v>3240</v>
      </c>
    </row>
    <row r="159" spans="1:47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52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2408851.9638623013</v>
      </c>
      <c r="AK159" s="28">
        <f t="shared" si="57"/>
        <v>0.11855004919821259</v>
      </c>
      <c r="AL159" s="24"/>
      <c r="AM159" s="24"/>
      <c r="AN159" s="24"/>
      <c r="AO159" s="24"/>
      <c r="AP159" s="28" t="str">
        <f t="shared" si="58"/>
        <v>20244</v>
      </c>
      <c r="AQ159" s="28" t="str">
        <f t="shared" si="59"/>
        <v>20244RMB</v>
      </c>
      <c r="AR159" s="206" t="str">
        <f t="shared" si="60"/>
        <v>YAMAHA_Mounter</v>
      </c>
      <c r="AS159" s="22">
        <f t="shared" si="61"/>
        <v>1</v>
      </c>
      <c r="AT159" s="24" t="str">
        <f t="shared" si="62"/>
        <v>0-3 months</v>
      </c>
      <c r="AU159" s="22" t="s">
        <v>3240</v>
      </c>
    </row>
    <row r="160" spans="1:47" s="12" customFormat="1">
      <c r="A160" s="33" t="str">
        <f t="shared" si="49"/>
        <v>cancel</v>
      </c>
      <c r="B160" s="152"/>
      <c r="C160" s="152" t="s">
        <v>185</v>
      </c>
      <c r="D160" s="33" t="str">
        <f t="shared" si="50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51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52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40"/>
        <v>499582152.5142017</v>
      </c>
      <c r="AJ160" s="19">
        <f t="shared" si="41"/>
        <v>59520528.679470733</v>
      </c>
      <c r="AK160" s="20">
        <f t="shared" si="57"/>
        <v>0.11914062257814291</v>
      </c>
      <c r="AL160" s="17"/>
      <c r="AM160" s="17"/>
      <c r="AN160" s="17"/>
      <c r="AO160" s="17"/>
      <c r="AP160" s="28" t="str">
        <f t="shared" si="58"/>
        <v>CancelCancel</v>
      </c>
      <c r="AQ160" s="28" t="str">
        <f t="shared" si="59"/>
        <v>CancelCancelRMB</v>
      </c>
      <c r="AR160" s="206" t="str">
        <f t="shared" si="60"/>
        <v>YAMAHA_Mounter</v>
      </c>
      <c r="AS160" s="22" t="str">
        <f t="shared" si="61"/>
        <v/>
      </c>
      <c r="AT160" s="24" t="str">
        <f t="shared" si="62"/>
        <v/>
      </c>
      <c r="AU160" s="22" t="s">
        <v>3240</v>
      </c>
    </row>
    <row r="161" spans="1:47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52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57"/>
        <v>0.141215124388995</v>
      </c>
      <c r="AL161" s="17"/>
      <c r="AM161" s="17"/>
      <c r="AN161" s="17"/>
      <c r="AO161" s="17"/>
      <c r="AP161" s="28" t="str">
        <f t="shared" si="58"/>
        <v>20215</v>
      </c>
      <c r="AQ161" s="28" t="str">
        <f t="shared" si="59"/>
        <v>20215RMB</v>
      </c>
      <c r="AR161" s="206" t="str">
        <f t="shared" si="60"/>
        <v>YAMAHA_Mounter</v>
      </c>
      <c r="AS161" s="22">
        <f t="shared" si="61"/>
        <v>2</v>
      </c>
      <c r="AT161" s="24" t="str">
        <f t="shared" si="62"/>
        <v>0-3 months</v>
      </c>
      <c r="AU161" s="22" t="s">
        <v>3240</v>
      </c>
    </row>
    <row r="162" spans="1:47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52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57"/>
        <v>0.141215124388995</v>
      </c>
      <c r="AL162" s="17"/>
      <c r="AM162" s="17"/>
      <c r="AN162" s="17"/>
      <c r="AO162" s="17"/>
      <c r="AP162" s="28" t="str">
        <f t="shared" si="58"/>
        <v>20215</v>
      </c>
      <c r="AQ162" s="28" t="str">
        <f t="shared" si="59"/>
        <v>20215RMB</v>
      </c>
      <c r="AR162" s="206" t="str">
        <f t="shared" si="60"/>
        <v>YAMAHA_Mounter</v>
      </c>
      <c r="AS162" s="22">
        <f t="shared" si="61"/>
        <v>1</v>
      </c>
      <c r="AT162" s="24" t="str">
        <f t="shared" si="62"/>
        <v>0-3 months</v>
      </c>
      <c r="AU162" s="22" t="s">
        <v>3240</v>
      </c>
    </row>
    <row r="163" spans="1:47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52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57"/>
        <v>0.1517070412191521</v>
      </c>
      <c r="AL163" s="17"/>
      <c r="AM163" s="17"/>
      <c r="AN163" s="17"/>
      <c r="AO163" s="17"/>
      <c r="AP163" s="28" t="str">
        <f t="shared" si="58"/>
        <v>202112</v>
      </c>
      <c r="AQ163" s="28" t="str">
        <f t="shared" si="59"/>
        <v>202112RMB</v>
      </c>
      <c r="AR163" s="206" t="str">
        <f t="shared" si="60"/>
        <v>YAMAHA_Mounter</v>
      </c>
      <c r="AS163" s="22">
        <f t="shared" si="61"/>
        <v>0</v>
      </c>
      <c r="AT163" s="24" t="str">
        <f t="shared" si="62"/>
        <v>0-3 months</v>
      </c>
      <c r="AU163" s="22" t="s">
        <v>3240</v>
      </c>
    </row>
    <row r="164" spans="1:47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52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57"/>
        <v>0.14613378412599562</v>
      </c>
      <c r="AL164" s="17"/>
      <c r="AM164" s="17"/>
      <c r="AN164" s="17"/>
      <c r="AO164" s="17"/>
      <c r="AP164" s="28" t="str">
        <f t="shared" si="58"/>
        <v>20227</v>
      </c>
      <c r="AQ164" s="28" t="str">
        <f t="shared" si="59"/>
        <v>20227RMB</v>
      </c>
      <c r="AR164" s="206" t="str">
        <f t="shared" si="60"/>
        <v>YAMAHA_Mounter</v>
      </c>
      <c r="AS164" s="22">
        <f t="shared" si="61"/>
        <v>1</v>
      </c>
      <c r="AT164" s="24" t="str">
        <f t="shared" si="62"/>
        <v>0-3 months</v>
      </c>
      <c r="AU164" s="22" t="s">
        <v>3240</v>
      </c>
    </row>
    <row r="165" spans="1:47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52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57"/>
        <v>0.11939782416131177</v>
      </c>
      <c r="AL165" s="17"/>
      <c r="AM165" s="17"/>
      <c r="AN165" s="17"/>
      <c r="AO165" s="17"/>
      <c r="AP165" s="28" t="str">
        <f t="shared" si="58"/>
        <v>20194</v>
      </c>
      <c r="AQ165" s="28" t="str">
        <f t="shared" si="59"/>
        <v>20194RMB</v>
      </c>
      <c r="AR165" s="206" t="str">
        <f t="shared" si="60"/>
        <v>YAMAHA_Mounter</v>
      </c>
      <c r="AS165" s="22">
        <f t="shared" si="61"/>
        <v>1</v>
      </c>
      <c r="AT165" s="24" t="str">
        <f t="shared" si="62"/>
        <v>0-3 months</v>
      </c>
      <c r="AU165" s="22" t="s">
        <v>3240</v>
      </c>
    </row>
    <row r="166" spans="1:47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52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57"/>
        <v>0.12142827497242578</v>
      </c>
      <c r="AL166" s="17"/>
      <c r="AM166" s="17"/>
      <c r="AN166" s="17"/>
      <c r="AO166" s="17"/>
      <c r="AP166" s="28" t="str">
        <f t="shared" si="58"/>
        <v>202010</v>
      </c>
      <c r="AQ166" s="28" t="str">
        <f t="shared" si="59"/>
        <v>202010RMB</v>
      </c>
      <c r="AR166" s="206" t="str">
        <f t="shared" si="60"/>
        <v>YAMAHA_Mounter</v>
      </c>
      <c r="AS166" s="22">
        <f t="shared" si="61"/>
        <v>2</v>
      </c>
      <c r="AT166" s="24" t="str">
        <f t="shared" si="62"/>
        <v>0-3 months</v>
      </c>
      <c r="AU166" s="22" t="s">
        <v>3240</v>
      </c>
    </row>
    <row r="167" spans="1:47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52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57"/>
        <v>0.12496215328889679</v>
      </c>
      <c r="AL167" s="17"/>
      <c r="AM167" s="17"/>
      <c r="AN167" s="17"/>
      <c r="AO167" s="17"/>
      <c r="AP167" s="28" t="str">
        <f t="shared" si="58"/>
        <v>202011</v>
      </c>
      <c r="AQ167" s="28" t="str">
        <f t="shared" si="59"/>
        <v>202011RMB</v>
      </c>
      <c r="AR167" s="206" t="str">
        <f t="shared" si="60"/>
        <v>YAMAHA_Mounter</v>
      </c>
      <c r="AS167" s="22">
        <f t="shared" si="61"/>
        <v>3</v>
      </c>
      <c r="AT167" s="24" t="str">
        <f t="shared" si="62"/>
        <v>0-3 months</v>
      </c>
      <c r="AU167" s="22" t="s">
        <v>3240</v>
      </c>
    </row>
    <row r="168" spans="1:47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52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57"/>
        <v>0.13214055370740244</v>
      </c>
      <c r="AL168" s="17"/>
      <c r="AM168" s="17"/>
      <c r="AN168" s="17"/>
      <c r="AO168" s="17"/>
      <c r="AP168" s="28" t="str">
        <f t="shared" si="58"/>
        <v>20184</v>
      </c>
      <c r="AQ168" s="28" t="str">
        <f t="shared" si="59"/>
        <v>20184RMB</v>
      </c>
      <c r="AR168" s="206" t="str">
        <f t="shared" si="60"/>
        <v>YAMAHA_Mounter</v>
      </c>
      <c r="AS168" s="22">
        <f t="shared" si="61"/>
        <v>5</v>
      </c>
      <c r="AT168" s="24" t="str">
        <f t="shared" si="62"/>
        <v>4-6 months</v>
      </c>
      <c r="AU168" s="22" t="s">
        <v>3240</v>
      </c>
    </row>
    <row r="169" spans="1:47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52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57"/>
        <v>0.13756645766163331</v>
      </c>
      <c r="AL169" s="17"/>
      <c r="AM169" s="17"/>
      <c r="AN169" s="17"/>
      <c r="AO169" s="17"/>
      <c r="AP169" s="28" t="str">
        <f t="shared" si="58"/>
        <v>20201</v>
      </c>
      <c r="AQ169" s="28" t="str">
        <f t="shared" si="59"/>
        <v>20201RMB</v>
      </c>
      <c r="AR169" s="206" t="str">
        <f t="shared" si="60"/>
        <v>YAMAHA_Mounter</v>
      </c>
      <c r="AS169" s="22">
        <f t="shared" si="61"/>
        <v>1</v>
      </c>
      <c r="AT169" s="24" t="str">
        <f t="shared" si="62"/>
        <v>0-3 months</v>
      </c>
      <c r="AU169" s="22" t="s">
        <v>3240</v>
      </c>
    </row>
    <row r="170" spans="1:47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52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57"/>
        <v>0.13756645766163331</v>
      </c>
      <c r="AL170" s="17"/>
      <c r="AM170" s="17"/>
      <c r="AN170" s="17"/>
      <c r="AO170" s="17"/>
      <c r="AP170" s="28" t="str">
        <f t="shared" si="58"/>
        <v>20201</v>
      </c>
      <c r="AQ170" s="28" t="str">
        <f t="shared" si="59"/>
        <v>20201RMB</v>
      </c>
      <c r="AR170" s="206" t="str">
        <f t="shared" si="60"/>
        <v>YAMAHA_Mounter</v>
      </c>
      <c r="AS170" s="22">
        <f t="shared" si="61"/>
        <v>1</v>
      </c>
      <c r="AT170" s="24" t="str">
        <f t="shared" si="62"/>
        <v>0-3 months</v>
      </c>
      <c r="AU170" s="22" t="s">
        <v>3240</v>
      </c>
    </row>
    <row r="171" spans="1:47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52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57"/>
        <v>0.13676937682988152</v>
      </c>
      <c r="AL171" s="17"/>
      <c r="AM171" s="17"/>
      <c r="AN171" s="17"/>
      <c r="AO171" s="17"/>
      <c r="AP171" s="28" t="str">
        <f t="shared" si="58"/>
        <v>20204</v>
      </c>
      <c r="AQ171" s="28" t="str">
        <f t="shared" si="59"/>
        <v>20204RMB</v>
      </c>
      <c r="AR171" s="206" t="str">
        <f t="shared" si="60"/>
        <v>YAMAHA_Mounter</v>
      </c>
      <c r="AS171" s="22">
        <f t="shared" si="61"/>
        <v>0</v>
      </c>
      <c r="AT171" s="24" t="str">
        <f t="shared" si="62"/>
        <v>0-3 months</v>
      </c>
      <c r="AU171" s="22" t="s">
        <v>3240</v>
      </c>
    </row>
    <row r="172" spans="1:47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52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57"/>
        <v>0.1428734525728621</v>
      </c>
      <c r="AL172" s="17"/>
      <c r="AM172" s="17"/>
      <c r="AN172" s="17"/>
      <c r="AO172" s="17"/>
      <c r="AP172" s="28" t="str">
        <f t="shared" si="58"/>
        <v>201811</v>
      </c>
      <c r="AQ172" s="28" t="str">
        <f t="shared" si="59"/>
        <v>201811RMB</v>
      </c>
      <c r="AR172" s="206" t="str">
        <f t="shared" si="60"/>
        <v>YAMAHA_Mounter</v>
      </c>
      <c r="AS172" s="22">
        <f t="shared" si="61"/>
        <v>5</v>
      </c>
      <c r="AT172" s="24" t="str">
        <f t="shared" si="62"/>
        <v>4-6 months</v>
      </c>
      <c r="AU172" s="22" t="s">
        <v>3240</v>
      </c>
    </row>
    <row r="173" spans="1:47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52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57"/>
        <v>0.12032530077218917</v>
      </c>
      <c r="AL173" s="17"/>
      <c r="AM173" s="17"/>
      <c r="AN173" s="17"/>
      <c r="AO173" s="17"/>
      <c r="AP173" s="28" t="str">
        <f t="shared" si="58"/>
        <v>20239</v>
      </c>
      <c r="AQ173" s="28" t="str">
        <f t="shared" si="59"/>
        <v>20239RMB</v>
      </c>
      <c r="AR173" s="206" t="str">
        <f t="shared" si="60"/>
        <v>YAMAHA_Mounter</v>
      </c>
      <c r="AS173" s="22">
        <f t="shared" si="61"/>
        <v>4</v>
      </c>
      <c r="AT173" s="24" t="str">
        <f t="shared" si="62"/>
        <v>4-6 months</v>
      </c>
      <c r="AU173" s="22" t="s">
        <v>3240</v>
      </c>
    </row>
    <row r="174" spans="1:47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52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57"/>
        <v>0.12032530077218917</v>
      </c>
      <c r="AL174" s="17"/>
      <c r="AM174" s="17"/>
      <c r="AN174" s="17"/>
      <c r="AO174" s="17"/>
      <c r="AP174" s="28" t="str">
        <f t="shared" si="58"/>
        <v>20239</v>
      </c>
      <c r="AQ174" s="28" t="str">
        <f t="shared" si="59"/>
        <v>20239RMB</v>
      </c>
      <c r="AR174" s="206" t="str">
        <f t="shared" si="60"/>
        <v>YAMAHA_Mounter</v>
      </c>
      <c r="AS174" s="22">
        <f t="shared" si="61"/>
        <v>4</v>
      </c>
      <c r="AT174" s="24" t="str">
        <f t="shared" si="62"/>
        <v>4-6 months</v>
      </c>
      <c r="AU174" s="22" t="s">
        <v>3240</v>
      </c>
    </row>
    <row r="175" spans="1:47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52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57"/>
        <v>0.12032530077218917</v>
      </c>
      <c r="AL175" s="17"/>
      <c r="AM175" s="17"/>
      <c r="AN175" s="17"/>
      <c r="AO175" s="17"/>
      <c r="AP175" s="28" t="str">
        <f t="shared" si="58"/>
        <v>20239</v>
      </c>
      <c r="AQ175" s="28" t="str">
        <f t="shared" si="59"/>
        <v>20239RMB</v>
      </c>
      <c r="AR175" s="206" t="str">
        <f t="shared" si="60"/>
        <v>YAMAHA_Mounter</v>
      </c>
      <c r="AS175" s="22">
        <f t="shared" si="61"/>
        <v>4</v>
      </c>
      <c r="AT175" s="24" t="str">
        <f t="shared" si="62"/>
        <v>4-6 months</v>
      </c>
      <c r="AU175" s="22" t="s">
        <v>3240</v>
      </c>
    </row>
    <row r="176" spans="1:47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52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57"/>
        <v>0.12032530077218917</v>
      </c>
      <c r="AL176" s="17"/>
      <c r="AM176" s="17"/>
      <c r="AN176" s="17"/>
      <c r="AO176" s="17"/>
      <c r="AP176" s="28" t="str">
        <f t="shared" si="58"/>
        <v>20239</v>
      </c>
      <c r="AQ176" s="28" t="str">
        <f t="shared" si="59"/>
        <v>20239RMB</v>
      </c>
      <c r="AR176" s="206" t="str">
        <f t="shared" si="60"/>
        <v>YAMAHA_Mounter</v>
      </c>
      <c r="AS176" s="22">
        <f t="shared" si="61"/>
        <v>4</v>
      </c>
      <c r="AT176" s="24" t="str">
        <f t="shared" si="62"/>
        <v>4-6 months</v>
      </c>
      <c r="AU176" s="22" t="s">
        <v>3240</v>
      </c>
    </row>
    <row r="177" spans="1:47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52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57"/>
        <v>0.12032530077218917</v>
      </c>
      <c r="AL177" s="17"/>
      <c r="AM177" s="17"/>
      <c r="AN177" s="17"/>
      <c r="AO177" s="17"/>
      <c r="AP177" s="28" t="str">
        <f t="shared" si="58"/>
        <v>20239</v>
      </c>
      <c r="AQ177" s="28" t="str">
        <f t="shared" si="59"/>
        <v>20239RMB</v>
      </c>
      <c r="AR177" s="206" t="str">
        <f t="shared" si="60"/>
        <v>LOCAL SUPPLIER</v>
      </c>
      <c r="AS177" s="22">
        <f t="shared" si="61"/>
        <v>4</v>
      </c>
      <c r="AT177" s="24" t="str">
        <f t="shared" si="62"/>
        <v>4-6 months</v>
      </c>
      <c r="AU177" s="22" t="s">
        <v>3240</v>
      </c>
    </row>
    <row r="178" spans="1:47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4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52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65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57"/>
        <v>0.12032530077218917</v>
      </c>
      <c r="AL178" s="17"/>
      <c r="AM178" s="17"/>
      <c r="AN178" s="17"/>
      <c r="AO178" s="17"/>
      <c r="AP178" s="28" t="str">
        <f t="shared" si="58"/>
        <v>20239</v>
      </c>
      <c r="AQ178" s="28" t="str">
        <f t="shared" si="59"/>
        <v>20239RMB</v>
      </c>
      <c r="AR178" s="206" t="str">
        <f t="shared" si="60"/>
        <v>YAMAHA_Non_Mounter</v>
      </c>
      <c r="AS178" s="22">
        <f t="shared" si="61"/>
        <v>4</v>
      </c>
      <c r="AT178" s="24" t="str">
        <f t="shared" si="62"/>
        <v>4-6 months</v>
      </c>
      <c r="AU178" s="22" t="s">
        <v>3240</v>
      </c>
    </row>
    <row r="179" spans="1:47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4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52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65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57"/>
        <v>0.12032530077218917</v>
      </c>
      <c r="AL179" s="17"/>
      <c r="AM179" s="17"/>
      <c r="AN179" s="17"/>
      <c r="AO179" s="17"/>
      <c r="AP179" s="28" t="str">
        <f t="shared" si="58"/>
        <v>20239</v>
      </c>
      <c r="AQ179" s="28" t="str">
        <f t="shared" si="59"/>
        <v>20239RMB</v>
      </c>
      <c r="AR179" s="206" t="str">
        <f t="shared" si="60"/>
        <v>YAMAHA_Non_Mounter</v>
      </c>
      <c r="AS179" s="22">
        <f t="shared" si="61"/>
        <v>4</v>
      </c>
      <c r="AT179" s="24" t="str">
        <f t="shared" si="62"/>
        <v>4-6 months</v>
      </c>
      <c r="AU179" s="22" t="s">
        <v>3240</v>
      </c>
    </row>
    <row r="180" spans="1:47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4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52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65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57"/>
        <v>0.12032530077218917</v>
      </c>
      <c r="AL180" s="17"/>
      <c r="AM180" s="17"/>
      <c r="AN180" s="17"/>
      <c r="AO180" s="17"/>
      <c r="AP180" s="28" t="str">
        <f t="shared" si="58"/>
        <v>20239</v>
      </c>
      <c r="AQ180" s="28" t="str">
        <f t="shared" si="59"/>
        <v>20239RMB</v>
      </c>
      <c r="AR180" s="206" t="str">
        <f t="shared" si="60"/>
        <v>HELLER</v>
      </c>
      <c r="AS180" s="22">
        <f t="shared" si="61"/>
        <v>4</v>
      </c>
      <c r="AT180" s="24" t="str">
        <f t="shared" si="62"/>
        <v>4-6 months</v>
      </c>
      <c r="AU180" s="22" t="s">
        <v>3240</v>
      </c>
    </row>
    <row r="181" spans="1:47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4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52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65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57"/>
        <v>0.12032530077218917</v>
      </c>
      <c r="AL181" s="17"/>
      <c r="AM181" s="17"/>
      <c r="AN181" s="17"/>
      <c r="AO181" s="17"/>
      <c r="AP181" s="28" t="str">
        <f t="shared" si="58"/>
        <v>20239</v>
      </c>
      <c r="AQ181" s="28" t="str">
        <f t="shared" si="59"/>
        <v>20239RMB</v>
      </c>
      <c r="AR181" s="206" t="str">
        <f t="shared" si="60"/>
        <v>PEMTRON</v>
      </c>
      <c r="AS181" s="22">
        <f t="shared" si="61"/>
        <v>4</v>
      </c>
      <c r="AT181" s="24" t="str">
        <f t="shared" si="62"/>
        <v>4-6 months</v>
      </c>
      <c r="AU181" s="22" t="s">
        <v>3240</v>
      </c>
    </row>
    <row r="182" spans="1:47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4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52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65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57"/>
        <v>0.12032530077218917</v>
      </c>
      <c r="AL182" s="17"/>
      <c r="AM182" s="17"/>
      <c r="AN182" s="17"/>
      <c r="AO182" s="17"/>
      <c r="AP182" s="28" t="str">
        <f t="shared" si="58"/>
        <v>20239</v>
      </c>
      <c r="AQ182" s="28" t="str">
        <f t="shared" si="59"/>
        <v>20239RMB</v>
      </c>
      <c r="AR182" s="206" t="str">
        <f t="shared" si="60"/>
        <v>LOCAL SUPPLIER</v>
      </c>
      <c r="AS182" s="22">
        <f t="shared" si="61"/>
        <v>1</v>
      </c>
      <c r="AT182" s="24" t="str">
        <f t="shared" si="62"/>
        <v>0-3 months</v>
      </c>
      <c r="AU182" s="22" t="s">
        <v>3240</v>
      </c>
    </row>
    <row r="183" spans="1:47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4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52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65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40"/>
        <v>20319282.700884953</v>
      </c>
      <c r="AJ183" s="27">
        <f t="shared" si="41"/>
        <v>2408851.9638623013</v>
      </c>
      <c r="AK183" s="28">
        <f t="shared" si="57"/>
        <v>0.11855004919821259</v>
      </c>
      <c r="AL183" s="24"/>
      <c r="AM183" s="24"/>
      <c r="AN183" s="24"/>
      <c r="AO183" s="24"/>
      <c r="AP183" s="28" t="str">
        <f t="shared" si="58"/>
        <v>20244</v>
      </c>
      <c r="AQ183" s="28" t="str">
        <f t="shared" si="59"/>
        <v>20244RMB</v>
      </c>
      <c r="AR183" s="206" t="str">
        <f t="shared" si="60"/>
        <v>YAMAHA_Mounter</v>
      </c>
      <c r="AS183" s="22">
        <f t="shared" si="61"/>
        <v>1</v>
      </c>
      <c r="AT183" s="24" t="str">
        <f t="shared" si="62"/>
        <v>0-3 months</v>
      </c>
      <c r="AU183" s="22" t="s">
        <v>3240</v>
      </c>
    </row>
    <row r="184" spans="1:47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4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52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65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40"/>
        <v>20319282.700884953</v>
      </c>
      <c r="AJ184" s="27">
        <f t="shared" si="41"/>
        <v>2408851.9638623013</v>
      </c>
      <c r="AK184" s="28">
        <f t="shared" si="57"/>
        <v>0.11855004919821259</v>
      </c>
      <c r="AL184" s="24"/>
      <c r="AM184" s="24"/>
      <c r="AN184" s="24"/>
      <c r="AO184" s="24"/>
      <c r="AP184" s="28" t="str">
        <f t="shared" si="58"/>
        <v>20244</v>
      </c>
      <c r="AQ184" s="28" t="str">
        <f t="shared" si="59"/>
        <v>20244RMB</v>
      </c>
      <c r="AR184" s="206" t="str">
        <f t="shared" si="60"/>
        <v>YAMAHA_Mounter</v>
      </c>
      <c r="AS184" s="22">
        <f t="shared" si="61"/>
        <v>1</v>
      </c>
      <c r="AT184" s="24" t="str">
        <f t="shared" si="62"/>
        <v>0-3 months</v>
      </c>
      <c r="AU184" s="22" t="s">
        <v>3750</v>
      </c>
    </row>
    <row r="185" spans="1:47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4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52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65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40"/>
        <v>20319282.700884953</v>
      </c>
      <c r="AJ185" s="27">
        <f t="shared" si="41"/>
        <v>2408851.9638623013</v>
      </c>
      <c r="AK185" s="28">
        <f t="shared" si="57"/>
        <v>0.11855004919821259</v>
      </c>
      <c r="AL185" s="24"/>
      <c r="AM185" s="24"/>
      <c r="AN185" s="24"/>
      <c r="AO185" s="24"/>
      <c r="AP185" s="28" t="str">
        <f t="shared" si="58"/>
        <v>20244</v>
      </c>
      <c r="AQ185" s="28" t="str">
        <f t="shared" si="59"/>
        <v>20244RMB</v>
      </c>
      <c r="AR185" s="206" t="str">
        <f t="shared" si="60"/>
        <v>YAMAHA_Mounter</v>
      </c>
      <c r="AS185" s="22">
        <f t="shared" si="61"/>
        <v>1</v>
      </c>
      <c r="AT185" s="24" t="str">
        <f t="shared" si="62"/>
        <v>0-3 months</v>
      </c>
      <c r="AU185" s="22" t="s">
        <v>3750</v>
      </c>
    </row>
    <row r="186" spans="1:47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52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57"/>
        <v>0.12943785838163113</v>
      </c>
      <c r="AL186" s="17"/>
      <c r="AM186" s="17"/>
      <c r="AN186" s="17"/>
      <c r="AO186" s="17"/>
      <c r="AP186" s="28" t="str">
        <f t="shared" si="58"/>
        <v>20199</v>
      </c>
      <c r="AQ186" s="28" t="str">
        <f t="shared" si="59"/>
        <v>20199RMB</v>
      </c>
      <c r="AR186" s="206" t="str">
        <f t="shared" si="60"/>
        <v>YAMAHA_Mounter</v>
      </c>
      <c r="AS186" s="22">
        <f t="shared" si="61"/>
        <v>0</v>
      </c>
      <c r="AT186" s="24" t="str">
        <f t="shared" si="62"/>
        <v>0-3 months</v>
      </c>
      <c r="AU186" s="22" t="s">
        <v>3240</v>
      </c>
    </row>
    <row r="187" spans="1:47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52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57"/>
        <v>0.12943785838163113</v>
      </c>
      <c r="AL187" s="17"/>
      <c r="AM187" s="17"/>
      <c r="AN187" s="17"/>
      <c r="AO187" s="17"/>
      <c r="AP187" s="28" t="str">
        <f t="shared" si="58"/>
        <v>20199</v>
      </c>
      <c r="AQ187" s="28" t="str">
        <f t="shared" si="59"/>
        <v>20199RMB</v>
      </c>
      <c r="AR187" s="206" t="str">
        <f t="shared" si="60"/>
        <v>YAMAHA_Mounter</v>
      </c>
      <c r="AS187" s="22">
        <f t="shared" si="61"/>
        <v>0</v>
      </c>
      <c r="AT187" s="24" t="str">
        <f t="shared" si="62"/>
        <v>0-3 months</v>
      </c>
      <c r="AU187" s="22" t="s">
        <v>3240</v>
      </c>
    </row>
    <row r="188" spans="1:47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52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57"/>
        <v>0.13679824337660537</v>
      </c>
      <c r="AL188" s="17"/>
      <c r="AM188" s="17"/>
      <c r="AN188" s="17"/>
      <c r="AO188" s="17"/>
      <c r="AP188" s="28" t="str">
        <f t="shared" si="58"/>
        <v>20216</v>
      </c>
      <c r="AQ188" s="28" t="str">
        <f t="shared" si="59"/>
        <v>20216RMB</v>
      </c>
      <c r="AR188" s="206" t="str">
        <f t="shared" si="60"/>
        <v>YAMAHA_Mounter</v>
      </c>
      <c r="AS188" s="22">
        <f t="shared" si="61"/>
        <v>2</v>
      </c>
      <c r="AT188" s="24" t="str">
        <f t="shared" si="62"/>
        <v>0-3 months</v>
      </c>
      <c r="AU188" s="22" t="s">
        <v>3240</v>
      </c>
    </row>
    <row r="189" spans="1:47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52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57"/>
        <v>0.13679824337660537</v>
      </c>
      <c r="AL189" s="17"/>
      <c r="AM189" s="17"/>
      <c r="AN189" s="17"/>
      <c r="AO189" s="17"/>
      <c r="AP189" s="28" t="str">
        <f t="shared" si="58"/>
        <v>20216</v>
      </c>
      <c r="AQ189" s="28" t="str">
        <f t="shared" si="59"/>
        <v>20216RMB</v>
      </c>
      <c r="AR189" s="206" t="str">
        <f t="shared" si="60"/>
        <v>YAMAHA_Mounter</v>
      </c>
      <c r="AS189" s="22">
        <f t="shared" si="61"/>
        <v>2</v>
      </c>
      <c r="AT189" s="24" t="str">
        <f t="shared" si="62"/>
        <v>0-3 months</v>
      </c>
      <c r="AU189" s="22" t="s">
        <v>3240</v>
      </c>
    </row>
    <row r="190" spans="1:47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52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57"/>
        <v>0.13679824337660537</v>
      </c>
      <c r="AL190" s="17"/>
      <c r="AM190" s="17"/>
      <c r="AN190" s="17"/>
      <c r="AO190" s="17"/>
      <c r="AP190" s="28" t="str">
        <f t="shared" si="58"/>
        <v>20216</v>
      </c>
      <c r="AQ190" s="28" t="str">
        <f t="shared" si="59"/>
        <v>20216RMB</v>
      </c>
      <c r="AR190" s="206" t="str">
        <f t="shared" si="60"/>
        <v>YAMAHA_Mounter</v>
      </c>
      <c r="AS190" s="22">
        <f t="shared" si="61"/>
        <v>2</v>
      </c>
      <c r="AT190" s="24" t="str">
        <f t="shared" si="62"/>
        <v>0-3 months</v>
      </c>
      <c r="AU190" s="22" t="s">
        <v>3240</v>
      </c>
    </row>
    <row r="191" spans="1:47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52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57"/>
        <v>0.13679824337660537</v>
      </c>
      <c r="AL191" s="17"/>
      <c r="AM191" s="17"/>
      <c r="AN191" s="17"/>
      <c r="AO191" s="17"/>
      <c r="AP191" s="28" t="str">
        <f t="shared" si="58"/>
        <v>20216</v>
      </c>
      <c r="AQ191" s="28" t="str">
        <f t="shared" si="59"/>
        <v>20216RMB</v>
      </c>
      <c r="AR191" s="206" t="str">
        <f t="shared" si="60"/>
        <v>PEMTRON</v>
      </c>
      <c r="AS191" s="22">
        <f t="shared" si="61"/>
        <v>3</v>
      </c>
      <c r="AT191" s="24" t="str">
        <f t="shared" si="62"/>
        <v>0-3 months</v>
      </c>
      <c r="AU191" s="22" t="s">
        <v>3240</v>
      </c>
    </row>
    <row r="192" spans="1:47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52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57"/>
        <v>0.14045056209911663</v>
      </c>
      <c r="AL192" s="17"/>
      <c r="AM192" s="17"/>
      <c r="AN192" s="17"/>
      <c r="AO192" s="17"/>
      <c r="AP192" s="28" t="str">
        <f t="shared" si="58"/>
        <v>20219</v>
      </c>
      <c r="AQ192" s="28" t="str">
        <f t="shared" si="59"/>
        <v>20219RMB</v>
      </c>
      <c r="AR192" s="206" t="str">
        <f t="shared" si="60"/>
        <v>PEMTRON</v>
      </c>
      <c r="AS192" s="22">
        <f t="shared" si="61"/>
        <v>2</v>
      </c>
      <c r="AT192" s="24" t="str">
        <f t="shared" si="62"/>
        <v>0-3 months</v>
      </c>
      <c r="AU192" s="22" t="s">
        <v>3240</v>
      </c>
    </row>
    <row r="193" spans="1:47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52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57"/>
        <v>0.10337772614862238</v>
      </c>
      <c r="AL193" s="17"/>
      <c r="AM193" s="17"/>
      <c r="AN193" s="17"/>
      <c r="AO193" s="17"/>
      <c r="AP193" s="28" t="str">
        <f t="shared" si="58"/>
        <v>20191</v>
      </c>
      <c r="AQ193" s="28" t="str">
        <f t="shared" si="59"/>
        <v>20191RMB</v>
      </c>
      <c r="AR193" s="206" t="str">
        <f t="shared" si="60"/>
        <v>YAMAHA_Mounter</v>
      </c>
      <c r="AS193" s="22">
        <f t="shared" si="61"/>
        <v>4</v>
      </c>
      <c r="AT193" s="24" t="str">
        <f t="shared" si="62"/>
        <v>4-6 months</v>
      </c>
      <c r="AU193" s="22" t="s">
        <v>3240</v>
      </c>
    </row>
    <row r="194" spans="1:47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52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ref="AI194:AI257" si="66">IF(P194="C66 SERVICE","",SUMIFS(AB:AB,F:F,F194,G:G,G194,E:E,E194))</f>
        <v>23237072.69172414</v>
      </c>
      <c r="AJ194" s="19">
        <f t="shared" ref="AJ194:AJ257" si="67">IF(P194="C66 SERVICE","",SUMIFS(AC:AC,F:F,F194,G:G,G194,E:E,E194))</f>
        <v>2402195.7372206897</v>
      </c>
      <c r="AK194" s="20">
        <f t="shared" si="57"/>
        <v>0.10337772614862238</v>
      </c>
      <c r="AL194" s="17"/>
      <c r="AM194" s="17"/>
      <c r="AN194" s="17"/>
      <c r="AO194" s="17"/>
      <c r="AP194" s="28" t="str">
        <f t="shared" si="58"/>
        <v>20191</v>
      </c>
      <c r="AQ194" s="28" t="str">
        <f t="shared" si="59"/>
        <v>20191RMB</v>
      </c>
      <c r="AR194" s="206" t="str">
        <f t="shared" si="60"/>
        <v>YAMAHA_Mounter</v>
      </c>
      <c r="AS194" s="22">
        <f t="shared" si="61"/>
        <v>4</v>
      </c>
      <c r="AT194" s="24" t="str">
        <f t="shared" si="62"/>
        <v>4-6 months</v>
      </c>
      <c r="AU194" s="22" t="s">
        <v>3240</v>
      </c>
    </row>
    <row r="195" spans="1:47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52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66"/>
        <v>45803245.025628321</v>
      </c>
      <c r="AJ195" s="19">
        <f t="shared" si="67"/>
        <v>5664636.2584379362</v>
      </c>
      <c r="AK195" s="20">
        <f t="shared" si="57"/>
        <v>0.12367325186825515</v>
      </c>
      <c r="AL195" s="17"/>
      <c r="AM195" s="17"/>
      <c r="AN195" s="17"/>
      <c r="AO195" s="17"/>
      <c r="AP195" s="28" t="str">
        <f t="shared" si="58"/>
        <v>20211</v>
      </c>
      <c r="AQ195" s="28" t="str">
        <f t="shared" si="59"/>
        <v>20211RMB</v>
      </c>
      <c r="AR195" s="206" t="str">
        <f t="shared" si="60"/>
        <v>YAMAHA_Mounter</v>
      </c>
      <c r="AS195" s="22">
        <f t="shared" si="61"/>
        <v>2</v>
      </c>
      <c r="AT195" s="24" t="str">
        <f t="shared" si="62"/>
        <v>0-3 months</v>
      </c>
      <c r="AU195" s="22" t="s">
        <v>3240</v>
      </c>
    </row>
    <row r="196" spans="1:47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52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66"/>
        <v>45803245.025628321</v>
      </c>
      <c r="AJ196" s="19">
        <f t="shared" si="67"/>
        <v>5664636.2584379362</v>
      </c>
      <c r="AK196" s="20">
        <f t="shared" si="57"/>
        <v>0.12367325186825515</v>
      </c>
      <c r="AL196" s="17"/>
      <c r="AM196" s="17"/>
      <c r="AN196" s="17"/>
      <c r="AO196" s="17"/>
      <c r="AP196" s="28" t="str">
        <f t="shared" si="58"/>
        <v>20211</v>
      </c>
      <c r="AQ196" s="28" t="str">
        <f t="shared" si="59"/>
        <v>20211RMB</v>
      </c>
      <c r="AR196" s="206" t="str">
        <f t="shared" si="60"/>
        <v>YAMAHA_Mounter</v>
      </c>
      <c r="AS196" s="22">
        <f t="shared" si="61"/>
        <v>2</v>
      </c>
      <c r="AT196" s="24" t="str">
        <f t="shared" si="62"/>
        <v>0-3 months</v>
      </c>
      <c r="AU196" s="22" t="s">
        <v>3240</v>
      </c>
    </row>
    <row r="197" spans="1:47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52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66"/>
        <v>35073581.838938057</v>
      </c>
      <c r="AJ197" s="19">
        <f t="shared" si="67"/>
        <v>5034113.9728989396</v>
      </c>
      <c r="AK197" s="20">
        <f t="shared" si="57"/>
        <v>0.14353007902118958</v>
      </c>
      <c r="AL197" s="17"/>
      <c r="AM197" s="17"/>
      <c r="AN197" s="17"/>
      <c r="AO197" s="17"/>
      <c r="AP197" s="28" t="str">
        <f t="shared" si="58"/>
        <v>20228</v>
      </c>
      <c r="AQ197" s="28" t="str">
        <f t="shared" si="59"/>
        <v>20228RMB</v>
      </c>
      <c r="AR197" s="206" t="str">
        <f t="shared" si="60"/>
        <v>YAMAHA_Mounter</v>
      </c>
      <c r="AS197" s="22">
        <f t="shared" si="61"/>
        <v>3</v>
      </c>
      <c r="AT197" s="24" t="str">
        <f t="shared" si="62"/>
        <v>0-3 months</v>
      </c>
      <c r="AU197" s="22" t="s">
        <v>3240</v>
      </c>
    </row>
    <row r="198" spans="1:47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si="66"/>
        <v>45803245.025628321</v>
      </c>
      <c r="AJ198" s="19">
        <f t="shared" si="67"/>
        <v>5664636.2584379362</v>
      </c>
      <c r="AK198" s="20">
        <f t="shared" ref="AK198:AK261" si="76">IF(AJ198&gt;0,AJ198/AI198,"")</f>
        <v>0.12367325186825515</v>
      </c>
      <c r="AL198" s="17"/>
      <c r="AM198" s="17"/>
      <c r="AN198" s="17"/>
      <c r="AO198" s="17"/>
      <c r="AP198" s="28" t="str">
        <f t="shared" ref="AP198:AP261" si="77">IF(F198="","",F198&amp;G198)</f>
        <v>20211</v>
      </c>
      <c r="AQ198" s="28" t="str">
        <f t="shared" ref="AQ198:AQ261" si="78">IF(W198="","",F198&amp;G198&amp;W198)</f>
        <v>20211RMB</v>
      </c>
      <c r="AR198" s="206" t="str">
        <f t="shared" ref="AR198:AR261" si="79">IFERROR(IF(AND(M198="YAMAHA", R198="C28"), "YAMAHA_Non_Mounter", IF(AND(M198="YAMAHA", R198="C49"), "YAMAHA_Mounter", M198)),"")</f>
        <v>YAMAHA_Non_Mounter</v>
      </c>
      <c r="AS198" s="22">
        <f t="shared" ref="AS198:AS261" si="80">IFERROR(IF(OR(G198="TBA", G198=""), "", DATEDIF(DATE(B198, C198, 1), DATE(F198, G198, 1), "M")),"")</f>
        <v>2</v>
      </c>
      <c r="AT198" s="24" t="str">
        <f t="shared" ref="AT198:AT261" si="81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71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82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66"/>
        <v>31017966.201968137</v>
      </c>
      <c r="AJ199" s="19">
        <f t="shared" si="67"/>
        <v>4704250.3347305888</v>
      </c>
      <c r="AK199" s="20">
        <f t="shared" si="76"/>
        <v>0.15166211427595458</v>
      </c>
      <c r="AL199" s="17"/>
      <c r="AM199" s="17"/>
      <c r="AN199" s="17"/>
      <c r="AO199" s="17"/>
      <c r="AP199" s="28" t="str">
        <f t="shared" si="77"/>
        <v>202211</v>
      </c>
      <c r="AQ199" s="28" t="str">
        <f t="shared" si="78"/>
        <v>202211RMB</v>
      </c>
      <c r="AR199" s="206" t="str">
        <f t="shared" si="79"/>
        <v>YAMAHA_Non_Mounter</v>
      </c>
      <c r="AS199" s="22">
        <f t="shared" si="80"/>
        <v>2</v>
      </c>
      <c r="AT199" s="24" t="str">
        <f t="shared" si="81"/>
        <v>0-3 months</v>
      </c>
      <c r="AU199" s="22" t="s">
        <v>3240</v>
      </c>
    </row>
    <row r="200" spans="1:47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3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71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82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66"/>
        <v>11730565.00042478</v>
      </c>
      <c r="AJ200" s="19">
        <f t="shared" si="67"/>
        <v>1439625.5685810833</v>
      </c>
      <c r="AK200" s="20">
        <f t="shared" si="76"/>
        <v>0.12272431622253084</v>
      </c>
      <c r="AL200" s="17"/>
      <c r="AM200" s="17"/>
      <c r="AN200" s="17"/>
      <c r="AO200" s="17"/>
      <c r="AP200" s="28" t="str">
        <f t="shared" si="77"/>
        <v>202311</v>
      </c>
      <c r="AQ200" s="28" t="str">
        <f t="shared" si="78"/>
        <v>202311RMB</v>
      </c>
      <c r="AR200" s="206" t="str">
        <f t="shared" si="79"/>
        <v>YAMAHA_Mounter</v>
      </c>
      <c r="AS200" s="22">
        <f t="shared" si="80"/>
        <v>0</v>
      </c>
      <c r="AT200" s="24" t="str">
        <f t="shared" si="81"/>
        <v>0-3 months</v>
      </c>
      <c r="AU200" s="22" t="s">
        <v>3240</v>
      </c>
    </row>
    <row r="201" spans="1:47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3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71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82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66"/>
        <v>23146578.081415929</v>
      </c>
      <c r="AJ201" s="19">
        <f t="shared" si="67"/>
        <v>2745231.3889985834</v>
      </c>
      <c r="AK201" s="20">
        <f t="shared" si="76"/>
        <v>0.11860204041143742</v>
      </c>
      <c r="AL201" s="17"/>
      <c r="AM201" s="17"/>
      <c r="AN201" s="17"/>
      <c r="AO201" s="17"/>
      <c r="AP201" s="28" t="str">
        <f t="shared" si="77"/>
        <v>20241</v>
      </c>
      <c r="AQ201" s="28" t="str">
        <f t="shared" si="78"/>
        <v>20241RMB</v>
      </c>
      <c r="AR201" s="206" t="str">
        <f t="shared" si="79"/>
        <v>YAMAHA_Non_Mounter</v>
      </c>
      <c r="AS201" s="22">
        <f t="shared" si="80"/>
        <v>2</v>
      </c>
      <c r="AT201" s="24" t="str">
        <f t="shared" si="81"/>
        <v>0-3 months</v>
      </c>
      <c r="AU201" s="22" t="s">
        <v>3240</v>
      </c>
    </row>
    <row r="202" spans="1:47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3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71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82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66"/>
        <v>23146578.081415929</v>
      </c>
      <c r="AJ202" s="19">
        <f t="shared" si="67"/>
        <v>2745231.3889985834</v>
      </c>
      <c r="AK202" s="20">
        <f t="shared" si="76"/>
        <v>0.11860204041143742</v>
      </c>
      <c r="AL202" s="17"/>
      <c r="AM202" s="17"/>
      <c r="AN202" s="17"/>
      <c r="AO202" s="17"/>
      <c r="AP202" s="28" t="str">
        <f t="shared" si="77"/>
        <v>20241</v>
      </c>
      <c r="AQ202" s="28" t="str">
        <f t="shared" si="78"/>
        <v>20241RMB</v>
      </c>
      <c r="AR202" s="206" t="str">
        <f t="shared" si="79"/>
        <v>YAMAHA_Non_Mounter</v>
      </c>
      <c r="AS202" s="22">
        <f t="shared" si="80"/>
        <v>2</v>
      </c>
      <c r="AT202" s="24" t="str">
        <f t="shared" si="81"/>
        <v>0-3 months</v>
      </c>
      <c r="AU202" s="22" t="s">
        <v>3240</v>
      </c>
    </row>
    <row r="203" spans="1:47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3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71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82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66"/>
        <v>10271727.486725664</v>
      </c>
      <c r="AJ203" s="27">
        <f t="shared" si="67"/>
        <v>1227228.7260761063</v>
      </c>
      <c r="AK203" s="28">
        <f t="shared" si="76"/>
        <v>0.11947637120066472</v>
      </c>
      <c r="AL203" s="24"/>
      <c r="AM203" s="24"/>
      <c r="AN203" s="24"/>
      <c r="AO203" s="24"/>
      <c r="AP203" s="28" t="str">
        <f t="shared" si="77"/>
        <v>202312</v>
      </c>
      <c r="AQ203" s="28" t="str">
        <f t="shared" si="78"/>
        <v>202312RMB</v>
      </c>
      <c r="AR203" s="206" t="str">
        <f t="shared" si="79"/>
        <v>YAMAHA_Mounter</v>
      </c>
      <c r="AS203" s="22">
        <f t="shared" si="80"/>
        <v>0</v>
      </c>
      <c r="AT203" s="24" t="str">
        <f t="shared" si="81"/>
        <v>0-3 months</v>
      </c>
      <c r="AU203" s="22" t="s">
        <v>3240</v>
      </c>
    </row>
    <row r="204" spans="1:47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3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71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82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66"/>
        <v>10271727.486725664</v>
      </c>
      <c r="AJ204" s="27">
        <f t="shared" si="67"/>
        <v>1227228.7260761063</v>
      </c>
      <c r="AK204" s="28">
        <f t="shared" si="76"/>
        <v>0.11947637120066472</v>
      </c>
      <c r="AL204" s="24"/>
      <c r="AM204" s="24"/>
      <c r="AN204" s="24"/>
      <c r="AO204" s="24"/>
      <c r="AP204" s="28" t="str">
        <f t="shared" si="77"/>
        <v>202312</v>
      </c>
      <c r="AQ204" s="28" t="str">
        <f t="shared" si="78"/>
        <v>202312RMB</v>
      </c>
      <c r="AR204" s="206" t="str">
        <f t="shared" si="79"/>
        <v>YAMAHA_Mounter</v>
      </c>
      <c r="AS204" s="22">
        <f t="shared" si="80"/>
        <v>0</v>
      </c>
      <c r="AT204" s="24" t="str">
        <f t="shared" si="81"/>
        <v>0-3 months</v>
      </c>
      <c r="AU204" s="22" t="s">
        <v>3240</v>
      </c>
    </row>
    <row r="205" spans="1:47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3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71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82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66"/>
        <v>20319282.700884953</v>
      </c>
      <c r="AJ205" s="27">
        <f t="shared" si="67"/>
        <v>2408851.9638623013</v>
      </c>
      <c r="AK205" s="28">
        <f t="shared" si="76"/>
        <v>0.11855004919821259</v>
      </c>
      <c r="AL205" s="24"/>
      <c r="AM205" s="24"/>
      <c r="AN205" s="24"/>
      <c r="AO205" s="24"/>
      <c r="AP205" s="28" t="str">
        <f t="shared" si="77"/>
        <v>20244</v>
      </c>
      <c r="AQ205" s="28" t="str">
        <f t="shared" si="78"/>
        <v>20244RMB</v>
      </c>
      <c r="AR205" s="206" t="str">
        <f t="shared" si="79"/>
        <v>YAMAHA_Mounter</v>
      </c>
      <c r="AS205" s="22">
        <f t="shared" si="80"/>
        <v>1</v>
      </c>
      <c r="AT205" s="24" t="str">
        <f t="shared" si="81"/>
        <v>0-3 months</v>
      </c>
      <c r="AU205" s="22" t="s">
        <v>3750</v>
      </c>
    </row>
    <row r="206" spans="1:47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3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71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82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66"/>
        <v>20319282.700884953</v>
      </c>
      <c r="AJ206" s="27">
        <f t="shared" si="67"/>
        <v>2408851.9638623013</v>
      </c>
      <c r="AK206" s="28">
        <f t="shared" si="76"/>
        <v>0.11855004919821259</v>
      </c>
      <c r="AL206" s="24"/>
      <c r="AM206" s="24"/>
      <c r="AN206" s="24"/>
      <c r="AO206" s="24"/>
      <c r="AP206" s="28" t="str">
        <f t="shared" si="77"/>
        <v>20244</v>
      </c>
      <c r="AQ206" s="28" t="str">
        <f t="shared" si="78"/>
        <v>20244JPY</v>
      </c>
      <c r="AR206" s="206" t="str">
        <f t="shared" si="79"/>
        <v>YAMAHA_Mounter</v>
      </c>
      <c r="AS206" s="22">
        <f t="shared" si="80"/>
        <v>1</v>
      </c>
      <c r="AT206" s="24" t="str">
        <f t="shared" si="81"/>
        <v>0-3 months</v>
      </c>
      <c r="AU206" s="22" t="s">
        <v>3744</v>
      </c>
    </row>
    <row r="207" spans="1:47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71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66"/>
        <v>36480247.665929198</v>
      </c>
      <c r="AJ207" s="19">
        <f t="shared" si="67"/>
        <v>5330996.6372757526</v>
      </c>
      <c r="AK207" s="20">
        <f t="shared" si="76"/>
        <v>0.14613378412599562</v>
      </c>
      <c r="AL207" s="17"/>
      <c r="AM207" s="17"/>
      <c r="AN207" s="17"/>
      <c r="AO207" s="17"/>
      <c r="AP207" s="28" t="str">
        <f t="shared" si="77"/>
        <v>20227</v>
      </c>
      <c r="AQ207" s="28" t="str">
        <f t="shared" si="78"/>
        <v>20227RMB</v>
      </c>
      <c r="AR207" s="206" t="str">
        <f t="shared" si="79"/>
        <v>YAMAHA_Mounter</v>
      </c>
      <c r="AS207" s="22">
        <f t="shared" si="80"/>
        <v>1</v>
      </c>
      <c r="AT207" s="24" t="str">
        <f t="shared" si="81"/>
        <v>0-3 months</v>
      </c>
      <c r="AU207" s="22" t="s">
        <v>3240</v>
      </c>
    </row>
    <row r="208" spans="1:47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71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66"/>
        <v>33477255.428389374</v>
      </c>
      <c r="AJ208" s="19">
        <f t="shared" si="67"/>
        <v>4578663.362915583</v>
      </c>
      <c r="AK208" s="20">
        <f t="shared" si="76"/>
        <v>0.13676937682988152</v>
      </c>
      <c r="AL208" s="17"/>
      <c r="AM208" s="17"/>
      <c r="AN208" s="17"/>
      <c r="AO208" s="17"/>
      <c r="AP208" s="28" t="str">
        <f t="shared" si="77"/>
        <v>20204</v>
      </c>
      <c r="AQ208" s="28" t="str">
        <f t="shared" si="78"/>
        <v>20204RMB</v>
      </c>
      <c r="AR208" s="206" t="str">
        <f t="shared" si="79"/>
        <v>YAMAHA_Mounter</v>
      </c>
      <c r="AS208" s="22">
        <f t="shared" si="80"/>
        <v>5</v>
      </c>
      <c r="AT208" s="24" t="str">
        <f t="shared" si="81"/>
        <v>4-6 months</v>
      </c>
      <c r="AU208" s="22" t="s">
        <v>3240</v>
      </c>
    </row>
    <row r="209" spans="1:47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71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66"/>
        <v>33477255.428389374</v>
      </c>
      <c r="AJ209" s="19">
        <f t="shared" si="67"/>
        <v>4578663.362915583</v>
      </c>
      <c r="AK209" s="20">
        <f t="shared" si="76"/>
        <v>0.13676937682988152</v>
      </c>
      <c r="AL209" s="17"/>
      <c r="AM209" s="17"/>
      <c r="AN209" s="17"/>
      <c r="AO209" s="17"/>
      <c r="AP209" s="28" t="str">
        <f t="shared" si="77"/>
        <v>20204</v>
      </c>
      <c r="AQ209" s="28" t="str">
        <f t="shared" si="78"/>
        <v>20204RMB</v>
      </c>
      <c r="AR209" s="206" t="str">
        <f t="shared" si="79"/>
        <v>YAMAHA_Mounter</v>
      </c>
      <c r="AS209" s="22">
        <f t="shared" si="80"/>
        <v>5</v>
      </c>
      <c r="AT209" s="24" t="str">
        <f t="shared" si="81"/>
        <v>4-6 months</v>
      </c>
      <c r="AU209" s="22" t="s">
        <v>3240</v>
      </c>
    </row>
    <row r="210" spans="1:47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71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66"/>
        <v>29288201.603076916</v>
      </c>
      <c r="AJ210" s="19">
        <f t="shared" si="67"/>
        <v>3870159.1769246152</v>
      </c>
      <c r="AK210" s="20">
        <f t="shared" si="76"/>
        <v>0.13214055370740244</v>
      </c>
      <c r="AL210" s="17"/>
      <c r="AM210" s="17"/>
      <c r="AN210" s="17"/>
      <c r="AO210" s="17"/>
      <c r="AP210" s="28" t="str">
        <f t="shared" si="77"/>
        <v>20184</v>
      </c>
      <c r="AQ210" s="28" t="str">
        <f t="shared" si="78"/>
        <v>20184RMB</v>
      </c>
      <c r="AR210" s="206" t="str">
        <f t="shared" si="79"/>
        <v>YAMAHA_Mounter</v>
      </c>
      <c r="AS210" s="22">
        <f t="shared" si="80"/>
        <v>0</v>
      </c>
      <c r="AT210" s="24" t="str">
        <f t="shared" si="81"/>
        <v>0-3 months</v>
      </c>
      <c r="AU210" s="22" t="s">
        <v>3240</v>
      </c>
    </row>
    <row r="211" spans="1:47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71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66"/>
        <v>44078731.611185849</v>
      </c>
      <c r="AJ211" s="19">
        <f t="shared" si="67"/>
        <v>5508173.2163771465</v>
      </c>
      <c r="AK211" s="20">
        <f t="shared" si="76"/>
        <v>0.12496215328889679</v>
      </c>
      <c r="AL211" s="17"/>
      <c r="AM211" s="17"/>
      <c r="AN211" s="17"/>
      <c r="AO211" s="17"/>
      <c r="AP211" s="28" t="str">
        <f t="shared" si="77"/>
        <v>202011</v>
      </c>
      <c r="AQ211" s="28" t="str">
        <f t="shared" si="78"/>
        <v>202011RMB</v>
      </c>
      <c r="AR211" s="206" t="str">
        <f t="shared" si="79"/>
        <v>YAMAHA_Mounter</v>
      </c>
      <c r="AS211" s="22">
        <f t="shared" si="80"/>
        <v>0</v>
      </c>
      <c r="AT211" s="24" t="str">
        <f t="shared" si="81"/>
        <v>0-3 months</v>
      </c>
      <c r="AU211" s="22" t="s">
        <v>3240</v>
      </c>
    </row>
    <row r="212" spans="1:47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71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66"/>
        <v>45803245.025628321</v>
      </c>
      <c r="AJ212" s="19">
        <f t="shared" si="67"/>
        <v>5664636.2584379362</v>
      </c>
      <c r="AK212" s="20">
        <f t="shared" si="76"/>
        <v>0.12367325186825515</v>
      </c>
      <c r="AL212" s="17"/>
      <c r="AM212" s="17"/>
      <c r="AN212" s="17"/>
      <c r="AO212" s="17"/>
      <c r="AP212" s="28" t="str">
        <f t="shared" si="77"/>
        <v>20211</v>
      </c>
      <c r="AQ212" s="28" t="str">
        <f t="shared" si="78"/>
        <v>20211RMB</v>
      </c>
      <c r="AR212" s="206" t="str">
        <f t="shared" si="79"/>
        <v>YAMAHA_Mounter</v>
      </c>
      <c r="AS212" s="22">
        <f t="shared" si="80"/>
        <v>2</v>
      </c>
      <c r="AT212" s="24" t="str">
        <f t="shared" si="81"/>
        <v>0-3 months</v>
      </c>
      <c r="AU212" s="22" t="s">
        <v>3240</v>
      </c>
    </row>
    <row r="213" spans="1:47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71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66"/>
        <v>45803245.025628321</v>
      </c>
      <c r="AJ213" s="19">
        <f t="shared" si="67"/>
        <v>5664636.2584379362</v>
      </c>
      <c r="AK213" s="20">
        <f t="shared" si="76"/>
        <v>0.12367325186825515</v>
      </c>
      <c r="AL213" s="17"/>
      <c r="AM213" s="17"/>
      <c r="AN213" s="17"/>
      <c r="AO213" s="17"/>
      <c r="AP213" s="28" t="str">
        <f t="shared" si="77"/>
        <v>20211</v>
      </c>
      <c r="AQ213" s="28" t="str">
        <f t="shared" si="78"/>
        <v>20211RMB</v>
      </c>
      <c r="AR213" s="206" t="str">
        <f t="shared" si="79"/>
        <v>YAMAHA_Mounter</v>
      </c>
      <c r="AS213" s="22">
        <f t="shared" si="80"/>
        <v>2</v>
      </c>
      <c r="AT213" s="24" t="str">
        <f t="shared" si="81"/>
        <v>0-3 months</v>
      </c>
      <c r="AU213" s="22" t="s">
        <v>3240</v>
      </c>
    </row>
    <row r="214" spans="1:47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71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66"/>
        <v>31296887.037898075</v>
      </c>
      <c r="AJ214" s="19">
        <f t="shared" si="67"/>
        <v>3588873.9502021763</v>
      </c>
      <c r="AK214" s="20">
        <f t="shared" si="76"/>
        <v>0.11467191436184473</v>
      </c>
      <c r="AL214" s="17"/>
      <c r="AM214" s="17"/>
      <c r="AN214" s="17"/>
      <c r="AO214" s="17"/>
      <c r="AP214" s="28" t="str">
        <f t="shared" si="77"/>
        <v>20196</v>
      </c>
      <c r="AQ214" s="28" t="str">
        <f t="shared" si="78"/>
        <v>20196RMB</v>
      </c>
      <c r="AR214" s="206" t="str">
        <f t="shared" si="79"/>
        <v>YAMAHA_Mounter</v>
      </c>
      <c r="AS214" s="22">
        <f t="shared" si="80"/>
        <v>0</v>
      </c>
      <c r="AT214" s="24" t="str">
        <f t="shared" si="81"/>
        <v>0-3 months</v>
      </c>
      <c r="AU214" s="22" t="s">
        <v>3240</v>
      </c>
    </row>
    <row r="215" spans="1:47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71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66"/>
        <v>31296887.037898075</v>
      </c>
      <c r="AJ215" s="19">
        <f t="shared" si="67"/>
        <v>3588873.9502021763</v>
      </c>
      <c r="AK215" s="20">
        <f t="shared" si="76"/>
        <v>0.11467191436184473</v>
      </c>
      <c r="AL215" s="17"/>
      <c r="AM215" s="17"/>
      <c r="AN215" s="17"/>
      <c r="AO215" s="17"/>
      <c r="AP215" s="28" t="str">
        <f t="shared" si="77"/>
        <v>20196</v>
      </c>
      <c r="AQ215" s="28" t="str">
        <f t="shared" si="78"/>
        <v>20196RMB</v>
      </c>
      <c r="AR215" s="206" t="str">
        <f t="shared" si="79"/>
        <v>YAMAHA_Mounter</v>
      </c>
      <c r="AS215" s="22">
        <f t="shared" si="80"/>
        <v>0</v>
      </c>
      <c r="AT215" s="24" t="str">
        <f t="shared" si="81"/>
        <v>0-3 months</v>
      </c>
      <c r="AU215" s="22" t="s">
        <v>3240</v>
      </c>
    </row>
    <row r="216" spans="1:47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71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66"/>
        <v>5219988.5752212387</v>
      </c>
      <c r="AJ216" s="19">
        <f t="shared" si="67"/>
        <v>631627.0013460177</v>
      </c>
      <c r="AK216" s="20">
        <f t="shared" si="76"/>
        <v>0.12100160608478869</v>
      </c>
      <c r="AL216" s="17"/>
      <c r="AM216" s="17"/>
      <c r="AN216" s="17"/>
      <c r="AO216" s="17"/>
      <c r="AP216" s="28" t="str">
        <f t="shared" si="77"/>
        <v>202310</v>
      </c>
      <c r="AQ216" s="28" t="str">
        <f t="shared" si="78"/>
        <v>202310RMB</v>
      </c>
      <c r="AR216" s="206" t="str">
        <f t="shared" si="79"/>
        <v>SOLDERSTAR</v>
      </c>
      <c r="AS216" s="22">
        <f t="shared" si="80"/>
        <v>1</v>
      </c>
      <c r="AT216" s="24" t="str">
        <f t="shared" si="81"/>
        <v>0-3 months</v>
      </c>
      <c r="AU216" s="22" t="s">
        <v>3750</v>
      </c>
    </row>
    <row r="217" spans="1:47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71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66"/>
        <v>20319282.700884953</v>
      </c>
      <c r="AJ217" s="27">
        <f t="shared" si="67"/>
        <v>2408851.9638623013</v>
      </c>
      <c r="AK217" s="28">
        <f t="shared" si="76"/>
        <v>0.11855004919821259</v>
      </c>
      <c r="AL217" s="24"/>
      <c r="AM217" s="24"/>
      <c r="AN217" s="24"/>
      <c r="AO217" s="24"/>
      <c r="AP217" s="28" t="str">
        <f t="shared" si="77"/>
        <v>20244</v>
      </c>
      <c r="AQ217" s="28" t="str">
        <f t="shared" si="78"/>
        <v>20244JPY</v>
      </c>
      <c r="AR217" s="206" t="str">
        <f t="shared" si="79"/>
        <v>YAMAHA_Mounter</v>
      </c>
      <c r="AS217" s="22">
        <f t="shared" si="80"/>
        <v>1</v>
      </c>
      <c r="AT217" s="24" t="str">
        <f t="shared" si="81"/>
        <v>0-3 months</v>
      </c>
      <c r="AU217" s="22" t="s">
        <v>3744</v>
      </c>
    </row>
    <row r="218" spans="1:47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71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66"/>
        <v>63006605.696460173</v>
      </c>
      <c r="AJ218" s="19">
        <f t="shared" si="67"/>
        <v>8897485.660753984</v>
      </c>
      <c r="AK218" s="20">
        <f t="shared" si="76"/>
        <v>0.141215124388995</v>
      </c>
      <c r="AL218" s="17"/>
      <c r="AM218" s="17"/>
      <c r="AN218" s="17"/>
      <c r="AO218" s="17"/>
      <c r="AP218" s="28" t="str">
        <f t="shared" si="77"/>
        <v>20215</v>
      </c>
      <c r="AQ218" s="28" t="str">
        <f t="shared" si="78"/>
        <v>20215RMB</v>
      </c>
      <c r="AR218" s="206" t="str">
        <f t="shared" si="79"/>
        <v>YAMAHA_Mounter</v>
      </c>
      <c r="AS218" s="22">
        <f t="shared" si="80"/>
        <v>1</v>
      </c>
      <c r="AT218" s="24" t="str">
        <f t="shared" si="81"/>
        <v>0-3 months</v>
      </c>
      <c r="AU218" s="22" t="s">
        <v>3240</v>
      </c>
    </row>
    <row r="219" spans="1:47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71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66"/>
        <v>63006605.696460173</v>
      </c>
      <c r="AJ219" s="19">
        <f t="shared" si="67"/>
        <v>8897485.660753984</v>
      </c>
      <c r="AK219" s="20">
        <f t="shared" si="76"/>
        <v>0.141215124388995</v>
      </c>
      <c r="AL219" s="17"/>
      <c r="AM219" s="17"/>
      <c r="AN219" s="17"/>
      <c r="AO219" s="17"/>
      <c r="AP219" s="28" t="str">
        <f t="shared" si="77"/>
        <v>20215</v>
      </c>
      <c r="AQ219" s="28" t="str">
        <f t="shared" si="78"/>
        <v>20215RMB</v>
      </c>
      <c r="AR219" s="206" t="str">
        <f t="shared" si="79"/>
        <v>YAMAHA_Mounter</v>
      </c>
      <c r="AS219" s="22">
        <f t="shared" si="80"/>
        <v>1</v>
      </c>
      <c r="AT219" s="24" t="str">
        <f t="shared" si="81"/>
        <v>0-3 months</v>
      </c>
      <c r="AU219" s="22" t="s">
        <v>3240</v>
      </c>
    </row>
    <row r="220" spans="1:47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71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66"/>
        <v>35073581.838938057</v>
      </c>
      <c r="AJ220" s="19">
        <f t="shared" si="67"/>
        <v>5034113.9728989396</v>
      </c>
      <c r="AK220" s="20">
        <f t="shared" si="76"/>
        <v>0.14353007902118958</v>
      </c>
      <c r="AL220" s="17"/>
      <c r="AM220" s="17"/>
      <c r="AN220" s="17"/>
      <c r="AO220" s="17"/>
      <c r="AP220" s="28" t="str">
        <f t="shared" si="77"/>
        <v>20228</v>
      </c>
      <c r="AQ220" s="28" t="str">
        <f t="shared" si="78"/>
        <v>20228RMB</v>
      </c>
      <c r="AR220" s="206" t="str">
        <f t="shared" si="79"/>
        <v>YAMAHA_Mounter</v>
      </c>
      <c r="AS220" s="22">
        <f t="shared" si="80"/>
        <v>2</v>
      </c>
      <c r="AT220" s="24" t="str">
        <f t="shared" si="81"/>
        <v>0-3 months</v>
      </c>
      <c r="AU220" s="22" t="s">
        <v>3240</v>
      </c>
    </row>
    <row r="221" spans="1:47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71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66"/>
        <v>10271727.486725664</v>
      </c>
      <c r="AJ221" s="27">
        <f t="shared" si="67"/>
        <v>1227228.7260761063</v>
      </c>
      <c r="AK221" s="28">
        <f t="shared" si="76"/>
        <v>0.11947637120066472</v>
      </c>
      <c r="AL221" s="24"/>
      <c r="AM221" s="24"/>
      <c r="AN221" s="24"/>
      <c r="AO221" s="24"/>
      <c r="AP221" s="28" t="str">
        <f t="shared" si="77"/>
        <v>202312</v>
      </c>
      <c r="AQ221" s="28" t="str">
        <f t="shared" si="78"/>
        <v>202312RMB</v>
      </c>
      <c r="AR221" s="206" t="str">
        <f t="shared" si="79"/>
        <v>YAMAHA_Mounter</v>
      </c>
      <c r="AS221" s="22">
        <f t="shared" si="80"/>
        <v>0</v>
      </c>
      <c r="AT221" s="24" t="str">
        <f t="shared" si="81"/>
        <v>0-3 months</v>
      </c>
      <c r="AU221" s="22" t="s">
        <v>3240</v>
      </c>
    </row>
    <row r="222" spans="1:47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71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66"/>
        <v>21241742.157380536</v>
      </c>
      <c r="AJ222" s="27">
        <f t="shared" si="67"/>
        <v>2987081.1613773629</v>
      </c>
      <c r="AK222" s="28">
        <f t="shared" si="76"/>
        <v>0.14062317201884914</v>
      </c>
      <c r="AL222" s="24"/>
      <c r="AM222" s="24"/>
      <c r="AN222" s="24"/>
      <c r="AO222" s="24"/>
      <c r="AP222" s="28" t="str">
        <f t="shared" si="77"/>
        <v>20243</v>
      </c>
      <c r="AQ222" s="28" t="str">
        <f t="shared" si="78"/>
        <v>20243RMB</v>
      </c>
      <c r="AR222" s="206" t="str">
        <f t="shared" si="79"/>
        <v>YAMAHA_Non_Mounter</v>
      </c>
      <c r="AS222" s="22">
        <f t="shared" si="80"/>
        <v>0</v>
      </c>
      <c r="AT222" s="24" t="str">
        <f t="shared" si="81"/>
        <v>0-3 months</v>
      </c>
      <c r="AU222" s="22" t="s">
        <v>3240</v>
      </c>
    </row>
    <row r="223" spans="1:47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71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66"/>
        <v>20319282.700884953</v>
      </c>
      <c r="AJ223" s="27">
        <f t="shared" si="67"/>
        <v>2408851.9638623013</v>
      </c>
      <c r="AK223" s="28">
        <f t="shared" si="76"/>
        <v>0.11855004919821259</v>
      </c>
      <c r="AL223" s="24"/>
      <c r="AM223" s="24"/>
      <c r="AN223" s="24"/>
      <c r="AO223" s="24"/>
      <c r="AP223" s="28" t="str">
        <f t="shared" si="77"/>
        <v>20244</v>
      </c>
      <c r="AQ223" s="28" t="str">
        <f t="shared" si="78"/>
        <v>20244JPY</v>
      </c>
      <c r="AR223" s="206" t="str">
        <f t="shared" si="79"/>
        <v>YAMAHA_Mounter</v>
      </c>
      <c r="AS223" s="22">
        <f t="shared" si="80"/>
        <v>1</v>
      </c>
      <c r="AT223" s="24" t="str">
        <f t="shared" si="81"/>
        <v>0-3 months</v>
      </c>
      <c r="AU223" s="22" t="s">
        <v>3744</v>
      </c>
    </row>
    <row r="224" spans="1:47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71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66"/>
        <v>21386017.707964607</v>
      </c>
      <c r="AJ224" s="19">
        <f t="shared" si="67"/>
        <v>2238764.3265707968</v>
      </c>
      <c r="AK224" s="20">
        <f t="shared" si="76"/>
        <v>0.10468355339185161</v>
      </c>
      <c r="AL224" s="17"/>
      <c r="AM224" s="17"/>
      <c r="AN224" s="17"/>
      <c r="AO224" s="17"/>
      <c r="AP224" s="28" t="str">
        <f t="shared" si="77"/>
        <v>20198</v>
      </c>
      <c r="AQ224" s="28" t="str">
        <f t="shared" si="78"/>
        <v>20198RMB</v>
      </c>
      <c r="AR224" s="206" t="str">
        <f t="shared" si="79"/>
        <v>YAMAHA_Mounter</v>
      </c>
      <c r="AS224" s="22">
        <f t="shared" si="80"/>
        <v>0</v>
      </c>
      <c r="AT224" s="24" t="str">
        <f t="shared" si="81"/>
        <v>0-3 months</v>
      </c>
      <c r="AU224" s="22" t="s">
        <v>3240</v>
      </c>
    </row>
    <row r="225" spans="1:47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71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66"/>
        <v>22717528.991150443</v>
      </c>
      <c r="AJ225" s="19">
        <f t="shared" si="67"/>
        <v>3947747.192555753</v>
      </c>
      <c r="AK225" s="20">
        <f t="shared" si="76"/>
        <v>0.1737753782153679</v>
      </c>
      <c r="AL225" s="17"/>
      <c r="AM225" s="17"/>
      <c r="AN225" s="17"/>
      <c r="AO225" s="17"/>
      <c r="AP225" s="28" t="str">
        <f t="shared" si="77"/>
        <v>202210</v>
      </c>
      <c r="AQ225" s="28" t="str">
        <f t="shared" si="78"/>
        <v>202210RMB</v>
      </c>
      <c r="AR225" s="206" t="str">
        <f t="shared" si="79"/>
        <v>HELLER</v>
      </c>
      <c r="AS225" s="22">
        <f t="shared" si="80"/>
        <v>5</v>
      </c>
      <c r="AT225" s="24" t="str">
        <f t="shared" si="81"/>
        <v>4-6 months</v>
      </c>
      <c r="AU225" s="22" t="s">
        <v>3240</v>
      </c>
    </row>
    <row r="226" spans="1:47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71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66"/>
        <v>13640480.497522123</v>
      </c>
      <c r="AJ226" s="19">
        <f t="shared" si="67"/>
        <v>1928605.8020906283</v>
      </c>
      <c r="AK226" s="20">
        <f t="shared" si="76"/>
        <v>0.1413884065477731</v>
      </c>
      <c r="AL226" s="17"/>
      <c r="AM226" s="17"/>
      <c r="AN226" s="17"/>
      <c r="AO226" s="17"/>
      <c r="AP226" s="28" t="str">
        <f t="shared" si="77"/>
        <v>20236</v>
      </c>
      <c r="AQ226" s="28" t="str">
        <f t="shared" si="78"/>
        <v>20236RMB</v>
      </c>
      <c r="AR226" s="206" t="str">
        <f t="shared" si="79"/>
        <v>YAMAHA_Mounter</v>
      </c>
      <c r="AS226" s="22">
        <f t="shared" si="80"/>
        <v>2</v>
      </c>
      <c r="AT226" s="24" t="str">
        <f t="shared" si="81"/>
        <v>0-3 months</v>
      </c>
      <c r="AU226" s="22" t="s">
        <v>3240</v>
      </c>
    </row>
    <row r="227" spans="1:47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71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66"/>
        <v>13640480.497522123</v>
      </c>
      <c r="AJ227" s="19">
        <f t="shared" si="67"/>
        <v>1928605.8020906283</v>
      </c>
      <c r="AK227" s="20">
        <f t="shared" si="76"/>
        <v>0.1413884065477731</v>
      </c>
      <c r="AL227" s="17"/>
      <c r="AM227" s="17"/>
      <c r="AN227" s="17"/>
      <c r="AO227" s="17"/>
      <c r="AP227" s="28" t="str">
        <f t="shared" si="77"/>
        <v>20236</v>
      </c>
      <c r="AQ227" s="28" t="str">
        <f t="shared" si="78"/>
        <v>20236RMB</v>
      </c>
      <c r="AR227" s="206" t="str">
        <f t="shared" si="79"/>
        <v>YAMAHA_Mounter</v>
      </c>
      <c r="AS227" s="22">
        <f t="shared" si="80"/>
        <v>2</v>
      </c>
      <c r="AT227" s="24" t="str">
        <f t="shared" si="81"/>
        <v>0-3 months</v>
      </c>
      <c r="AU227" s="22" t="s">
        <v>3240</v>
      </c>
    </row>
    <row r="228" spans="1:47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71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66"/>
        <v>26754147.763010349</v>
      </c>
      <c r="AJ228" s="19">
        <f t="shared" si="67"/>
        <v>3429137.9965357962</v>
      </c>
      <c r="AK228" s="20">
        <f t="shared" si="76"/>
        <v>0.12817220069617921</v>
      </c>
      <c r="AL228" s="17"/>
      <c r="AM228" s="17"/>
      <c r="AN228" s="17"/>
      <c r="AO228" s="17"/>
      <c r="AP228" s="28" t="str">
        <f t="shared" si="77"/>
        <v>20188</v>
      </c>
      <c r="AQ228" s="28" t="str">
        <f t="shared" si="78"/>
        <v>20188RMB</v>
      </c>
      <c r="AR228" s="206" t="str">
        <f t="shared" si="79"/>
        <v>HELLER</v>
      </c>
      <c r="AS228" s="22">
        <f t="shared" si="80"/>
        <v>2</v>
      </c>
      <c r="AT228" s="24" t="str">
        <f t="shared" si="81"/>
        <v>0-3 months</v>
      </c>
      <c r="AU228" s="22" t="s">
        <v>3240</v>
      </c>
    </row>
    <row r="229" spans="1:47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71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66"/>
        <v>15951056.41591504</v>
      </c>
      <c r="AJ229" s="19">
        <f t="shared" si="67"/>
        <v>1966354.6022462982</v>
      </c>
      <c r="AK229" s="20">
        <f t="shared" si="76"/>
        <v>0.12327425538313459</v>
      </c>
      <c r="AL229" s="17"/>
      <c r="AM229" s="17"/>
      <c r="AN229" s="17"/>
      <c r="AO229" s="17"/>
      <c r="AP229" s="28" t="str">
        <f t="shared" si="77"/>
        <v>20237</v>
      </c>
      <c r="AQ229" s="28" t="str">
        <f t="shared" si="78"/>
        <v>20237RMB</v>
      </c>
      <c r="AR229" s="206" t="str">
        <f t="shared" si="79"/>
        <v>SOLDERSTAR</v>
      </c>
      <c r="AS229" s="22">
        <f t="shared" si="80"/>
        <v>2</v>
      </c>
      <c r="AT229" s="24" t="str">
        <f t="shared" si="81"/>
        <v>0-3 months</v>
      </c>
      <c r="AU229" s="22" t="s">
        <v>3240</v>
      </c>
    </row>
    <row r="230" spans="1:47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71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84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66"/>
        <v>57778307.282035396</v>
      </c>
      <c r="AJ230" s="19">
        <f t="shared" si="67"/>
        <v>7259860.7225420559</v>
      </c>
      <c r="AK230" s="20">
        <f t="shared" si="76"/>
        <v>0.12565028406083667</v>
      </c>
      <c r="AL230" s="17"/>
      <c r="AM230" s="17"/>
      <c r="AN230" s="17"/>
      <c r="AO230" s="17"/>
      <c r="AP230" s="28" t="str">
        <f t="shared" si="77"/>
        <v>20213</v>
      </c>
      <c r="AQ230" s="28" t="str">
        <f t="shared" si="78"/>
        <v>20213RMB</v>
      </c>
      <c r="AR230" s="206" t="str">
        <f t="shared" si="79"/>
        <v>YAMAHA_Mounter</v>
      </c>
      <c r="AS230" s="22">
        <f t="shared" si="80"/>
        <v>2</v>
      </c>
      <c r="AT230" s="24" t="str">
        <f t="shared" si="81"/>
        <v>0-3 months</v>
      </c>
      <c r="AU230" s="22" t="s">
        <v>3240</v>
      </c>
    </row>
    <row r="231" spans="1:47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71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84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66"/>
        <v>28177779.013274338</v>
      </c>
      <c r="AJ231" s="19">
        <f t="shared" si="67"/>
        <v>4727216.6376190251</v>
      </c>
      <c r="AK231" s="20">
        <f t="shared" si="76"/>
        <v>0.1677639900359808</v>
      </c>
      <c r="AL231" s="17"/>
      <c r="AM231" s="17"/>
      <c r="AN231" s="17"/>
      <c r="AO231" s="17"/>
      <c r="AP231" s="28" t="str">
        <f t="shared" si="77"/>
        <v>20235</v>
      </c>
      <c r="AQ231" s="28" t="str">
        <f t="shared" si="78"/>
        <v>20235RMB</v>
      </c>
      <c r="AR231" s="206" t="str">
        <f t="shared" si="79"/>
        <v>YAMAHA_Mounter</v>
      </c>
      <c r="AS231" s="22">
        <f t="shared" si="80"/>
        <v>2</v>
      </c>
      <c r="AT231" s="24" t="str">
        <f t="shared" si="81"/>
        <v>0-3 months</v>
      </c>
      <c r="AU231" s="22" t="s">
        <v>3240</v>
      </c>
    </row>
    <row r="232" spans="1:47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71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84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66"/>
        <v>28177779.013274338</v>
      </c>
      <c r="AJ232" s="19">
        <f t="shared" si="67"/>
        <v>4727216.6376190251</v>
      </c>
      <c r="AK232" s="20">
        <f t="shared" si="76"/>
        <v>0.1677639900359808</v>
      </c>
      <c r="AL232" s="17"/>
      <c r="AM232" s="17"/>
      <c r="AN232" s="17"/>
      <c r="AO232" s="17"/>
      <c r="AP232" s="28" t="str">
        <f t="shared" si="77"/>
        <v>20235</v>
      </c>
      <c r="AQ232" s="28" t="str">
        <f t="shared" si="78"/>
        <v>20235RMB</v>
      </c>
      <c r="AR232" s="206" t="str">
        <f t="shared" si="79"/>
        <v>YAMAHA_Mounter</v>
      </c>
      <c r="AS232" s="22">
        <f t="shared" si="80"/>
        <v>2</v>
      </c>
      <c r="AT232" s="24" t="str">
        <f t="shared" si="81"/>
        <v>0-3 months</v>
      </c>
      <c r="AU232" s="22" t="s">
        <v>3240</v>
      </c>
    </row>
    <row r="233" spans="1:47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71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84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66"/>
        <v>28177779.013274338</v>
      </c>
      <c r="AJ233" s="19">
        <f t="shared" si="67"/>
        <v>4727216.6376190251</v>
      </c>
      <c r="AK233" s="20">
        <f t="shared" si="76"/>
        <v>0.1677639900359808</v>
      </c>
      <c r="AL233" s="17"/>
      <c r="AM233" s="17"/>
      <c r="AN233" s="17"/>
      <c r="AO233" s="17"/>
      <c r="AP233" s="28" t="str">
        <f t="shared" si="77"/>
        <v>20235</v>
      </c>
      <c r="AQ233" s="28" t="str">
        <f t="shared" si="78"/>
        <v>20235RMB</v>
      </c>
      <c r="AR233" s="206" t="str">
        <f t="shared" si="79"/>
        <v>YAMAHA_Mounter</v>
      </c>
      <c r="AS233" s="22">
        <f t="shared" si="80"/>
        <v>2</v>
      </c>
      <c r="AT233" s="24" t="str">
        <f t="shared" si="81"/>
        <v>0-3 months</v>
      </c>
      <c r="AU233" s="22" t="s">
        <v>3240</v>
      </c>
    </row>
    <row r="234" spans="1:47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71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84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66"/>
        <v>28177779.013274338</v>
      </c>
      <c r="AJ234" s="19">
        <f t="shared" si="67"/>
        <v>4727216.6376190251</v>
      </c>
      <c r="AK234" s="20">
        <f t="shared" si="76"/>
        <v>0.1677639900359808</v>
      </c>
      <c r="AL234" s="17"/>
      <c r="AM234" s="17"/>
      <c r="AN234" s="17"/>
      <c r="AO234" s="17"/>
      <c r="AP234" s="28" t="str">
        <f t="shared" si="77"/>
        <v>20235</v>
      </c>
      <c r="AQ234" s="28" t="str">
        <f t="shared" si="78"/>
        <v>20235RMB</v>
      </c>
      <c r="AR234" s="206" t="str">
        <f t="shared" si="79"/>
        <v>YAMAHA_Mounter</v>
      </c>
      <c r="AS234" s="22">
        <f t="shared" si="80"/>
        <v>2</v>
      </c>
      <c r="AT234" s="24" t="str">
        <f t="shared" si="81"/>
        <v>0-3 months</v>
      </c>
      <c r="AU234" s="22" t="s">
        <v>3240</v>
      </c>
    </row>
    <row r="235" spans="1:47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71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84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66"/>
        <v>33543315.897345133</v>
      </c>
      <c r="AJ235" s="19">
        <f t="shared" si="67"/>
        <v>4706169.3252984071</v>
      </c>
      <c r="AK235" s="20">
        <f t="shared" si="76"/>
        <v>0.14030125523967318</v>
      </c>
      <c r="AL235" s="17"/>
      <c r="AM235" s="17"/>
      <c r="AN235" s="17"/>
      <c r="AO235" s="17"/>
      <c r="AP235" s="28" t="str">
        <f t="shared" si="77"/>
        <v>20233</v>
      </c>
      <c r="AQ235" s="28" t="str">
        <f t="shared" si="78"/>
        <v>20233RMB</v>
      </c>
      <c r="AR235" s="206" t="str">
        <f t="shared" si="79"/>
        <v>YAMAHA_Mounter</v>
      </c>
      <c r="AS235" s="22">
        <f t="shared" si="80"/>
        <v>3</v>
      </c>
      <c r="AT235" s="24" t="str">
        <f t="shared" si="81"/>
        <v>0-3 months</v>
      </c>
      <c r="AU235" s="22" t="s">
        <v>3240</v>
      </c>
    </row>
    <row r="236" spans="1:47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71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84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66"/>
        <v>33543315.897345133</v>
      </c>
      <c r="AJ236" s="19">
        <f t="shared" si="67"/>
        <v>4706169.3252984071</v>
      </c>
      <c r="AK236" s="20">
        <f t="shared" si="76"/>
        <v>0.14030125523967318</v>
      </c>
      <c r="AL236" s="17"/>
      <c r="AM236" s="17"/>
      <c r="AN236" s="17"/>
      <c r="AO236" s="17"/>
      <c r="AP236" s="28" t="str">
        <f t="shared" si="77"/>
        <v>20233</v>
      </c>
      <c r="AQ236" s="28" t="str">
        <f t="shared" si="78"/>
        <v>20233RMB</v>
      </c>
      <c r="AR236" s="206" t="str">
        <f t="shared" si="79"/>
        <v>YAMAHA_Mounter</v>
      </c>
      <c r="AS236" s="22">
        <f t="shared" si="80"/>
        <v>3</v>
      </c>
      <c r="AT236" s="24" t="str">
        <f t="shared" si="81"/>
        <v>0-3 months</v>
      </c>
      <c r="AU236" s="22" t="s">
        <v>3240</v>
      </c>
    </row>
    <row r="237" spans="1:47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71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84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66"/>
        <v>26407088.359292038</v>
      </c>
      <c r="AJ237" s="19">
        <f t="shared" si="67"/>
        <v>3424510.6998470789</v>
      </c>
      <c r="AK237" s="20">
        <f t="shared" si="76"/>
        <v>0.12968149510667554</v>
      </c>
      <c r="AL237" s="17"/>
      <c r="AM237" s="17"/>
      <c r="AN237" s="17"/>
      <c r="AO237" s="17"/>
      <c r="AP237" s="28" t="str">
        <f t="shared" si="77"/>
        <v>20221</v>
      </c>
      <c r="AQ237" s="28" t="str">
        <f t="shared" si="78"/>
        <v>20221RMB</v>
      </c>
      <c r="AR237" s="206" t="str">
        <f t="shared" si="79"/>
        <v>HELLER</v>
      </c>
      <c r="AS237" s="22">
        <f t="shared" si="80"/>
        <v>2</v>
      </c>
      <c r="AT237" s="24" t="str">
        <f t="shared" si="81"/>
        <v>0-3 months</v>
      </c>
      <c r="AU237" s="22" t="s">
        <v>3240</v>
      </c>
    </row>
    <row r="238" spans="1:47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71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66"/>
        <v>26492741.106427077</v>
      </c>
      <c r="AJ238" s="19">
        <f t="shared" si="67"/>
        <v>3348032.1325698122</v>
      </c>
      <c r="AK238" s="20">
        <f t="shared" si="76"/>
        <v>0.12637545201985867</v>
      </c>
      <c r="AL238" s="17"/>
      <c r="AM238" s="17"/>
      <c r="AN238" s="17"/>
      <c r="AO238" s="17"/>
      <c r="AP238" s="28" t="str">
        <f t="shared" si="77"/>
        <v>20189</v>
      </c>
      <c r="AQ238" s="28" t="str">
        <f t="shared" si="78"/>
        <v>20189JPY</v>
      </c>
      <c r="AR238" s="206" t="str">
        <f t="shared" si="79"/>
        <v>YAMAHA_Mounter</v>
      </c>
      <c r="AS238" s="22">
        <f t="shared" si="80"/>
        <v>5</v>
      </c>
      <c r="AT238" s="24" t="str">
        <f t="shared" si="81"/>
        <v>4-6 months</v>
      </c>
      <c r="AU238" s="22" t="s">
        <v>3744</v>
      </c>
    </row>
    <row r="239" spans="1:47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71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66"/>
        <v>26492741.106427077</v>
      </c>
      <c r="AJ239" s="19">
        <f t="shared" si="67"/>
        <v>3348032.1325698122</v>
      </c>
      <c r="AK239" s="20">
        <f t="shared" si="76"/>
        <v>0.12637545201985867</v>
      </c>
      <c r="AL239" s="17"/>
      <c r="AM239" s="17"/>
      <c r="AN239" s="17"/>
      <c r="AO239" s="17"/>
      <c r="AP239" s="28" t="str">
        <f t="shared" si="77"/>
        <v>20189</v>
      </c>
      <c r="AQ239" s="28" t="str">
        <f t="shared" si="78"/>
        <v>20189JPY</v>
      </c>
      <c r="AR239" s="206" t="str">
        <f t="shared" si="79"/>
        <v>YAMAHA_Mounter</v>
      </c>
      <c r="AS239" s="22">
        <f t="shared" si="80"/>
        <v>5</v>
      </c>
      <c r="AT239" s="24" t="str">
        <f t="shared" si="81"/>
        <v>4-6 months</v>
      </c>
      <c r="AU239" s="22" t="s">
        <v>3744</v>
      </c>
    </row>
    <row r="240" spans="1:47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70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71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66"/>
        <v>499582152.5142017</v>
      </c>
      <c r="AJ240" s="19">
        <f t="shared" si="67"/>
        <v>59520528.679470733</v>
      </c>
      <c r="AK240" s="20">
        <f t="shared" si="76"/>
        <v>0.11914062257814291</v>
      </c>
      <c r="AL240" s="17"/>
      <c r="AM240" s="17"/>
      <c r="AN240" s="17"/>
      <c r="AO240" s="17"/>
      <c r="AP240" s="28" t="str">
        <f t="shared" si="77"/>
        <v>CancelCancel</v>
      </c>
      <c r="AQ240" s="28" t="str">
        <f t="shared" si="78"/>
        <v>CancelCancelJPY</v>
      </c>
      <c r="AR240" s="206" t="str">
        <f t="shared" si="79"/>
        <v>YAMAHA_Mounter</v>
      </c>
      <c r="AS240" s="22" t="str">
        <f t="shared" si="80"/>
        <v/>
      </c>
      <c r="AT240" s="24" t="str">
        <f t="shared" si="81"/>
        <v/>
      </c>
      <c r="AU240" s="22" t="s">
        <v>3744</v>
      </c>
    </row>
    <row r="241" spans="1:47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70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71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66"/>
        <v>499582152.5142017</v>
      </c>
      <c r="AJ241" s="19">
        <f t="shared" si="67"/>
        <v>59520528.679470733</v>
      </c>
      <c r="AK241" s="20">
        <f t="shared" si="76"/>
        <v>0.11914062257814291</v>
      </c>
      <c r="AL241" s="17"/>
      <c r="AM241" s="17"/>
      <c r="AN241" s="17"/>
      <c r="AO241" s="17"/>
      <c r="AP241" s="28" t="str">
        <f t="shared" si="77"/>
        <v>CancelCancel</v>
      </c>
      <c r="AQ241" s="28" t="str">
        <f t="shared" si="78"/>
        <v>CancelCancelJPY</v>
      </c>
      <c r="AR241" s="206" t="str">
        <f t="shared" si="79"/>
        <v>YAMAHA_Mounter</v>
      </c>
      <c r="AS241" s="22" t="str">
        <f t="shared" si="80"/>
        <v/>
      </c>
      <c r="AT241" s="24" t="str">
        <f t="shared" si="81"/>
        <v/>
      </c>
      <c r="AU241" s="22" t="s">
        <v>3744</v>
      </c>
    </row>
    <row r="242" spans="1:47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71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66"/>
        <v>48763143.537654862</v>
      </c>
      <c r="AJ242" s="19">
        <f t="shared" si="67"/>
        <v>5924029.9702154724</v>
      </c>
      <c r="AK242" s="20">
        <f t="shared" si="76"/>
        <v>0.1214858095774925</v>
      </c>
      <c r="AL242" s="17"/>
      <c r="AM242" s="17"/>
      <c r="AN242" s="17"/>
      <c r="AO242" s="17"/>
      <c r="AP242" s="28" t="str">
        <f t="shared" si="77"/>
        <v>202012</v>
      </c>
      <c r="AQ242" s="28" t="str">
        <f t="shared" si="78"/>
        <v>202012RMB</v>
      </c>
      <c r="AR242" s="206" t="str">
        <f t="shared" si="79"/>
        <v>YAMAHA_Mounter</v>
      </c>
      <c r="AS242" s="22">
        <f t="shared" si="80"/>
        <v>2</v>
      </c>
      <c r="AT242" s="24" t="str">
        <f t="shared" si="81"/>
        <v>0-3 months</v>
      </c>
      <c r="AU242" s="22" t="s">
        <v>3743</v>
      </c>
    </row>
    <row r="243" spans="1:47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71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66"/>
        <v>48763143.537654862</v>
      </c>
      <c r="AJ243" s="19">
        <f t="shared" si="67"/>
        <v>5924029.9702154724</v>
      </c>
      <c r="AK243" s="20">
        <f t="shared" si="76"/>
        <v>0.1214858095774925</v>
      </c>
      <c r="AL243" s="17"/>
      <c r="AM243" s="17"/>
      <c r="AN243" s="17"/>
      <c r="AO243" s="17"/>
      <c r="AP243" s="28" t="str">
        <f t="shared" si="77"/>
        <v>202012</v>
      </c>
      <c r="AQ243" s="28" t="str">
        <f t="shared" si="78"/>
        <v>202012RMB</v>
      </c>
      <c r="AR243" s="206" t="str">
        <f t="shared" si="79"/>
        <v>YAMAHA_Mounter</v>
      </c>
      <c r="AS243" s="22">
        <f t="shared" si="80"/>
        <v>2</v>
      </c>
      <c r="AT243" s="24" t="str">
        <f t="shared" si="81"/>
        <v>0-3 months</v>
      </c>
      <c r="AU243" s="22" t="s">
        <v>3743</v>
      </c>
    </row>
    <row r="244" spans="1:47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71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66"/>
        <v>48763143.537654862</v>
      </c>
      <c r="AJ244" s="19">
        <f t="shared" si="67"/>
        <v>5924029.9702154724</v>
      </c>
      <c r="AK244" s="20">
        <f t="shared" si="76"/>
        <v>0.1214858095774925</v>
      </c>
      <c r="AL244" s="17"/>
      <c r="AM244" s="17"/>
      <c r="AN244" s="17"/>
      <c r="AO244" s="17"/>
      <c r="AP244" s="28" t="str">
        <f t="shared" si="77"/>
        <v>202012</v>
      </c>
      <c r="AQ244" s="28" t="str">
        <f t="shared" si="78"/>
        <v>202012RMB</v>
      </c>
      <c r="AR244" s="206" t="str">
        <f t="shared" si="79"/>
        <v>YAMAHA_Mounter</v>
      </c>
      <c r="AS244" s="22">
        <f t="shared" si="80"/>
        <v>2</v>
      </c>
      <c r="AT244" s="24" t="str">
        <f t="shared" si="81"/>
        <v>0-3 months</v>
      </c>
      <c r="AU244" s="22" t="s">
        <v>3743</v>
      </c>
    </row>
    <row r="245" spans="1:47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70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71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66"/>
        <v>499582152.5142017</v>
      </c>
      <c r="AJ245" s="19">
        <f t="shared" si="67"/>
        <v>59520528.679470733</v>
      </c>
      <c r="AK245" s="20">
        <f t="shared" si="76"/>
        <v>0.11914062257814291</v>
      </c>
      <c r="AL245" s="17"/>
      <c r="AM245" s="17"/>
      <c r="AN245" s="17"/>
      <c r="AO245" s="17"/>
      <c r="AP245" s="28" t="str">
        <f t="shared" si="77"/>
        <v>CancelCancel</v>
      </c>
      <c r="AQ245" s="28" t="str">
        <f t="shared" si="78"/>
        <v>CancelCancelRMB</v>
      </c>
      <c r="AR245" s="206" t="str">
        <f t="shared" si="79"/>
        <v>YAMAHA_Mounter</v>
      </c>
      <c r="AS245" s="22" t="str">
        <f t="shared" si="80"/>
        <v/>
      </c>
      <c r="AT245" s="24" t="str">
        <f t="shared" si="81"/>
        <v/>
      </c>
      <c r="AU245" s="22" t="s">
        <v>3743</v>
      </c>
    </row>
    <row r="246" spans="1:47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70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71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66"/>
        <v>499582152.5142017</v>
      </c>
      <c r="AJ246" s="19">
        <f t="shared" si="67"/>
        <v>59520528.679470733</v>
      </c>
      <c r="AK246" s="20">
        <f t="shared" si="76"/>
        <v>0.11914062257814291</v>
      </c>
      <c r="AL246" s="17"/>
      <c r="AM246" s="17"/>
      <c r="AN246" s="17"/>
      <c r="AO246" s="17"/>
      <c r="AP246" s="28" t="str">
        <f t="shared" si="77"/>
        <v>CancelCancel</v>
      </c>
      <c r="AQ246" s="28" t="str">
        <f t="shared" si="78"/>
        <v>CancelCancelRMB</v>
      </c>
      <c r="AR246" s="206" t="str">
        <f t="shared" si="79"/>
        <v>YAMAHA_Mounter</v>
      </c>
      <c r="AS246" s="22" t="str">
        <f t="shared" si="80"/>
        <v/>
      </c>
      <c r="AT246" s="24" t="str">
        <f t="shared" si="81"/>
        <v/>
      </c>
      <c r="AU246" s="22" t="s">
        <v>3743</v>
      </c>
    </row>
    <row r="247" spans="1:47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71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66"/>
        <v>16455710.386637932</v>
      </c>
      <c r="AJ247" s="19">
        <f t="shared" si="67"/>
        <v>2150644.6466930606</v>
      </c>
      <c r="AK247" s="20">
        <f t="shared" si="76"/>
        <v>0.13069290818580451</v>
      </c>
      <c r="AL247" s="17"/>
      <c r="AM247" s="17"/>
      <c r="AN247" s="17"/>
      <c r="AO247" s="17"/>
      <c r="AP247" s="28" t="str">
        <f t="shared" si="77"/>
        <v>20192</v>
      </c>
      <c r="AQ247" s="28" t="str">
        <f t="shared" si="78"/>
        <v>20192JPY</v>
      </c>
      <c r="AR247" s="206" t="str">
        <f t="shared" si="79"/>
        <v>YAMAHA_Mounter</v>
      </c>
      <c r="AS247" s="22">
        <f t="shared" si="80"/>
        <v>8</v>
      </c>
      <c r="AT247" s="24" t="str">
        <f t="shared" si="81"/>
        <v>&gt; 6 months</v>
      </c>
      <c r="AU247" s="22" t="s">
        <v>3744</v>
      </c>
    </row>
    <row r="248" spans="1:47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71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66"/>
        <v>54700260.692079648</v>
      </c>
      <c r="AJ248" s="19">
        <f t="shared" si="67"/>
        <v>7482899.5749188727</v>
      </c>
      <c r="AK248" s="20">
        <f t="shared" si="76"/>
        <v>0.13679824337660537</v>
      </c>
      <c r="AL248" s="17"/>
      <c r="AM248" s="17"/>
      <c r="AN248" s="17"/>
      <c r="AO248" s="17"/>
      <c r="AP248" s="28" t="str">
        <f t="shared" si="77"/>
        <v>20216</v>
      </c>
      <c r="AQ248" s="28" t="str">
        <f t="shared" si="78"/>
        <v>20216JPY</v>
      </c>
      <c r="AR248" s="206" t="str">
        <f t="shared" si="79"/>
        <v>YAMAHA_Mounter</v>
      </c>
      <c r="AS248" s="22">
        <f t="shared" si="80"/>
        <v>2</v>
      </c>
      <c r="AT248" s="24" t="str">
        <f t="shared" si="81"/>
        <v>0-3 months</v>
      </c>
      <c r="AU248" s="22" t="s">
        <v>3744</v>
      </c>
    </row>
    <row r="249" spans="1:47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71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66"/>
        <v>10844605.840707963</v>
      </c>
      <c r="AJ249" s="19">
        <f t="shared" si="67"/>
        <v>1523130.9860707966</v>
      </c>
      <c r="AK249" s="20">
        <f t="shared" si="76"/>
        <v>0.14045056209911663</v>
      </c>
      <c r="AL249" s="17"/>
      <c r="AM249" s="17"/>
      <c r="AN249" s="17"/>
      <c r="AO249" s="17"/>
      <c r="AP249" s="28" t="str">
        <f t="shared" si="77"/>
        <v>20219</v>
      </c>
      <c r="AQ249" s="28" t="str">
        <f t="shared" si="78"/>
        <v>20219RMB</v>
      </c>
      <c r="AR249" s="206" t="str">
        <f t="shared" si="79"/>
        <v>SOLDERSTAR</v>
      </c>
      <c r="AS249" s="22">
        <f t="shared" si="80"/>
        <v>0</v>
      </c>
      <c r="AT249" s="24" t="str">
        <f t="shared" si="81"/>
        <v>0-3 months</v>
      </c>
      <c r="AU249" s="22" t="s">
        <v>3743</v>
      </c>
    </row>
    <row r="250" spans="1:47" s="12" customFormat="1">
      <c r="A250" s="33" t="str">
        <f t="shared" si="68"/>
        <v/>
      </c>
      <c r="B250" s="152" t="s">
        <v>2584</v>
      </c>
      <c r="C250" s="152" t="s">
        <v>2584</v>
      </c>
      <c r="D250" s="33" t="b">
        <f t="shared" si="69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70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71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66"/>
        <v>19242877.433628317</v>
      </c>
      <c r="AJ250" s="19">
        <f t="shared" si="67"/>
        <v>2240020.1770353983</v>
      </c>
      <c r="AK250" s="20">
        <f t="shared" si="76"/>
        <v>0.11640775579232249</v>
      </c>
      <c r="AL250" s="17"/>
      <c r="AM250" s="17"/>
      <c r="AN250" s="17"/>
      <c r="AO250" s="17"/>
      <c r="AP250" s="28" t="str">
        <f t="shared" si="77"/>
        <v>TBATBA</v>
      </c>
      <c r="AQ250" s="28" t="str">
        <f t="shared" si="78"/>
        <v>TBATBARMB</v>
      </c>
      <c r="AR250" s="206" t="str">
        <f t="shared" si="79"/>
        <v>YAMAHA_Mounter</v>
      </c>
      <c r="AS250" s="22" t="str">
        <f t="shared" si="80"/>
        <v/>
      </c>
      <c r="AT250" s="24" t="str">
        <f t="shared" si="81"/>
        <v/>
      </c>
      <c r="AU250" s="22" t="s">
        <v>3240</v>
      </c>
    </row>
    <row r="251" spans="1:47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71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66"/>
        <v>47458373.787610628</v>
      </c>
      <c r="AJ251" s="19">
        <f t="shared" si="67"/>
        <v>7436880.1411522133</v>
      </c>
      <c r="AK251" s="20">
        <f t="shared" si="76"/>
        <v>0.15670322321692506</v>
      </c>
      <c r="AL251" s="17"/>
      <c r="AM251" s="17"/>
      <c r="AN251" s="17"/>
      <c r="AO251" s="17"/>
      <c r="AP251" s="28" t="str">
        <f t="shared" si="77"/>
        <v>20218</v>
      </c>
      <c r="AQ251" s="28" t="str">
        <f t="shared" si="78"/>
        <v>20218RMB</v>
      </c>
      <c r="AR251" s="206" t="str">
        <f t="shared" si="79"/>
        <v>YAMAHA_Mounter</v>
      </c>
      <c r="AS251" s="22">
        <f t="shared" si="80"/>
        <v>3</v>
      </c>
      <c r="AT251" s="24" t="str">
        <f t="shared" si="81"/>
        <v>0-3 months</v>
      </c>
      <c r="AU251" s="22" t="s">
        <v>3240</v>
      </c>
    </row>
    <row r="252" spans="1:47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71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66"/>
        <v>47458373.787610628</v>
      </c>
      <c r="AJ252" s="19">
        <f t="shared" si="67"/>
        <v>7436880.1411522133</v>
      </c>
      <c r="AK252" s="20">
        <f t="shared" si="76"/>
        <v>0.15670322321692506</v>
      </c>
      <c r="AL252" s="17"/>
      <c r="AM252" s="17"/>
      <c r="AN252" s="17"/>
      <c r="AO252" s="17"/>
      <c r="AP252" s="28" t="str">
        <f t="shared" si="77"/>
        <v>20218</v>
      </c>
      <c r="AQ252" s="28" t="str">
        <f t="shared" si="78"/>
        <v>20218RMB</v>
      </c>
      <c r="AR252" s="206" t="str">
        <f t="shared" si="79"/>
        <v>YAMAHA_Mounter</v>
      </c>
      <c r="AS252" s="22">
        <f t="shared" si="80"/>
        <v>3</v>
      </c>
      <c r="AT252" s="24" t="str">
        <f t="shared" si="81"/>
        <v>0-3 months</v>
      </c>
      <c r="AU252" s="22" t="s">
        <v>3240</v>
      </c>
    </row>
    <row r="253" spans="1:47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71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66"/>
        <v>47458373.787610628</v>
      </c>
      <c r="AJ253" s="19">
        <f t="shared" si="67"/>
        <v>7436880.1411522133</v>
      </c>
      <c r="AK253" s="20">
        <f t="shared" si="76"/>
        <v>0.15670322321692506</v>
      </c>
      <c r="AL253" s="17"/>
      <c r="AM253" s="17"/>
      <c r="AN253" s="17"/>
      <c r="AO253" s="17"/>
      <c r="AP253" s="28" t="str">
        <f t="shared" si="77"/>
        <v>20218</v>
      </c>
      <c r="AQ253" s="28" t="str">
        <f t="shared" si="78"/>
        <v>20218RMB</v>
      </c>
      <c r="AR253" s="206" t="str">
        <f t="shared" si="79"/>
        <v>YAMAHA_Mounter</v>
      </c>
      <c r="AS253" s="22">
        <f t="shared" si="80"/>
        <v>3</v>
      </c>
      <c r="AT253" s="24" t="str">
        <f t="shared" si="81"/>
        <v>0-3 months</v>
      </c>
      <c r="AU253" s="22" t="s">
        <v>3240</v>
      </c>
    </row>
    <row r="254" spans="1:47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71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66"/>
        <v>47907808.356810622</v>
      </c>
      <c r="AJ254" s="19">
        <f t="shared" si="67"/>
        <v>6027384.8806384448</v>
      </c>
      <c r="AK254" s="20">
        <f t="shared" si="76"/>
        <v>0.12581216063459488</v>
      </c>
      <c r="AL254" s="17"/>
      <c r="AM254" s="17"/>
      <c r="AN254" s="17"/>
      <c r="AO254" s="17"/>
      <c r="AP254" s="28" t="str">
        <f t="shared" si="77"/>
        <v>20209</v>
      </c>
      <c r="AQ254" s="28" t="str">
        <f t="shared" si="78"/>
        <v>20209RMB</v>
      </c>
      <c r="AR254" s="206" t="str">
        <f t="shared" si="79"/>
        <v>YAMAHA_Mounter</v>
      </c>
      <c r="AS254" s="22">
        <f t="shared" si="80"/>
        <v>1</v>
      </c>
      <c r="AT254" s="24" t="str">
        <f t="shared" si="81"/>
        <v>0-3 months</v>
      </c>
      <c r="AU254" s="22" t="s">
        <v>3240</v>
      </c>
    </row>
    <row r="255" spans="1:47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71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66"/>
        <v>33477255.428389374</v>
      </c>
      <c r="AJ255" s="19">
        <f t="shared" si="67"/>
        <v>4578663.362915583</v>
      </c>
      <c r="AK255" s="20">
        <f t="shared" si="76"/>
        <v>0.13676937682988152</v>
      </c>
      <c r="AL255" s="17"/>
      <c r="AM255" s="17"/>
      <c r="AN255" s="17"/>
      <c r="AO255" s="17"/>
      <c r="AP255" s="28" t="str">
        <f t="shared" si="77"/>
        <v>20204</v>
      </c>
      <c r="AQ255" s="28" t="str">
        <f t="shared" si="78"/>
        <v>20204RMB</v>
      </c>
      <c r="AR255" s="206" t="str">
        <f t="shared" si="79"/>
        <v>YAMAHA_Mounter</v>
      </c>
      <c r="AS255" s="22">
        <f t="shared" si="80"/>
        <v>0</v>
      </c>
      <c r="AT255" s="24" t="str">
        <f t="shared" si="81"/>
        <v>0-3 months</v>
      </c>
      <c r="AU255" s="22" t="s">
        <v>3240</v>
      </c>
    </row>
    <row r="256" spans="1:47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71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66"/>
        <v>33477255.428389374</v>
      </c>
      <c r="AJ256" s="19">
        <f t="shared" si="67"/>
        <v>4578663.362915583</v>
      </c>
      <c r="AK256" s="20">
        <f t="shared" si="76"/>
        <v>0.13676937682988152</v>
      </c>
      <c r="AL256" s="17"/>
      <c r="AM256" s="17"/>
      <c r="AN256" s="17"/>
      <c r="AO256" s="17"/>
      <c r="AP256" s="28" t="str">
        <f t="shared" si="77"/>
        <v>20204</v>
      </c>
      <c r="AQ256" s="28" t="str">
        <f t="shared" si="78"/>
        <v>20204RMB</v>
      </c>
      <c r="AR256" s="206" t="str">
        <f t="shared" si="79"/>
        <v>YAMAHA_Mounter</v>
      </c>
      <c r="AS256" s="22">
        <f t="shared" si="80"/>
        <v>0</v>
      </c>
      <c r="AT256" s="24" t="str">
        <f t="shared" si="81"/>
        <v>0-3 months</v>
      </c>
      <c r="AU256" s="22" t="s">
        <v>3240</v>
      </c>
    </row>
    <row r="257" spans="1:47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71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85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66"/>
        <v>25380121.402654871</v>
      </c>
      <c r="AJ257" s="19">
        <f t="shared" si="67"/>
        <v>3850343.1237796471</v>
      </c>
      <c r="AK257" s="20">
        <f t="shared" si="76"/>
        <v>0.1517070412191521</v>
      </c>
      <c r="AL257" s="17"/>
      <c r="AM257" s="17"/>
      <c r="AN257" s="17"/>
      <c r="AO257" s="17"/>
      <c r="AP257" s="28" t="str">
        <f t="shared" si="77"/>
        <v>202112</v>
      </c>
      <c r="AQ257" s="28" t="str">
        <f t="shared" si="78"/>
        <v>202112RMB</v>
      </c>
      <c r="AR257" s="206" t="str">
        <f t="shared" si="79"/>
        <v>YAMAHA_Non_Mounter</v>
      </c>
      <c r="AS257" s="22">
        <f t="shared" si="80"/>
        <v>6</v>
      </c>
      <c r="AT257" s="24" t="str">
        <f t="shared" si="81"/>
        <v>4-6 months</v>
      </c>
      <c r="AU257" s="22" t="s">
        <v>3750</v>
      </c>
    </row>
    <row r="258" spans="1:47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71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85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ref="AI258:AI321" si="86">IF(P258="C66 SERVICE","",SUMIFS(AB:AB,F:F,F258,G:G,G258,E:E,E258))</f>
        <v>25380121.402654871</v>
      </c>
      <c r="AJ258" s="19">
        <f t="shared" ref="AJ258:AJ321" si="87">IF(P258="C66 SERVICE","",SUMIFS(AC:AC,F:F,F258,G:G,G258,E:E,E258))</f>
        <v>3850343.1237796471</v>
      </c>
      <c r="AK258" s="20">
        <f t="shared" si="76"/>
        <v>0.1517070412191521</v>
      </c>
      <c r="AL258" s="17"/>
      <c r="AM258" s="17"/>
      <c r="AN258" s="17"/>
      <c r="AO258" s="17"/>
      <c r="AP258" s="28" t="str">
        <f t="shared" si="77"/>
        <v>202112</v>
      </c>
      <c r="AQ258" s="28" t="str">
        <f t="shared" si="78"/>
        <v>202112RMB</v>
      </c>
      <c r="AR258" s="206" t="str">
        <f t="shared" si="79"/>
        <v>YAMAHA_Non_Mounter</v>
      </c>
      <c r="AS258" s="22">
        <f t="shared" si="80"/>
        <v>6</v>
      </c>
      <c r="AT258" s="24" t="str">
        <f t="shared" si="81"/>
        <v>4-6 months</v>
      </c>
      <c r="AU258" s="22" t="s">
        <v>3750</v>
      </c>
    </row>
    <row r="259" spans="1:47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71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85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86"/>
        <v>33477255.428389374</v>
      </c>
      <c r="AJ259" s="19">
        <f t="shared" si="87"/>
        <v>4578663.362915583</v>
      </c>
      <c r="AK259" s="20">
        <f t="shared" si="76"/>
        <v>0.13676937682988152</v>
      </c>
      <c r="AL259" s="17"/>
      <c r="AM259" s="17"/>
      <c r="AN259" s="17"/>
      <c r="AO259" s="17"/>
      <c r="AP259" s="28" t="str">
        <f t="shared" si="77"/>
        <v>20204</v>
      </c>
      <c r="AQ259" s="28" t="str">
        <f t="shared" si="78"/>
        <v>20204RMB</v>
      </c>
      <c r="AR259" s="206" t="str">
        <f t="shared" si="79"/>
        <v>HELLER</v>
      </c>
      <c r="AS259" s="22">
        <f t="shared" si="80"/>
        <v>1</v>
      </c>
      <c r="AT259" s="24" t="str">
        <f t="shared" si="81"/>
        <v>0-3 months</v>
      </c>
      <c r="AU259" s="22" t="s">
        <v>3743</v>
      </c>
    </row>
    <row r="260" spans="1:47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71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85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86"/>
        <v>43684091.636631854</v>
      </c>
      <c r="AJ260" s="19">
        <f t="shared" si="87"/>
        <v>6483951.8242071122</v>
      </c>
      <c r="AK260" s="20">
        <f t="shared" si="76"/>
        <v>0.14842821680123736</v>
      </c>
      <c r="AL260" s="17"/>
      <c r="AM260" s="17"/>
      <c r="AN260" s="17"/>
      <c r="AO260" s="17"/>
      <c r="AP260" s="28" t="str">
        <f t="shared" si="77"/>
        <v>20214</v>
      </c>
      <c r="AQ260" s="28" t="str">
        <f t="shared" si="78"/>
        <v>20214RMB</v>
      </c>
      <c r="AR260" s="206" t="str">
        <f t="shared" si="79"/>
        <v>HELLER</v>
      </c>
      <c r="AS260" s="22">
        <f t="shared" si="80"/>
        <v>3</v>
      </c>
      <c r="AT260" s="24" t="str">
        <f t="shared" si="81"/>
        <v>0-3 months</v>
      </c>
      <c r="AU260" s="22" t="s">
        <v>3743</v>
      </c>
    </row>
    <row r="261" spans="1:47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71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85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86"/>
        <v>25380121.402654871</v>
      </c>
      <c r="AJ261" s="19">
        <f t="shared" si="87"/>
        <v>3850343.1237796471</v>
      </c>
      <c r="AK261" s="20">
        <f t="shared" si="76"/>
        <v>0.1517070412191521</v>
      </c>
      <c r="AL261" s="17"/>
      <c r="AM261" s="17"/>
      <c r="AN261" s="17"/>
      <c r="AO261" s="17"/>
      <c r="AP261" s="28" t="str">
        <f t="shared" si="77"/>
        <v>202112</v>
      </c>
      <c r="AQ261" s="28" t="str">
        <f t="shared" si="78"/>
        <v>202112RMB</v>
      </c>
      <c r="AR261" s="206" t="str">
        <f t="shared" si="79"/>
        <v>HELLER</v>
      </c>
      <c r="AS261" s="22">
        <f t="shared" si="80"/>
        <v>1</v>
      </c>
      <c r="AT261" s="24" t="str">
        <f t="shared" si="81"/>
        <v>0-3 months</v>
      </c>
      <c r="AU261" s="22" t="s">
        <v>3743</v>
      </c>
    </row>
    <row r="262" spans="1:47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85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si="86"/>
        <v>25380121.402654871</v>
      </c>
      <c r="AJ262" s="19">
        <f t="shared" si="87"/>
        <v>3850343.1237796471</v>
      </c>
      <c r="AK262" s="20">
        <f t="shared" ref="AK262:AK325" si="96">IF(AJ262&gt;0,AJ262/AI262,"")</f>
        <v>0.1517070412191521</v>
      </c>
      <c r="AL262" s="17"/>
      <c r="AM262" s="17"/>
      <c r="AN262" s="17"/>
      <c r="AO262" s="17"/>
      <c r="AP262" s="28" t="str">
        <f t="shared" ref="AP262:AP325" si="97">IF(F262="","",F262&amp;G262)</f>
        <v>202112</v>
      </c>
      <c r="AQ262" s="28" t="str">
        <f t="shared" ref="AQ262:AQ325" si="98">IF(W262="","",F262&amp;G262&amp;W262)</f>
        <v>202112RMB</v>
      </c>
      <c r="AR262" s="206" t="str">
        <f t="shared" ref="AR262:AR325" si="99">IFERROR(IF(AND(M262="YAMAHA", R262="C28"), "YAMAHA_Non_Mounter", IF(AND(M262="YAMAHA", R262="C49"), "YAMAHA_Mounter", M262)),"")</f>
        <v>HELLER</v>
      </c>
      <c r="AS262" s="22">
        <f t="shared" ref="AS262:AS325" si="100">IFERROR(IF(OR(G262="TBA", G262=""), "", DATEDIF(DATE(B262, C262, 1), DATE(F262, G262, 1), "M")),"")</f>
        <v>1</v>
      </c>
      <c r="AT262" s="24" t="str">
        <f t="shared" ref="AT262:AT325" si="101">IF(ISNUMBER(AS262), IF(AS262&gt;=0, IF(AS262&lt;=3, "0-3 months", IF(AS262&lt;=6, "4-6 months", "&gt; 6 months"))), "")</f>
        <v>0-3 months</v>
      </c>
      <c r="AU262" s="22" t="s">
        <v>3743</v>
      </c>
    </row>
    <row r="263" spans="1:47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9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85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86"/>
        <v>41443303.53761062</v>
      </c>
      <c r="AJ263" s="19">
        <f t="shared" si="87"/>
        <v>6194988.76643031</v>
      </c>
      <c r="AK263" s="20">
        <f t="shared" si="96"/>
        <v>0.1494810557466355</v>
      </c>
      <c r="AL263" s="17"/>
      <c r="AM263" s="17"/>
      <c r="AN263" s="17"/>
      <c r="AO263" s="17"/>
      <c r="AP263" s="28" t="str">
        <f t="shared" si="97"/>
        <v>20217</v>
      </c>
      <c r="AQ263" s="28" t="str">
        <f t="shared" si="98"/>
        <v>20217JPY</v>
      </c>
      <c r="AR263" s="206" t="str">
        <f t="shared" si="99"/>
        <v>YAMAHA_Mounter</v>
      </c>
      <c r="AS263" s="22">
        <f t="shared" si="100"/>
        <v>2</v>
      </c>
      <c r="AT263" s="24" t="str">
        <f t="shared" si="101"/>
        <v>0-3 months</v>
      </c>
      <c r="AU263" s="22" t="s">
        <v>3240</v>
      </c>
    </row>
    <row r="264" spans="1:47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9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85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86"/>
        <v>41443303.53761062</v>
      </c>
      <c r="AJ264" s="19">
        <f t="shared" si="87"/>
        <v>6194988.76643031</v>
      </c>
      <c r="AK264" s="20">
        <f t="shared" si="96"/>
        <v>0.1494810557466355</v>
      </c>
      <c r="AL264" s="17"/>
      <c r="AM264" s="17"/>
      <c r="AN264" s="17"/>
      <c r="AO264" s="17"/>
      <c r="AP264" s="28" t="str">
        <f t="shared" si="97"/>
        <v>20217</v>
      </c>
      <c r="AQ264" s="28" t="str">
        <f t="shared" si="98"/>
        <v>20217JPY</v>
      </c>
      <c r="AR264" s="206" t="str">
        <f t="shared" si="99"/>
        <v>YAMAHA_Mounter</v>
      </c>
      <c r="AS264" s="22">
        <f t="shared" si="100"/>
        <v>2</v>
      </c>
      <c r="AT264" s="24" t="str">
        <f t="shared" si="101"/>
        <v>0-3 months</v>
      </c>
      <c r="AU264" s="22" t="s">
        <v>3240</v>
      </c>
    </row>
    <row r="265" spans="1:47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9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85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86"/>
        <v>41443303.53761062</v>
      </c>
      <c r="AJ265" s="19">
        <f t="shared" si="87"/>
        <v>6194988.76643031</v>
      </c>
      <c r="AK265" s="20">
        <f t="shared" si="96"/>
        <v>0.1494810557466355</v>
      </c>
      <c r="AL265" s="17"/>
      <c r="AM265" s="17"/>
      <c r="AN265" s="17"/>
      <c r="AO265" s="17"/>
      <c r="AP265" s="28" t="str">
        <f t="shared" si="97"/>
        <v>20217</v>
      </c>
      <c r="AQ265" s="28" t="str">
        <f t="shared" si="98"/>
        <v>20217JPY</v>
      </c>
      <c r="AR265" s="206" t="str">
        <f t="shared" si="99"/>
        <v>YAMAHA_Mounter</v>
      </c>
      <c r="AS265" s="22">
        <f t="shared" si="100"/>
        <v>2</v>
      </c>
      <c r="AT265" s="24" t="str">
        <f t="shared" si="101"/>
        <v>0-3 months</v>
      </c>
      <c r="AU265" s="22" t="s">
        <v>3240</v>
      </c>
    </row>
    <row r="266" spans="1:47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9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85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86"/>
        <v>44014086.982070789</v>
      </c>
      <c r="AJ266" s="19">
        <f t="shared" si="87"/>
        <v>6419974.0221889298</v>
      </c>
      <c r="AK266" s="20">
        <f t="shared" si="96"/>
        <v>0.14586180158193709</v>
      </c>
      <c r="AL266" s="17"/>
      <c r="AM266" s="17"/>
      <c r="AN266" s="17"/>
      <c r="AO266" s="17"/>
      <c r="AP266" s="28" t="str">
        <f t="shared" si="97"/>
        <v>20225</v>
      </c>
      <c r="AQ266" s="28" t="str">
        <f t="shared" si="98"/>
        <v>20225JPY</v>
      </c>
      <c r="AR266" s="206" t="str">
        <f t="shared" si="99"/>
        <v>YAMAHA_Mounter</v>
      </c>
      <c r="AS266" s="22">
        <f t="shared" si="100"/>
        <v>12</v>
      </c>
      <c r="AT266" s="24" t="str">
        <f t="shared" si="101"/>
        <v>&gt; 6 months</v>
      </c>
      <c r="AU266" s="22" t="s">
        <v>3745</v>
      </c>
    </row>
    <row r="267" spans="1:47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9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85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86"/>
        <v>44014086.982070789</v>
      </c>
      <c r="AJ267" s="19">
        <f t="shared" si="87"/>
        <v>6419974.0221889298</v>
      </c>
      <c r="AK267" s="20">
        <f t="shared" si="96"/>
        <v>0.14586180158193709</v>
      </c>
      <c r="AL267" s="17"/>
      <c r="AM267" s="17"/>
      <c r="AN267" s="17"/>
      <c r="AO267" s="17"/>
      <c r="AP267" s="28" t="str">
        <f t="shared" si="97"/>
        <v>20225</v>
      </c>
      <c r="AQ267" s="28" t="str">
        <f t="shared" si="98"/>
        <v>20225JPY</v>
      </c>
      <c r="AR267" s="206" t="str">
        <f t="shared" si="99"/>
        <v>YAMAHA_Mounter</v>
      </c>
      <c r="AS267" s="22">
        <f t="shared" si="100"/>
        <v>12</v>
      </c>
      <c r="AT267" s="24" t="str">
        <f t="shared" si="101"/>
        <v>&gt; 6 months</v>
      </c>
      <c r="AU267" s="22" t="s">
        <v>3745</v>
      </c>
    </row>
    <row r="268" spans="1:47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9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85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86"/>
        <v>48763143.537654862</v>
      </c>
      <c r="AJ268" s="19">
        <f t="shared" si="87"/>
        <v>5924029.9702154724</v>
      </c>
      <c r="AK268" s="20">
        <f t="shared" si="96"/>
        <v>0.1214858095774925</v>
      </c>
      <c r="AL268" s="17"/>
      <c r="AM268" s="17"/>
      <c r="AN268" s="17"/>
      <c r="AO268" s="17"/>
      <c r="AP268" s="28" t="str">
        <f t="shared" si="97"/>
        <v>202012</v>
      </c>
      <c r="AQ268" s="28" t="str">
        <f t="shared" si="98"/>
        <v>202012RMB</v>
      </c>
      <c r="AR268" s="206" t="str">
        <f t="shared" si="99"/>
        <v>YAMAHA_Mounter</v>
      </c>
      <c r="AS268" s="22">
        <f t="shared" si="100"/>
        <v>2</v>
      </c>
      <c r="AT268" s="24" t="str">
        <f t="shared" si="101"/>
        <v>0-3 months</v>
      </c>
      <c r="AU268" s="22" t="s">
        <v>3743</v>
      </c>
    </row>
    <row r="269" spans="1:47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9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85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86"/>
        <v>48763143.537654862</v>
      </c>
      <c r="AJ269" s="19">
        <f t="shared" si="87"/>
        <v>5924029.9702154724</v>
      </c>
      <c r="AK269" s="20">
        <f t="shared" si="96"/>
        <v>0.1214858095774925</v>
      </c>
      <c r="AL269" s="17"/>
      <c r="AM269" s="17"/>
      <c r="AN269" s="17"/>
      <c r="AO269" s="17"/>
      <c r="AP269" s="28" t="str">
        <f t="shared" si="97"/>
        <v>202012</v>
      </c>
      <c r="AQ269" s="28" t="str">
        <f t="shared" si="98"/>
        <v>202012RMB</v>
      </c>
      <c r="AR269" s="206" t="str">
        <f t="shared" si="99"/>
        <v>YAMAHA_Mounter</v>
      </c>
      <c r="AS269" s="22">
        <f t="shared" si="100"/>
        <v>2</v>
      </c>
      <c r="AT269" s="24" t="str">
        <f t="shared" si="101"/>
        <v>0-3 months</v>
      </c>
      <c r="AU269" s="22" t="s">
        <v>3743</v>
      </c>
    </row>
    <row r="270" spans="1:47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9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86"/>
        <v>20319282.700884953</v>
      </c>
      <c r="AJ270" s="27">
        <f t="shared" si="87"/>
        <v>2408851.9638623013</v>
      </c>
      <c r="AK270" s="28">
        <f t="shared" si="96"/>
        <v>0.11855004919821259</v>
      </c>
      <c r="AL270" s="24"/>
      <c r="AM270" s="24"/>
      <c r="AN270" s="24"/>
      <c r="AO270" s="24"/>
      <c r="AP270" s="28" t="str">
        <f t="shared" si="97"/>
        <v>20244</v>
      </c>
      <c r="AQ270" s="28" t="str">
        <f t="shared" si="98"/>
        <v>20244JPY</v>
      </c>
      <c r="AR270" s="206" t="str">
        <f t="shared" si="99"/>
        <v>YAMAHA_Mounter</v>
      </c>
      <c r="AS270" s="22">
        <f t="shared" si="100"/>
        <v>1</v>
      </c>
      <c r="AT270" s="24" t="str">
        <f t="shared" si="101"/>
        <v>0-3 months</v>
      </c>
      <c r="AU270" s="22" t="s">
        <v>3744</v>
      </c>
    </row>
    <row r="271" spans="1:47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9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86"/>
        <v>20319282.700884953</v>
      </c>
      <c r="AJ271" s="27">
        <f t="shared" si="87"/>
        <v>2408851.9638623013</v>
      </c>
      <c r="AK271" s="28">
        <f t="shared" si="96"/>
        <v>0.11855004919821259</v>
      </c>
      <c r="AL271" s="24"/>
      <c r="AM271" s="24"/>
      <c r="AN271" s="24"/>
      <c r="AO271" s="24"/>
      <c r="AP271" s="28" t="str">
        <f t="shared" si="97"/>
        <v>20244</v>
      </c>
      <c r="AQ271" s="28" t="str">
        <f t="shared" si="98"/>
        <v>20244RMB</v>
      </c>
      <c r="AR271" s="206" t="str">
        <f t="shared" si="99"/>
        <v>YAMAHA_Mounter</v>
      </c>
      <c r="AS271" s="22">
        <f t="shared" si="100"/>
        <v>2</v>
      </c>
      <c r="AT271" s="24" t="str">
        <f t="shared" si="101"/>
        <v>0-3 months</v>
      </c>
      <c r="AU271" s="22" t="s">
        <v>3240</v>
      </c>
    </row>
    <row r="272" spans="1:47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9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86"/>
        <v>34015877.71150443</v>
      </c>
      <c r="AJ272" s="19">
        <f t="shared" si="87"/>
        <v>4446292.375441948</v>
      </c>
      <c r="AK272" s="20">
        <f t="shared" si="96"/>
        <v>0.13071226364205143</v>
      </c>
      <c r="AL272" s="17"/>
      <c r="AM272" s="17"/>
      <c r="AN272" s="17"/>
      <c r="AO272" s="17"/>
      <c r="AP272" s="28" t="str">
        <f t="shared" si="97"/>
        <v>20197</v>
      </c>
      <c r="AQ272" s="28" t="str">
        <f t="shared" si="98"/>
        <v>20197RMB</v>
      </c>
      <c r="AR272" s="206" t="str">
        <f t="shared" si="99"/>
        <v>YAMAHA_Mounter</v>
      </c>
      <c r="AS272" s="22">
        <f t="shared" si="100"/>
        <v>2</v>
      </c>
      <c r="AT272" s="24" t="str">
        <f t="shared" si="101"/>
        <v>0-3 months</v>
      </c>
      <c r="AU272" s="22" t="s">
        <v>3240</v>
      </c>
    </row>
    <row r="273" spans="1:47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9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86"/>
        <v>47907808.356810622</v>
      </c>
      <c r="AJ273" s="19">
        <f t="shared" si="87"/>
        <v>6027384.8806384448</v>
      </c>
      <c r="AK273" s="20">
        <f t="shared" si="96"/>
        <v>0.12581216063459488</v>
      </c>
      <c r="AL273" s="17"/>
      <c r="AM273" s="17"/>
      <c r="AN273" s="17"/>
      <c r="AO273" s="17"/>
      <c r="AP273" s="28" t="str">
        <f t="shared" si="97"/>
        <v>20209</v>
      </c>
      <c r="AQ273" s="28" t="str">
        <f t="shared" si="98"/>
        <v>20209RMB</v>
      </c>
      <c r="AR273" s="206" t="str">
        <f t="shared" si="99"/>
        <v>YAMAHA_Mounter</v>
      </c>
      <c r="AS273" s="22">
        <f t="shared" si="100"/>
        <v>1</v>
      </c>
      <c r="AT273" s="24" t="str">
        <f t="shared" si="101"/>
        <v>0-3 months</v>
      </c>
      <c r="AU273" s="22" t="s">
        <v>3240</v>
      </c>
    </row>
    <row r="274" spans="1:47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9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86"/>
        <v>29946107.503386207</v>
      </c>
      <c r="AJ274" s="19">
        <f t="shared" si="87"/>
        <v>3987206.4954923098</v>
      </c>
      <c r="AK274" s="20">
        <f t="shared" si="96"/>
        <v>0.13314606898547499</v>
      </c>
      <c r="AL274" s="17"/>
      <c r="AM274" s="17"/>
      <c r="AN274" s="17"/>
      <c r="AO274" s="17"/>
      <c r="AP274" s="28" t="str">
        <f t="shared" si="97"/>
        <v>20187</v>
      </c>
      <c r="AQ274" s="28" t="str">
        <f t="shared" si="98"/>
        <v>20187JPY</v>
      </c>
      <c r="AR274" s="206" t="str">
        <f t="shared" si="99"/>
        <v>YAMAHA_Mounter</v>
      </c>
      <c r="AS274" s="22">
        <f t="shared" si="100"/>
        <v>1</v>
      </c>
      <c r="AT274" s="24" t="str">
        <f t="shared" si="101"/>
        <v>0-3 months</v>
      </c>
      <c r="AU274" s="22" t="s">
        <v>3744</v>
      </c>
    </row>
    <row r="275" spans="1:47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9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86"/>
        <v>13640480.497522123</v>
      </c>
      <c r="AJ275" s="19">
        <f t="shared" si="87"/>
        <v>1928605.8020906283</v>
      </c>
      <c r="AK275" s="20">
        <f t="shared" si="96"/>
        <v>0.1413884065477731</v>
      </c>
      <c r="AL275" s="17"/>
      <c r="AM275" s="17"/>
      <c r="AN275" s="17"/>
      <c r="AO275" s="17"/>
      <c r="AP275" s="28" t="str">
        <f t="shared" si="97"/>
        <v>20236</v>
      </c>
      <c r="AQ275" s="28" t="str">
        <f t="shared" si="98"/>
        <v>20236RMB</v>
      </c>
      <c r="AR275" s="206" t="str">
        <f t="shared" si="99"/>
        <v>YAMAHA_Mounter</v>
      </c>
      <c r="AS275" s="22">
        <f t="shared" si="100"/>
        <v>1</v>
      </c>
      <c r="AT275" s="24" t="str">
        <f t="shared" si="101"/>
        <v>0-3 months</v>
      </c>
      <c r="AU275" s="22" t="s">
        <v>3240</v>
      </c>
    </row>
    <row r="276" spans="1:47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9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86"/>
        <v>13640480.497522123</v>
      </c>
      <c r="AJ276" s="19">
        <f t="shared" si="87"/>
        <v>1928605.8020906283</v>
      </c>
      <c r="AK276" s="20">
        <f t="shared" si="96"/>
        <v>0.1413884065477731</v>
      </c>
      <c r="AL276" s="17"/>
      <c r="AM276" s="17"/>
      <c r="AN276" s="17"/>
      <c r="AO276" s="17"/>
      <c r="AP276" s="28" t="str">
        <f t="shared" si="97"/>
        <v>20236</v>
      </c>
      <c r="AQ276" s="28" t="str">
        <f t="shared" si="98"/>
        <v>20236RMB</v>
      </c>
      <c r="AR276" s="206" t="str">
        <f t="shared" si="99"/>
        <v>YAMAHA_Mounter</v>
      </c>
      <c r="AS276" s="22">
        <f t="shared" si="100"/>
        <v>1</v>
      </c>
      <c r="AT276" s="24" t="str">
        <f t="shared" si="101"/>
        <v>0-3 months</v>
      </c>
      <c r="AU276" s="22" t="s">
        <v>3240</v>
      </c>
    </row>
    <row r="277" spans="1:47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9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86"/>
        <v>26078226.463097349</v>
      </c>
      <c r="AJ277" s="19">
        <f t="shared" si="87"/>
        <v>3137870.4427774516</v>
      </c>
      <c r="AK277" s="20">
        <f t="shared" si="96"/>
        <v>0.12032530077218917</v>
      </c>
      <c r="AL277" s="17"/>
      <c r="AM277" s="17"/>
      <c r="AN277" s="17"/>
      <c r="AO277" s="17"/>
      <c r="AP277" s="28" t="str">
        <f t="shared" si="97"/>
        <v>20239</v>
      </c>
      <c r="AQ277" s="28" t="str">
        <f t="shared" si="98"/>
        <v>20239RMB</v>
      </c>
      <c r="AR277" s="206" t="str">
        <f t="shared" si="99"/>
        <v>YAMAHA_Mounter</v>
      </c>
      <c r="AS277" s="22">
        <f t="shared" si="100"/>
        <v>0</v>
      </c>
      <c r="AT277" s="24" t="str">
        <f t="shared" si="101"/>
        <v>0-3 months</v>
      </c>
      <c r="AU277" s="22" t="s">
        <v>3240</v>
      </c>
    </row>
    <row r="278" spans="1:47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9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86"/>
        <v>35384300.169380538</v>
      </c>
      <c r="AJ278" s="19">
        <f t="shared" si="87"/>
        <v>5044538.8896988509</v>
      </c>
      <c r="AK278" s="20">
        <f t="shared" si="96"/>
        <v>0.14256432557804533</v>
      </c>
      <c r="AL278" s="17"/>
      <c r="AM278" s="17"/>
      <c r="AN278" s="17"/>
      <c r="AO278" s="17"/>
      <c r="AP278" s="28" t="str">
        <f t="shared" si="97"/>
        <v>20207</v>
      </c>
      <c r="AQ278" s="28" t="str">
        <f t="shared" si="98"/>
        <v>20207RMB</v>
      </c>
      <c r="AR278" s="206" t="str">
        <f t="shared" si="99"/>
        <v>HELLER</v>
      </c>
      <c r="AS278" s="22">
        <f t="shared" si="100"/>
        <v>2</v>
      </c>
      <c r="AT278" s="24" t="str">
        <f t="shared" si="101"/>
        <v>0-3 months</v>
      </c>
      <c r="AU278" s="22" t="s">
        <v>3240</v>
      </c>
    </row>
    <row r="279" spans="1:47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9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86"/>
        <v>29840797.698275864</v>
      </c>
      <c r="AJ279" s="19">
        <f t="shared" si="87"/>
        <v>3940167.6555448272</v>
      </c>
      <c r="AK279" s="20">
        <f t="shared" si="96"/>
        <v>0.13203962224416277</v>
      </c>
      <c r="AL279" s="17"/>
      <c r="AM279" s="17"/>
      <c r="AN279" s="17"/>
      <c r="AO279" s="17"/>
      <c r="AP279" s="28" t="str">
        <f t="shared" si="97"/>
        <v>201812</v>
      </c>
      <c r="AQ279" s="28" t="str">
        <f t="shared" si="98"/>
        <v>201812RMB</v>
      </c>
      <c r="AR279" s="206" t="str">
        <f t="shared" si="99"/>
        <v>YAMAHA_Mounter</v>
      </c>
      <c r="AS279" s="22">
        <f t="shared" si="100"/>
        <v>4</v>
      </c>
      <c r="AT279" s="24" t="str">
        <f t="shared" si="101"/>
        <v>4-6 months</v>
      </c>
      <c r="AU279" s="22" t="s">
        <v>3240</v>
      </c>
    </row>
    <row r="280" spans="1:47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9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86"/>
        <v>47416008.333399981</v>
      </c>
      <c r="AJ280" s="19">
        <f t="shared" si="87"/>
        <v>6981738.4465290187</v>
      </c>
      <c r="AK280" s="20">
        <f t="shared" si="96"/>
        <v>0.14724433143839863</v>
      </c>
      <c r="AL280" s="17"/>
      <c r="AM280" s="17"/>
      <c r="AN280" s="17"/>
      <c r="AO280" s="17"/>
      <c r="AP280" s="28" t="str">
        <f t="shared" si="97"/>
        <v>20193</v>
      </c>
      <c r="AQ280" s="28" t="str">
        <f t="shared" si="98"/>
        <v>20193RMB</v>
      </c>
      <c r="AR280" s="206" t="str">
        <f t="shared" si="99"/>
        <v>LOCAL SUPPLIER</v>
      </c>
      <c r="AS280" s="22">
        <f t="shared" si="100"/>
        <v>0</v>
      </c>
      <c r="AT280" s="24" t="str">
        <f t="shared" si="101"/>
        <v>0-3 months</v>
      </c>
      <c r="AU280" s="22" t="s">
        <v>3240</v>
      </c>
    </row>
    <row r="281" spans="1:47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9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86"/>
        <v>47416008.333399981</v>
      </c>
      <c r="AJ281" s="19">
        <f t="shared" si="87"/>
        <v>6981738.4465290187</v>
      </c>
      <c r="AK281" s="20">
        <f t="shared" si="96"/>
        <v>0.14724433143839863</v>
      </c>
      <c r="AL281" s="17"/>
      <c r="AM281" s="17"/>
      <c r="AN281" s="17"/>
      <c r="AO281" s="17"/>
      <c r="AP281" s="28" t="str">
        <f t="shared" si="97"/>
        <v>20193</v>
      </c>
      <c r="AQ281" s="28" t="str">
        <f t="shared" si="98"/>
        <v>20193RMB</v>
      </c>
      <c r="AR281" s="206" t="str">
        <f t="shared" si="99"/>
        <v>LOCAL SUPPLIER</v>
      </c>
      <c r="AS281" s="22">
        <f t="shared" si="100"/>
        <v>0</v>
      </c>
      <c r="AT281" s="24" t="str">
        <f t="shared" si="101"/>
        <v>0-3 months</v>
      </c>
      <c r="AU281" s="22" t="s">
        <v>3240</v>
      </c>
    </row>
    <row r="282" spans="1:47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9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9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86"/>
        <v>499582152.5142017</v>
      </c>
      <c r="AJ282" s="19">
        <f t="shared" si="87"/>
        <v>59520528.679470733</v>
      </c>
      <c r="AK282" s="20">
        <f t="shared" si="96"/>
        <v>0.11914062257814291</v>
      </c>
      <c r="AL282" s="17"/>
      <c r="AM282" s="17"/>
      <c r="AN282" s="17"/>
      <c r="AO282" s="17"/>
      <c r="AP282" s="28" t="str">
        <f t="shared" si="97"/>
        <v>CancelCANCEL</v>
      </c>
      <c r="AQ282" s="28" t="str">
        <f t="shared" si="98"/>
        <v>CancelCANCELRMB</v>
      </c>
      <c r="AR282" s="206" t="str">
        <f t="shared" si="99"/>
        <v>YAMAHA_Mounter</v>
      </c>
      <c r="AS282" s="22" t="str">
        <f t="shared" si="100"/>
        <v/>
      </c>
      <c r="AT282" s="24" t="str">
        <f t="shared" si="101"/>
        <v/>
      </c>
      <c r="AU282" s="22" t="s">
        <v>3240</v>
      </c>
    </row>
    <row r="283" spans="1:47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9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9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86"/>
        <v>499582152.5142017</v>
      </c>
      <c r="AJ283" s="19">
        <f t="shared" si="87"/>
        <v>59520528.679470733</v>
      </c>
      <c r="AK283" s="20">
        <f t="shared" si="96"/>
        <v>0.11914062257814291</v>
      </c>
      <c r="AL283" s="17"/>
      <c r="AM283" s="17"/>
      <c r="AN283" s="17"/>
      <c r="AO283" s="17"/>
      <c r="AP283" s="28" t="str">
        <f t="shared" si="97"/>
        <v>CancelCANCEL</v>
      </c>
      <c r="AQ283" s="28" t="str">
        <f t="shared" si="98"/>
        <v>CancelCANCELRMB</v>
      </c>
      <c r="AR283" s="206" t="str">
        <f t="shared" si="99"/>
        <v>YAMAHA_Mounter</v>
      </c>
      <c r="AS283" s="22" t="str">
        <f t="shared" si="100"/>
        <v/>
      </c>
      <c r="AT283" s="24" t="str">
        <f t="shared" si="101"/>
        <v/>
      </c>
      <c r="AU283" s="22" t="s">
        <v>3240</v>
      </c>
    </row>
    <row r="284" spans="1:47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9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86"/>
        <v>54700260.692079648</v>
      </c>
      <c r="AJ284" s="19">
        <f t="shared" si="87"/>
        <v>7482899.5749188727</v>
      </c>
      <c r="AK284" s="20">
        <f t="shared" si="96"/>
        <v>0.13679824337660537</v>
      </c>
      <c r="AL284" s="17"/>
      <c r="AM284" s="17"/>
      <c r="AN284" s="17"/>
      <c r="AO284" s="17"/>
      <c r="AP284" s="28" t="str">
        <f t="shared" si="97"/>
        <v>20216</v>
      </c>
      <c r="AQ284" s="28" t="str">
        <f t="shared" si="98"/>
        <v>20216RMB</v>
      </c>
      <c r="AR284" s="206" t="str">
        <f t="shared" si="99"/>
        <v>YAMAHA_Mounter</v>
      </c>
      <c r="AS284" s="22">
        <f t="shared" si="100"/>
        <v>2</v>
      </c>
      <c r="AT284" s="24" t="str">
        <f t="shared" si="101"/>
        <v>0-3 months</v>
      </c>
      <c r="AU284" s="22" t="s">
        <v>3240</v>
      </c>
    </row>
    <row r="285" spans="1:47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9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86"/>
        <v>54700260.692079648</v>
      </c>
      <c r="AJ285" s="19">
        <f t="shared" si="87"/>
        <v>7482899.5749188727</v>
      </c>
      <c r="AK285" s="20">
        <f t="shared" si="96"/>
        <v>0.13679824337660537</v>
      </c>
      <c r="AL285" s="17"/>
      <c r="AM285" s="17"/>
      <c r="AN285" s="17"/>
      <c r="AO285" s="17"/>
      <c r="AP285" s="28" t="str">
        <f t="shared" si="97"/>
        <v>20216</v>
      </c>
      <c r="AQ285" s="28" t="str">
        <f t="shared" si="98"/>
        <v>20216RMB</v>
      </c>
      <c r="AR285" s="206" t="str">
        <f t="shared" si="99"/>
        <v>YAMAHA_Mounter</v>
      </c>
      <c r="AS285" s="22">
        <f t="shared" si="100"/>
        <v>2</v>
      </c>
      <c r="AT285" s="24" t="str">
        <f t="shared" si="101"/>
        <v>0-3 months</v>
      </c>
      <c r="AU285" s="22" t="s">
        <v>3240</v>
      </c>
    </row>
    <row r="286" spans="1:47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9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86"/>
        <v>33477255.428389374</v>
      </c>
      <c r="AJ286" s="19">
        <f t="shared" si="87"/>
        <v>4578663.362915583</v>
      </c>
      <c r="AK286" s="20">
        <f t="shared" si="96"/>
        <v>0.13676937682988152</v>
      </c>
      <c r="AL286" s="17"/>
      <c r="AM286" s="17"/>
      <c r="AN286" s="17"/>
      <c r="AO286" s="17"/>
      <c r="AP286" s="28" t="str">
        <f t="shared" si="97"/>
        <v>20204</v>
      </c>
      <c r="AQ286" s="28" t="str">
        <f t="shared" si="98"/>
        <v>20204JPY</v>
      </c>
      <c r="AR286" s="206" t="str">
        <f t="shared" si="99"/>
        <v>YAMAHA_Mounter</v>
      </c>
      <c r="AS286" s="22">
        <f t="shared" si="100"/>
        <v>0</v>
      </c>
      <c r="AT286" s="24" t="str">
        <f t="shared" si="101"/>
        <v>0-3 months</v>
      </c>
      <c r="AU286" s="22" t="s">
        <v>3744</v>
      </c>
    </row>
    <row r="287" spans="1:47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9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86"/>
        <v>33477255.428389374</v>
      </c>
      <c r="AJ287" s="19">
        <f t="shared" si="87"/>
        <v>4578663.362915583</v>
      </c>
      <c r="AK287" s="20">
        <f t="shared" si="96"/>
        <v>0.13676937682988152</v>
      </c>
      <c r="AL287" s="17"/>
      <c r="AM287" s="17"/>
      <c r="AN287" s="17"/>
      <c r="AO287" s="17"/>
      <c r="AP287" s="28" t="str">
        <f t="shared" si="97"/>
        <v>20204</v>
      </c>
      <c r="AQ287" s="28" t="str">
        <f t="shared" si="98"/>
        <v>20204RMB</v>
      </c>
      <c r="AR287" s="206" t="str">
        <f t="shared" si="99"/>
        <v>YAMAHA_Mounter</v>
      </c>
      <c r="AS287" s="22">
        <f t="shared" si="100"/>
        <v>0</v>
      </c>
      <c r="AT287" s="24" t="str">
        <f t="shared" si="101"/>
        <v>0-3 months</v>
      </c>
      <c r="AU287" s="22" t="s">
        <v>3743</v>
      </c>
    </row>
    <row r="288" spans="1:47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9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86"/>
        <v>28065694.408805311</v>
      </c>
      <c r="AJ288" s="19">
        <f t="shared" si="87"/>
        <v>4157433.2906989697</v>
      </c>
      <c r="AK288" s="20">
        <f t="shared" si="96"/>
        <v>0.14813220831602228</v>
      </c>
      <c r="AL288" s="17"/>
      <c r="AM288" s="17"/>
      <c r="AN288" s="17"/>
      <c r="AO288" s="17"/>
      <c r="AP288" s="28" t="str">
        <f t="shared" si="97"/>
        <v>20205</v>
      </c>
      <c r="AQ288" s="28" t="str">
        <f t="shared" si="98"/>
        <v>20205RMB</v>
      </c>
      <c r="AR288" s="206" t="str">
        <f t="shared" si="99"/>
        <v>YAMAHA_Mounter</v>
      </c>
      <c r="AS288" s="22">
        <f t="shared" si="100"/>
        <v>1</v>
      </c>
      <c r="AT288" s="24" t="str">
        <f t="shared" si="101"/>
        <v>0-3 months</v>
      </c>
      <c r="AU288" s="22" t="s">
        <v>3743</v>
      </c>
    </row>
    <row r="289" spans="1:47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9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86"/>
        <v>28065694.408805311</v>
      </c>
      <c r="AJ289" s="19">
        <f t="shared" si="87"/>
        <v>4157433.2906989697</v>
      </c>
      <c r="AK289" s="20">
        <f t="shared" si="96"/>
        <v>0.14813220831602228</v>
      </c>
      <c r="AL289" s="17"/>
      <c r="AM289" s="17"/>
      <c r="AN289" s="17"/>
      <c r="AO289" s="17"/>
      <c r="AP289" s="28" t="str">
        <f t="shared" si="97"/>
        <v>20205</v>
      </c>
      <c r="AQ289" s="28" t="str">
        <f t="shared" si="98"/>
        <v>20205RMB</v>
      </c>
      <c r="AR289" s="206" t="str">
        <f t="shared" si="99"/>
        <v>YAMAHA_Mounter</v>
      </c>
      <c r="AS289" s="22">
        <f t="shared" si="100"/>
        <v>1</v>
      </c>
      <c r="AT289" s="24" t="str">
        <f t="shared" si="101"/>
        <v>0-3 months</v>
      </c>
      <c r="AU289" s="22" t="s">
        <v>3743</v>
      </c>
    </row>
    <row r="290" spans="1:47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9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86"/>
        <v>26407088.359292038</v>
      </c>
      <c r="AJ290" s="19">
        <f t="shared" si="87"/>
        <v>3424510.6998470789</v>
      </c>
      <c r="AK290" s="20">
        <f t="shared" si="96"/>
        <v>0.12968149510667554</v>
      </c>
      <c r="AL290" s="17"/>
      <c r="AM290" s="17"/>
      <c r="AN290" s="17"/>
      <c r="AO290" s="17"/>
      <c r="AP290" s="28" t="str">
        <f t="shared" si="97"/>
        <v>20221</v>
      </c>
      <c r="AQ290" s="28" t="str">
        <f t="shared" si="98"/>
        <v>20221RMB</v>
      </c>
      <c r="AR290" s="206" t="str">
        <f t="shared" si="99"/>
        <v>YAMAHA_Mounter</v>
      </c>
      <c r="AS290" s="22">
        <f t="shared" si="100"/>
        <v>1</v>
      </c>
      <c r="AT290" s="24" t="str">
        <f t="shared" si="101"/>
        <v>0-3 months</v>
      </c>
      <c r="AU290" s="22" t="s">
        <v>3240</v>
      </c>
    </row>
    <row r="291" spans="1:47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9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86"/>
        <v>24398045.86045352</v>
      </c>
      <c r="AJ291" s="19">
        <f t="shared" si="87"/>
        <v>3478417.4064663448</v>
      </c>
      <c r="AK291" s="20">
        <f t="shared" si="96"/>
        <v>0.14256950849102498</v>
      </c>
      <c r="AL291" s="17"/>
      <c r="AM291" s="17"/>
      <c r="AN291" s="17"/>
      <c r="AO291" s="17" t="s">
        <v>221</v>
      </c>
      <c r="AP291" s="28" t="str">
        <f t="shared" si="97"/>
        <v>20186</v>
      </c>
      <c r="AQ291" s="28" t="str">
        <f t="shared" si="98"/>
        <v>20186JPY</v>
      </c>
      <c r="AR291" s="206" t="str">
        <f t="shared" si="99"/>
        <v>YAMAHA_Mounter</v>
      </c>
      <c r="AS291" s="22">
        <f t="shared" si="100"/>
        <v>5</v>
      </c>
      <c r="AT291" s="24" t="str">
        <f t="shared" si="101"/>
        <v>4-6 months</v>
      </c>
      <c r="AU291" s="22" t="s">
        <v>3744</v>
      </c>
    </row>
    <row r="292" spans="1:47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9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86"/>
        <v>26492741.106427077</v>
      </c>
      <c r="AJ292" s="19">
        <f t="shared" si="87"/>
        <v>3348032.1325698122</v>
      </c>
      <c r="AK292" s="20">
        <f t="shared" si="96"/>
        <v>0.12637545201985867</v>
      </c>
      <c r="AL292" s="17"/>
      <c r="AM292" s="17"/>
      <c r="AN292" s="17"/>
      <c r="AO292" s="17"/>
      <c r="AP292" s="28" t="str">
        <f t="shared" si="97"/>
        <v>20189</v>
      </c>
      <c r="AQ292" s="28" t="str">
        <f t="shared" si="98"/>
        <v>20189JPY</v>
      </c>
      <c r="AR292" s="206" t="str">
        <f t="shared" si="99"/>
        <v>YAMAHA_Mounter</v>
      </c>
      <c r="AS292" s="22">
        <f t="shared" si="100"/>
        <v>8</v>
      </c>
      <c r="AT292" s="24" t="str">
        <f t="shared" si="101"/>
        <v>&gt; 6 months</v>
      </c>
      <c r="AU292" s="22" t="s">
        <v>3744</v>
      </c>
    </row>
    <row r="293" spans="1:47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9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9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86"/>
        <v>499582152.5142017</v>
      </c>
      <c r="AJ293" s="19">
        <f t="shared" si="87"/>
        <v>59520528.679470733</v>
      </c>
      <c r="AK293" s="20">
        <f t="shared" si="96"/>
        <v>0.11914062257814291</v>
      </c>
      <c r="AL293" s="17"/>
      <c r="AM293" s="17"/>
      <c r="AN293" s="17"/>
      <c r="AO293" s="17"/>
      <c r="AP293" s="28" t="str">
        <f t="shared" si="97"/>
        <v>CancelCancel</v>
      </c>
      <c r="AQ293" s="28" t="str">
        <f t="shared" si="98"/>
        <v>CancelCancelJPY</v>
      </c>
      <c r="AR293" s="206" t="str">
        <f t="shared" si="99"/>
        <v>YAMAHA_Mounter</v>
      </c>
      <c r="AS293" s="22" t="str">
        <f t="shared" si="100"/>
        <v/>
      </c>
      <c r="AT293" s="24" t="str">
        <f t="shared" si="101"/>
        <v/>
      </c>
      <c r="AU293" s="22" t="s">
        <v>3744</v>
      </c>
    </row>
    <row r="294" spans="1:47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9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9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86"/>
        <v>499582152.5142017</v>
      </c>
      <c r="AJ294" s="19">
        <f t="shared" si="87"/>
        <v>59520528.679470733</v>
      </c>
      <c r="AK294" s="20">
        <f t="shared" si="96"/>
        <v>0.11914062257814291</v>
      </c>
      <c r="AL294" s="17"/>
      <c r="AM294" s="17"/>
      <c r="AN294" s="17"/>
      <c r="AO294" s="17"/>
      <c r="AP294" s="28" t="str">
        <f t="shared" si="97"/>
        <v>CancelCancel</v>
      </c>
      <c r="AQ294" s="28" t="str">
        <f t="shared" si="98"/>
        <v>CancelCancelJPY</v>
      </c>
      <c r="AR294" s="206" t="str">
        <f t="shared" si="99"/>
        <v>YAMAHA_Mounter</v>
      </c>
      <c r="AS294" s="22" t="str">
        <f t="shared" si="100"/>
        <v/>
      </c>
      <c r="AT294" s="24" t="str">
        <f t="shared" si="101"/>
        <v/>
      </c>
      <c r="AU294" s="22" t="s">
        <v>3744</v>
      </c>
    </row>
    <row r="295" spans="1:47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9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86"/>
        <v>28647263.974455759</v>
      </c>
      <c r="AJ295" s="19">
        <f t="shared" si="87"/>
        <v>3219855.6912513468</v>
      </c>
      <c r="AK295" s="20">
        <f t="shared" si="96"/>
        <v>0.11239662168514358</v>
      </c>
      <c r="AL295" s="17"/>
      <c r="AM295" s="17"/>
      <c r="AN295" s="17"/>
      <c r="AO295" s="17"/>
      <c r="AP295" s="28" t="str">
        <f t="shared" si="97"/>
        <v>201910</v>
      </c>
      <c r="AQ295" s="28" t="str">
        <f t="shared" si="98"/>
        <v>201910RMB</v>
      </c>
      <c r="AR295" s="206" t="str">
        <f t="shared" si="99"/>
        <v>YAMAHA_Mounter</v>
      </c>
      <c r="AS295" s="22">
        <f t="shared" si="100"/>
        <v>1</v>
      </c>
      <c r="AT295" s="24" t="str">
        <f t="shared" si="101"/>
        <v>0-3 months</v>
      </c>
      <c r="AU295" s="22" t="s">
        <v>3743</v>
      </c>
    </row>
    <row r="296" spans="1:47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9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86"/>
        <v>35384300.169380538</v>
      </c>
      <c r="AJ296" s="19">
        <f t="shared" si="87"/>
        <v>5044538.8896988509</v>
      </c>
      <c r="AK296" s="20">
        <f t="shared" si="96"/>
        <v>0.14256432557804533</v>
      </c>
      <c r="AL296" s="17"/>
      <c r="AM296" s="17"/>
      <c r="AN296" s="17"/>
      <c r="AO296" s="17"/>
      <c r="AP296" s="28" t="str">
        <f t="shared" si="97"/>
        <v>20207</v>
      </c>
      <c r="AQ296" s="28" t="str">
        <f t="shared" si="98"/>
        <v>20207RMB</v>
      </c>
      <c r="AR296" s="206" t="str">
        <f t="shared" si="99"/>
        <v>YAMAHA_Mounter</v>
      </c>
      <c r="AS296" s="22">
        <f t="shared" si="100"/>
        <v>1</v>
      </c>
      <c r="AT296" s="24" t="str">
        <f t="shared" si="101"/>
        <v>0-3 months</v>
      </c>
      <c r="AU296" s="22" t="s">
        <v>3743</v>
      </c>
    </row>
    <row r="297" spans="1:47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9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86"/>
        <v>35384300.169380538</v>
      </c>
      <c r="AJ297" s="19">
        <f t="shared" si="87"/>
        <v>5044538.8896988509</v>
      </c>
      <c r="AK297" s="20">
        <f t="shared" si="96"/>
        <v>0.14256432557804533</v>
      </c>
      <c r="AL297" s="17"/>
      <c r="AM297" s="17"/>
      <c r="AN297" s="17"/>
      <c r="AO297" s="17"/>
      <c r="AP297" s="28" t="str">
        <f t="shared" si="97"/>
        <v>20207</v>
      </c>
      <c r="AQ297" s="28" t="str">
        <f t="shared" si="98"/>
        <v>20207RMB</v>
      </c>
      <c r="AR297" s="206" t="str">
        <f t="shared" si="99"/>
        <v>YAMAHA_Mounter</v>
      </c>
      <c r="AS297" s="22">
        <f t="shared" si="100"/>
        <v>1</v>
      </c>
      <c r="AT297" s="24" t="str">
        <f t="shared" si="101"/>
        <v>0-3 months</v>
      </c>
      <c r="AU297" s="22" t="s">
        <v>3743</v>
      </c>
    </row>
    <row r="298" spans="1:47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9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86"/>
        <v>35384300.169380538</v>
      </c>
      <c r="AJ298" s="19">
        <f t="shared" si="87"/>
        <v>5044538.8896988509</v>
      </c>
      <c r="AK298" s="20">
        <f t="shared" si="96"/>
        <v>0.14256432557804533</v>
      </c>
      <c r="AL298" s="17"/>
      <c r="AM298" s="17"/>
      <c r="AN298" s="17"/>
      <c r="AO298" s="17"/>
      <c r="AP298" s="28" t="str">
        <f t="shared" si="97"/>
        <v>20207</v>
      </c>
      <c r="AQ298" s="28" t="str">
        <f t="shared" si="98"/>
        <v>20207RMB</v>
      </c>
      <c r="AR298" s="206" t="str">
        <f t="shared" si="99"/>
        <v>YAMAHA_Mounter</v>
      </c>
      <c r="AS298" s="22">
        <f t="shared" si="100"/>
        <v>1</v>
      </c>
      <c r="AT298" s="24" t="str">
        <f t="shared" si="101"/>
        <v>0-3 months</v>
      </c>
      <c r="AU298" s="22" t="s">
        <v>3743</v>
      </c>
    </row>
    <row r="299" spans="1:47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9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86"/>
        <v>35384300.169380538</v>
      </c>
      <c r="AJ299" s="19">
        <f t="shared" si="87"/>
        <v>5044538.8896988509</v>
      </c>
      <c r="AK299" s="20">
        <f t="shared" si="96"/>
        <v>0.14256432557804533</v>
      </c>
      <c r="AL299" s="17"/>
      <c r="AM299" s="17"/>
      <c r="AN299" s="17"/>
      <c r="AO299" s="17"/>
      <c r="AP299" s="28" t="str">
        <f t="shared" si="97"/>
        <v>20207</v>
      </c>
      <c r="AQ299" s="28" t="str">
        <f t="shared" si="98"/>
        <v>20207RMB</v>
      </c>
      <c r="AR299" s="206" t="str">
        <f t="shared" si="99"/>
        <v>YAMAHA_Mounter</v>
      </c>
      <c r="AS299" s="22">
        <f t="shared" si="100"/>
        <v>1</v>
      </c>
      <c r="AT299" s="24" t="str">
        <f t="shared" si="101"/>
        <v>0-3 months</v>
      </c>
      <c r="AU299" s="22" t="s">
        <v>3743</v>
      </c>
    </row>
    <row r="300" spans="1:47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9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102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86"/>
        <v>63006605.696460173</v>
      </c>
      <c r="AJ300" s="19">
        <f t="shared" si="87"/>
        <v>8897485.660753984</v>
      </c>
      <c r="AK300" s="20">
        <f t="shared" si="96"/>
        <v>0.141215124388995</v>
      </c>
      <c r="AL300" s="17"/>
      <c r="AM300" s="17"/>
      <c r="AN300" s="17"/>
      <c r="AO300" s="17"/>
      <c r="AP300" s="28" t="str">
        <f t="shared" si="97"/>
        <v>20215</v>
      </c>
      <c r="AQ300" s="28" t="str">
        <f t="shared" si="98"/>
        <v>20215RMB</v>
      </c>
      <c r="AR300" s="206" t="str">
        <f t="shared" si="99"/>
        <v>YAMAHA_Mounter</v>
      </c>
      <c r="AS300" s="22">
        <f t="shared" si="100"/>
        <v>3</v>
      </c>
      <c r="AT300" s="24" t="str">
        <f t="shared" si="101"/>
        <v>0-3 months</v>
      </c>
      <c r="AU300" s="22" t="s">
        <v>3743</v>
      </c>
    </row>
    <row r="301" spans="1:47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9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102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86"/>
        <v>63006605.696460173</v>
      </c>
      <c r="AJ301" s="19">
        <f t="shared" si="87"/>
        <v>8897485.660753984</v>
      </c>
      <c r="AK301" s="20">
        <f t="shared" si="96"/>
        <v>0.141215124388995</v>
      </c>
      <c r="AL301" s="17"/>
      <c r="AM301" s="17"/>
      <c r="AN301" s="17"/>
      <c r="AO301" s="17"/>
      <c r="AP301" s="28" t="str">
        <f t="shared" si="97"/>
        <v>20215</v>
      </c>
      <c r="AQ301" s="28" t="str">
        <f t="shared" si="98"/>
        <v>20215RMB</v>
      </c>
      <c r="AR301" s="206" t="str">
        <f t="shared" si="99"/>
        <v>YAMAHA_Mounter</v>
      </c>
      <c r="AS301" s="22">
        <f t="shared" si="100"/>
        <v>3</v>
      </c>
      <c r="AT301" s="24" t="str">
        <f t="shared" si="101"/>
        <v>0-3 months</v>
      </c>
      <c r="AU301" s="22" t="s">
        <v>3743</v>
      </c>
    </row>
    <row r="302" spans="1:47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9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102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86"/>
        <v>63006605.696460173</v>
      </c>
      <c r="AJ302" s="19">
        <f t="shared" si="87"/>
        <v>8897485.660753984</v>
      </c>
      <c r="AK302" s="20">
        <f t="shared" si="96"/>
        <v>0.141215124388995</v>
      </c>
      <c r="AL302" s="17"/>
      <c r="AM302" s="17"/>
      <c r="AN302" s="17"/>
      <c r="AO302" s="17"/>
      <c r="AP302" s="28" t="str">
        <f t="shared" si="97"/>
        <v>20215</v>
      </c>
      <c r="AQ302" s="28" t="str">
        <f t="shared" si="98"/>
        <v>20215RMB</v>
      </c>
      <c r="AR302" s="206" t="str">
        <f t="shared" si="99"/>
        <v>YAMAHA_Mounter</v>
      </c>
      <c r="AS302" s="22">
        <f t="shared" si="100"/>
        <v>3</v>
      </c>
      <c r="AT302" s="24" t="str">
        <f t="shared" si="101"/>
        <v>0-3 months</v>
      </c>
      <c r="AU302" s="22" t="s">
        <v>3743</v>
      </c>
    </row>
    <row r="303" spans="1:47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9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102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86"/>
        <v>63006605.696460173</v>
      </c>
      <c r="AJ303" s="19">
        <f t="shared" si="87"/>
        <v>8897485.660753984</v>
      </c>
      <c r="AK303" s="20">
        <f t="shared" si="96"/>
        <v>0.141215124388995</v>
      </c>
      <c r="AL303" s="17"/>
      <c r="AM303" s="17"/>
      <c r="AN303" s="17"/>
      <c r="AO303" s="17"/>
      <c r="AP303" s="28" t="str">
        <f t="shared" si="97"/>
        <v>20215</v>
      </c>
      <c r="AQ303" s="28" t="str">
        <f t="shared" si="98"/>
        <v>20215RMB</v>
      </c>
      <c r="AR303" s="206" t="str">
        <f t="shared" si="99"/>
        <v>YAMAHA_Mounter</v>
      </c>
      <c r="AS303" s="22">
        <f t="shared" si="100"/>
        <v>3</v>
      </c>
      <c r="AT303" s="24" t="str">
        <f t="shared" si="101"/>
        <v>0-3 months</v>
      </c>
      <c r="AU303" s="22" t="s">
        <v>3743</v>
      </c>
    </row>
    <row r="304" spans="1:47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9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102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86"/>
        <v>36480247.665929198</v>
      </c>
      <c r="AJ304" s="19">
        <f t="shared" si="87"/>
        <v>5330996.6372757526</v>
      </c>
      <c r="AK304" s="20">
        <f t="shared" si="96"/>
        <v>0.14613378412599562</v>
      </c>
      <c r="AL304" s="17"/>
      <c r="AM304" s="17"/>
      <c r="AN304" s="17"/>
      <c r="AO304" s="17"/>
      <c r="AP304" s="28" t="str">
        <f t="shared" si="97"/>
        <v>20227</v>
      </c>
      <c r="AQ304" s="28" t="str">
        <f t="shared" si="98"/>
        <v>20227JPY</v>
      </c>
      <c r="AR304" s="206" t="str">
        <f t="shared" si="99"/>
        <v>YAMAHA_Mounter</v>
      </c>
      <c r="AS304" s="22">
        <f t="shared" si="100"/>
        <v>4</v>
      </c>
      <c r="AT304" s="24" t="str">
        <f t="shared" si="101"/>
        <v>4-6 months</v>
      </c>
      <c r="AU304" s="22" t="s">
        <v>3750</v>
      </c>
    </row>
    <row r="305" spans="1:47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9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102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86"/>
        <v>36480247.665929198</v>
      </c>
      <c r="AJ305" s="19">
        <f t="shared" si="87"/>
        <v>5330996.6372757526</v>
      </c>
      <c r="AK305" s="20">
        <f t="shared" si="96"/>
        <v>0.14613378412599562</v>
      </c>
      <c r="AL305" s="17"/>
      <c r="AM305" s="17"/>
      <c r="AN305" s="17"/>
      <c r="AO305" s="17"/>
      <c r="AP305" s="28" t="str">
        <f t="shared" si="97"/>
        <v>20227</v>
      </c>
      <c r="AQ305" s="28" t="str">
        <f t="shared" si="98"/>
        <v>20227JPY</v>
      </c>
      <c r="AR305" s="206" t="str">
        <f t="shared" si="99"/>
        <v>YAMAHA_Mounter</v>
      </c>
      <c r="AS305" s="22">
        <f t="shared" si="100"/>
        <v>4</v>
      </c>
      <c r="AT305" s="24" t="str">
        <f t="shared" si="101"/>
        <v>4-6 months</v>
      </c>
      <c r="AU305" s="22" t="s">
        <v>3750</v>
      </c>
    </row>
    <row r="306" spans="1:47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9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102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86"/>
        <v>36480247.665929198</v>
      </c>
      <c r="AJ306" s="19">
        <f t="shared" si="87"/>
        <v>5330996.6372757526</v>
      </c>
      <c r="AK306" s="20">
        <f t="shared" si="96"/>
        <v>0.14613378412599562</v>
      </c>
      <c r="AL306" s="17"/>
      <c r="AM306" s="17"/>
      <c r="AN306" s="17"/>
      <c r="AO306" s="17"/>
      <c r="AP306" s="28" t="str">
        <f t="shared" si="97"/>
        <v>20227</v>
      </c>
      <c r="AQ306" s="28" t="str">
        <f t="shared" si="98"/>
        <v>20227JPY</v>
      </c>
      <c r="AR306" s="206" t="str">
        <f t="shared" si="99"/>
        <v>YAMAHA_Mounter</v>
      </c>
      <c r="AS306" s="22">
        <f t="shared" si="100"/>
        <v>4</v>
      </c>
      <c r="AT306" s="24" t="str">
        <f t="shared" si="101"/>
        <v>4-6 months</v>
      </c>
      <c r="AU306" s="22" t="s">
        <v>3750</v>
      </c>
    </row>
    <row r="307" spans="1:47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9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102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86"/>
        <v>36480247.665929198</v>
      </c>
      <c r="AJ307" s="19">
        <f t="shared" si="87"/>
        <v>5330996.6372757526</v>
      </c>
      <c r="AK307" s="20">
        <f t="shared" si="96"/>
        <v>0.14613378412599562</v>
      </c>
      <c r="AL307" s="17"/>
      <c r="AM307" s="17"/>
      <c r="AN307" s="17"/>
      <c r="AO307" s="17"/>
      <c r="AP307" s="28" t="str">
        <f t="shared" si="97"/>
        <v>20227</v>
      </c>
      <c r="AQ307" s="28" t="str">
        <f t="shared" si="98"/>
        <v>20227JPY</v>
      </c>
      <c r="AR307" s="206" t="str">
        <f t="shared" si="99"/>
        <v>YAMAHA_Mounter</v>
      </c>
      <c r="AS307" s="22">
        <f t="shared" si="100"/>
        <v>4</v>
      </c>
      <c r="AT307" s="24" t="str">
        <f t="shared" si="101"/>
        <v>4-6 months</v>
      </c>
      <c r="AU307" s="22" t="s">
        <v>3744</v>
      </c>
    </row>
    <row r="308" spans="1:47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9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102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86"/>
        <v>36480247.665929198</v>
      </c>
      <c r="AJ308" s="19">
        <f t="shared" si="87"/>
        <v>5330996.6372757526</v>
      </c>
      <c r="AK308" s="20">
        <f t="shared" si="96"/>
        <v>0.14613378412599562</v>
      </c>
      <c r="AL308" s="17"/>
      <c r="AM308" s="17"/>
      <c r="AN308" s="17"/>
      <c r="AO308" s="17"/>
      <c r="AP308" s="28" t="str">
        <f t="shared" si="97"/>
        <v>20227</v>
      </c>
      <c r="AQ308" s="28" t="str">
        <f t="shared" si="98"/>
        <v>20227JPY</v>
      </c>
      <c r="AR308" s="206" t="str">
        <f t="shared" si="99"/>
        <v>YAMAHA_Mounter</v>
      </c>
      <c r="AS308" s="22">
        <f t="shared" si="100"/>
        <v>4</v>
      </c>
      <c r="AT308" s="24" t="str">
        <f t="shared" si="101"/>
        <v>4-6 months</v>
      </c>
      <c r="AU308" s="22" t="s">
        <v>3744</v>
      </c>
    </row>
    <row r="309" spans="1:47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9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86"/>
        <v>27318180.088495575</v>
      </c>
      <c r="AJ309" s="19">
        <f t="shared" si="87"/>
        <v>3014099.212353982</v>
      </c>
      <c r="AK309" s="20">
        <f t="shared" si="96"/>
        <v>0.11033308963444827</v>
      </c>
      <c r="AL309" s="17"/>
      <c r="AM309" s="17"/>
      <c r="AN309" s="17"/>
      <c r="AO309" s="17"/>
      <c r="AP309" s="28" t="str">
        <f t="shared" si="97"/>
        <v>201912</v>
      </c>
      <c r="AQ309" s="28" t="str">
        <f t="shared" si="98"/>
        <v>201912RMB</v>
      </c>
      <c r="AR309" s="206" t="str">
        <f t="shared" si="99"/>
        <v>HELLER</v>
      </c>
      <c r="AS309" s="22">
        <f t="shared" si="100"/>
        <v>1</v>
      </c>
      <c r="AT309" s="24" t="str">
        <f t="shared" si="101"/>
        <v>0-3 months</v>
      </c>
      <c r="AU309" s="22" t="s">
        <v>3743</v>
      </c>
    </row>
    <row r="310" spans="1:47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9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9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103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86"/>
        <v>19242877.433628317</v>
      </c>
      <c r="AJ310" s="19">
        <f t="shared" si="87"/>
        <v>2240020.1770353983</v>
      </c>
      <c r="AK310" s="20">
        <f t="shared" si="96"/>
        <v>0.11640775579232249</v>
      </c>
      <c r="AL310" s="17"/>
      <c r="AM310" s="17"/>
      <c r="AN310" s="17"/>
      <c r="AO310" s="17"/>
      <c r="AP310" s="28" t="str">
        <f t="shared" si="97"/>
        <v>TBATBA</v>
      </c>
      <c r="AQ310" s="28" t="str">
        <f t="shared" si="98"/>
        <v>TBATBARMB</v>
      </c>
      <c r="AR310" s="206" t="str">
        <f t="shared" si="99"/>
        <v>YAMAHA_Mounter</v>
      </c>
      <c r="AS310" s="22" t="str">
        <f t="shared" si="100"/>
        <v/>
      </c>
      <c r="AT310" s="24" t="str">
        <f t="shared" si="101"/>
        <v/>
      </c>
      <c r="AU310" s="22" t="s">
        <v>3240</v>
      </c>
    </row>
    <row r="311" spans="1:47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9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9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103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86"/>
        <v>19242877.433628317</v>
      </c>
      <c r="AJ311" s="19">
        <f t="shared" si="87"/>
        <v>2240020.1770353983</v>
      </c>
      <c r="AK311" s="20">
        <f t="shared" si="96"/>
        <v>0.11640775579232249</v>
      </c>
      <c r="AL311" s="17"/>
      <c r="AM311" s="17"/>
      <c r="AN311" s="17"/>
      <c r="AO311" s="17"/>
      <c r="AP311" s="28" t="str">
        <f t="shared" si="97"/>
        <v>TBATBA</v>
      </c>
      <c r="AQ311" s="28" t="str">
        <f t="shared" si="98"/>
        <v>TBATBARMB</v>
      </c>
      <c r="AR311" s="206" t="str">
        <f t="shared" si="99"/>
        <v>YAMAHA_Mounter</v>
      </c>
      <c r="AS311" s="22" t="str">
        <f t="shared" si="100"/>
        <v/>
      </c>
      <c r="AT311" s="24" t="str">
        <f t="shared" si="101"/>
        <v/>
      </c>
      <c r="AU311" s="22" t="s">
        <v>3240</v>
      </c>
    </row>
    <row r="312" spans="1:47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9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103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86"/>
        <v>43684091.636631854</v>
      </c>
      <c r="AJ312" s="19">
        <f t="shared" si="87"/>
        <v>6483951.8242071122</v>
      </c>
      <c r="AK312" s="20">
        <f t="shared" si="96"/>
        <v>0.14842821680123736</v>
      </c>
      <c r="AL312" s="17"/>
      <c r="AM312" s="17"/>
      <c r="AN312" s="17"/>
      <c r="AO312" s="17"/>
      <c r="AP312" s="28" t="str">
        <f t="shared" si="97"/>
        <v>20214</v>
      </c>
      <c r="AQ312" s="28" t="str">
        <f t="shared" si="98"/>
        <v>20214RMB</v>
      </c>
      <c r="AR312" s="206" t="str">
        <f t="shared" si="99"/>
        <v>YAMAHA_Mounter</v>
      </c>
      <c r="AS312" s="22">
        <f t="shared" si="100"/>
        <v>1</v>
      </c>
      <c r="AT312" s="24" t="str">
        <f t="shared" si="101"/>
        <v>0-3 months</v>
      </c>
      <c r="AU312" s="22" t="s">
        <v>3240</v>
      </c>
    </row>
    <row r="313" spans="1:47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9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103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86"/>
        <v>13640480.497522123</v>
      </c>
      <c r="AJ313" s="19">
        <f t="shared" si="87"/>
        <v>1928605.8020906283</v>
      </c>
      <c r="AK313" s="20">
        <f t="shared" si="96"/>
        <v>0.1413884065477731</v>
      </c>
      <c r="AL313" s="17"/>
      <c r="AM313" s="17"/>
      <c r="AN313" s="17"/>
      <c r="AO313" s="17"/>
      <c r="AP313" s="28" t="str">
        <f t="shared" si="97"/>
        <v>20236</v>
      </c>
      <c r="AQ313" s="28" t="str">
        <f t="shared" si="98"/>
        <v>20236RMB</v>
      </c>
      <c r="AR313" s="206" t="str">
        <f t="shared" si="99"/>
        <v>YAMAHA_Mounter</v>
      </c>
      <c r="AS313" s="22">
        <f t="shared" si="100"/>
        <v>7</v>
      </c>
      <c r="AT313" s="24" t="str">
        <f t="shared" si="101"/>
        <v>&gt; 6 months</v>
      </c>
      <c r="AU313" s="22" t="s">
        <v>3240</v>
      </c>
    </row>
    <row r="314" spans="1:47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9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103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86"/>
        <v>13640480.497522123</v>
      </c>
      <c r="AJ314" s="19">
        <f t="shared" si="87"/>
        <v>1928605.8020906283</v>
      </c>
      <c r="AK314" s="20">
        <f t="shared" si="96"/>
        <v>0.1413884065477731</v>
      </c>
      <c r="AL314" s="17"/>
      <c r="AM314" s="17"/>
      <c r="AN314" s="17"/>
      <c r="AO314" s="17"/>
      <c r="AP314" s="28" t="str">
        <f t="shared" si="97"/>
        <v>20236</v>
      </c>
      <c r="AQ314" s="28" t="str">
        <f t="shared" si="98"/>
        <v>20236RMB</v>
      </c>
      <c r="AR314" s="206" t="str">
        <f t="shared" si="99"/>
        <v>YAMAHA_Mounter</v>
      </c>
      <c r="AS314" s="22">
        <f t="shared" si="100"/>
        <v>7</v>
      </c>
      <c r="AT314" s="24" t="str">
        <f t="shared" si="101"/>
        <v>&gt; 6 months</v>
      </c>
      <c r="AU314" s="22" t="s">
        <v>3240</v>
      </c>
    </row>
    <row r="315" spans="1:47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9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103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86"/>
        <v>17329060.066371687</v>
      </c>
      <c r="AJ315" s="19">
        <f t="shared" si="87"/>
        <v>2472600.2142256643</v>
      </c>
      <c r="AK315" s="20">
        <f t="shared" si="96"/>
        <v>0.14268518919984163</v>
      </c>
      <c r="AL315" s="17"/>
      <c r="AM315" s="17"/>
      <c r="AN315" s="17"/>
      <c r="AO315" s="17"/>
      <c r="AP315" s="28" t="str">
        <f t="shared" si="97"/>
        <v>202212</v>
      </c>
      <c r="AQ315" s="28" t="str">
        <f t="shared" si="98"/>
        <v>202212RMB</v>
      </c>
      <c r="AR315" s="206" t="str">
        <f t="shared" si="99"/>
        <v>YAMAHA_Mounter</v>
      </c>
      <c r="AS315" s="22">
        <f t="shared" si="100"/>
        <v>2</v>
      </c>
      <c r="AT315" s="24" t="str">
        <f t="shared" si="101"/>
        <v>0-3 months</v>
      </c>
      <c r="AU315" s="22" t="s">
        <v>3240</v>
      </c>
    </row>
    <row r="316" spans="1:47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9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103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86"/>
        <v>17329060.066371687</v>
      </c>
      <c r="AJ316" s="19">
        <f t="shared" si="87"/>
        <v>2472600.2142256643</v>
      </c>
      <c r="AK316" s="20">
        <f t="shared" si="96"/>
        <v>0.14268518919984163</v>
      </c>
      <c r="AL316" s="17"/>
      <c r="AM316" s="17"/>
      <c r="AN316" s="17"/>
      <c r="AO316" s="17"/>
      <c r="AP316" s="28" t="str">
        <f t="shared" si="97"/>
        <v>202212</v>
      </c>
      <c r="AQ316" s="28" t="str">
        <f t="shared" si="98"/>
        <v>202212RMB</v>
      </c>
      <c r="AR316" s="206" t="str">
        <f t="shared" si="99"/>
        <v>YAMAHA_Mounter</v>
      </c>
      <c r="AS316" s="22">
        <f t="shared" si="100"/>
        <v>2</v>
      </c>
      <c r="AT316" s="24" t="str">
        <f t="shared" si="101"/>
        <v>0-3 months</v>
      </c>
      <c r="AU316" s="22" t="s">
        <v>3240</v>
      </c>
    </row>
    <row r="317" spans="1:47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9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103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86"/>
        <v>35073581.838938057</v>
      </c>
      <c r="AJ317" s="19">
        <f t="shared" si="87"/>
        <v>5034113.9728989396</v>
      </c>
      <c r="AK317" s="20">
        <f t="shared" si="96"/>
        <v>0.14353007902118958</v>
      </c>
      <c r="AL317" s="17"/>
      <c r="AM317" s="17"/>
      <c r="AN317" s="17"/>
      <c r="AO317" s="17"/>
      <c r="AP317" s="28" t="str">
        <f t="shared" si="97"/>
        <v>20228</v>
      </c>
      <c r="AQ317" s="28" t="str">
        <f t="shared" si="98"/>
        <v>20228RMB</v>
      </c>
      <c r="AR317" s="206" t="str">
        <f t="shared" si="99"/>
        <v>YAMAHA_Mounter</v>
      </c>
      <c r="AS317" s="22">
        <f t="shared" si="100"/>
        <v>1</v>
      </c>
      <c r="AT317" s="24" t="str">
        <f t="shared" si="101"/>
        <v>0-3 months</v>
      </c>
      <c r="AU317" s="22" t="s">
        <v>3240</v>
      </c>
    </row>
    <row r="318" spans="1:47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9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86"/>
        <v>24398045.86045352</v>
      </c>
      <c r="AJ318" s="19">
        <f t="shared" si="87"/>
        <v>3478417.4064663448</v>
      </c>
      <c r="AK318" s="20">
        <f t="shared" si="96"/>
        <v>0.14256950849102498</v>
      </c>
      <c r="AL318" s="17"/>
      <c r="AM318" s="17"/>
      <c r="AN318" s="17"/>
      <c r="AO318" s="17" t="s">
        <v>221</v>
      </c>
      <c r="AP318" s="28" t="str">
        <f t="shared" si="97"/>
        <v>20186</v>
      </c>
      <c r="AQ318" s="28" t="str">
        <f t="shared" si="98"/>
        <v>20186JPY</v>
      </c>
      <c r="AR318" s="206" t="str">
        <f t="shared" si="99"/>
        <v>YAMAHA_Mounter</v>
      </c>
      <c r="AS318" s="22">
        <f t="shared" si="100"/>
        <v>5</v>
      </c>
      <c r="AT318" s="24" t="str">
        <f t="shared" si="101"/>
        <v>4-6 months</v>
      </c>
      <c r="AU318" s="22" t="s">
        <v>3744</v>
      </c>
    </row>
    <row r="319" spans="1:47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9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9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86"/>
        <v>499582152.5142017</v>
      </c>
      <c r="AJ319" s="19">
        <f t="shared" si="87"/>
        <v>59520528.679470733</v>
      </c>
      <c r="AK319" s="20">
        <f t="shared" si="96"/>
        <v>0.11914062257814291</v>
      </c>
      <c r="AL319" s="17"/>
      <c r="AM319" s="17"/>
      <c r="AN319" s="17"/>
      <c r="AO319" s="17"/>
      <c r="AP319" s="28" t="str">
        <f t="shared" si="97"/>
        <v>CancelCancel</v>
      </c>
      <c r="AQ319" s="28" t="str">
        <f t="shared" si="98"/>
        <v>CancelCancelJPY</v>
      </c>
      <c r="AR319" s="206" t="str">
        <f t="shared" si="99"/>
        <v>YAMAHA_Mounter</v>
      </c>
      <c r="AS319" s="22" t="str">
        <f t="shared" si="100"/>
        <v/>
      </c>
      <c r="AT319" s="24" t="str">
        <f t="shared" si="101"/>
        <v/>
      </c>
      <c r="AU319" s="22" t="s">
        <v>3744</v>
      </c>
    </row>
    <row r="320" spans="1:47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9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86"/>
        <v>31296887.037898075</v>
      </c>
      <c r="AJ320" s="19">
        <f t="shared" si="87"/>
        <v>3588873.9502021763</v>
      </c>
      <c r="AK320" s="20">
        <f t="shared" si="96"/>
        <v>0.11467191436184473</v>
      </c>
      <c r="AL320" s="17"/>
      <c r="AM320" s="17"/>
      <c r="AN320" s="17"/>
      <c r="AO320" s="17"/>
      <c r="AP320" s="28" t="str">
        <f t="shared" si="97"/>
        <v>20196</v>
      </c>
      <c r="AQ320" s="28" t="str">
        <f t="shared" si="98"/>
        <v>20196JPY</v>
      </c>
      <c r="AR320" s="206" t="str">
        <f t="shared" si="99"/>
        <v>YAMAHA_Mounter</v>
      </c>
      <c r="AS320" s="22">
        <f t="shared" si="100"/>
        <v>2</v>
      </c>
      <c r="AT320" s="24" t="str">
        <f t="shared" si="101"/>
        <v>0-3 months</v>
      </c>
      <c r="AU320" s="22" t="s">
        <v>3744</v>
      </c>
    </row>
    <row r="321" spans="1:47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9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86"/>
        <v>31296887.037898075</v>
      </c>
      <c r="AJ321" s="19">
        <f t="shared" si="87"/>
        <v>3588873.9502021763</v>
      </c>
      <c r="AK321" s="20">
        <f t="shared" si="96"/>
        <v>0.11467191436184473</v>
      </c>
      <c r="AL321" s="17"/>
      <c r="AM321" s="17"/>
      <c r="AN321" s="17"/>
      <c r="AO321" s="17"/>
      <c r="AP321" s="28" t="str">
        <f t="shared" si="97"/>
        <v>20196</v>
      </c>
      <c r="AQ321" s="28" t="str">
        <f t="shared" si="98"/>
        <v>20196JPY</v>
      </c>
      <c r="AR321" s="206" t="str">
        <f t="shared" si="99"/>
        <v>YAMAHA_Mounter</v>
      </c>
      <c r="AS321" s="22">
        <f t="shared" si="100"/>
        <v>1</v>
      </c>
      <c r="AT321" s="24" t="str">
        <f t="shared" si="101"/>
        <v>0-3 months</v>
      </c>
      <c r="AU321" s="22" t="s">
        <v>3744</v>
      </c>
    </row>
    <row r="322" spans="1:47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9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ref="AI322:AI385" si="104">IF(P322="C66 SERVICE","",SUMIFS(AB:AB,F:F,F322,G:G,G322,E:E,E322))</f>
        <v>37969334.083628319</v>
      </c>
      <c r="AJ322" s="19">
        <f t="shared" ref="AJ322:AJ385" si="105">IF(P322="C66 SERVICE","",SUMIFS(AC:AC,F:F,F322,G:G,G322,E:E,E322))</f>
        <v>5097226.4551657084</v>
      </c>
      <c r="AK322" s="20">
        <f t="shared" si="96"/>
        <v>0.13424587441904964</v>
      </c>
      <c r="AL322" s="17"/>
      <c r="AM322" s="17"/>
      <c r="AN322" s="17"/>
      <c r="AO322" s="17"/>
      <c r="AP322" s="28" t="str">
        <f t="shared" si="97"/>
        <v>20208</v>
      </c>
      <c r="AQ322" s="28" t="str">
        <f t="shared" si="98"/>
        <v>20208RMB</v>
      </c>
      <c r="AR322" s="206" t="str">
        <f t="shared" si="99"/>
        <v>YAMAHA_Mounter</v>
      </c>
      <c r="AS322" s="22">
        <f t="shared" si="100"/>
        <v>1</v>
      </c>
      <c r="AT322" s="24" t="str">
        <f t="shared" si="101"/>
        <v>0-3 months</v>
      </c>
      <c r="AU322" s="22" t="s">
        <v>3240</v>
      </c>
    </row>
    <row r="323" spans="1:47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9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9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104"/>
        <v>499582152.5142017</v>
      </c>
      <c r="AJ323" s="19">
        <f t="shared" si="105"/>
        <v>59520528.679470733</v>
      </c>
      <c r="AK323" s="20">
        <f t="shared" si="96"/>
        <v>0.11914062257814291</v>
      </c>
      <c r="AL323" s="17"/>
      <c r="AM323" s="17"/>
      <c r="AN323" s="17"/>
      <c r="AO323" s="17"/>
      <c r="AP323" s="28" t="str">
        <f t="shared" si="97"/>
        <v>CancelCancel</v>
      </c>
      <c r="AQ323" s="28" t="str">
        <f t="shared" si="98"/>
        <v>CancelCancelRMB</v>
      </c>
      <c r="AR323" s="206" t="str">
        <f t="shared" si="99"/>
        <v>YAMAHA_Mounter</v>
      </c>
      <c r="AS323" s="22" t="str">
        <f t="shared" si="100"/>
        <v/>
      </c>
      <c r="AT323" s="24" t="str">
        <f t="shared" si="101"/>
        <v/>
      </c>
      <c r="AU323" s="22" t="s">
        <v>3750</v>
      </c>
    </row>
    <row r="324" spans="1:47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9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9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104"/>
        <v>499582152.5142017</v>
      </c>
      <c r="AJ324" s="19">
        <f t="shared" si="105"/>
        <v>59520528.679470733</v>
      </c>
      <c r="AK324" s="20">
        <f t="shared" si="96"/>
        <v>0.11914062257814291</v>
      </c>
      <c r="AL324" s="17"/>
      <c r="AM324" s="17"/>
      <c r="AN324" s="17"/>
      <c r="AO324" s="17"/>
      <c r="AP324" s="28" t="str">
        <f t="shared" si="97"/>
        <v>CancelCancel</v>
      </c>
      <c r="AQ324" s="28" t="str">
        <f t="shared" si="98"/>
        <v>CancelCancelRMB</v>
      </c>
      <c r="AR324" s="206" t="str">
        <f t="shared" si="99"/>
        <v>YAMAHA_Mounter</v>
      </c>
      <c r="AS324" s="22" t="str">
        <f t="shared" si="100"/>
        <v/>
      </c>
      <c r="AT324" s="24" t="str">
        <f t="shared" si="101"/>
        <v/>
      </c>
      <c r="AU324" s="22" t="s">
        <v>3750</v>
      </c>
    </row>
    <row r="325" spans="1:47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9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9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104"/>
        <v>499582152.5142017</v>
      </c>
      <c r="AJ325" s="19">
        <f t="shared" si="105"/>
        <v>59520528.679470733</v>
      </c>
      <c r="AK325" s="20">
        <f t="shared" si="96"/>
        <v>0.11914062257814291</v>
      </c>
      <c r="AL325" s="17"/>
      <c r="AM325" s="17"/>
      <c r="AN325" s="17"/>
      <c r="AO325" s="17"/>
      <c r="AP325" s="28" t="str">
        <f t="shared" si="97"/>
        <v>CancelCancel</v>
      </c>
      <c r="AQ325" s="28" t="str">
        <f t="shared" si="98"/>
        <v>CancelCancelRMB</v>
      </c>
      <c r="AR325" s="206" t="str">
        <f t="shared" si="99"/>
        <v>YAMAHA_Mounter</v>
      </c>
      <c r="AS325" s="22" t="str">
        <f t="shared" si="100"/>
        <v/>
      </c>
      <c r="AT325" s="24" t="str">
        <f t="shared" si="101"/>
        <v/>
      </c>
      <c r="AU325" s="22" t="s">
        <v>3750</v>
      </c>
    </row>
    <row r="326" spans="1:47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si="104"/>
        <v>499582152.5142017</v>
      </c>
      <c r="AJ326" s="19">
        <f t="shared" si="105"/>
        <v>59520528.679470733</v>
      </c>
      <c r="AK326" s="20">
        <f t="shared" ref="AK326:AK389" si="115">IF(AJ326&gt;0,AJ326/AI326,"")</f>
        <v>0.11914062257814291</v>
      </c>
      <c r="AL326" s="17"/>
      <c r="AM326" s="17"/>
      <c r="AN326" s="17"/>
      <c r="AO326" s="17"/>
      <c r="AP326" s="28" t="str">
        <f t="shared" ref="AP326:AP389" si="116">IF(F326="","",F326&amp;G326)</f>
        <v>CancelCancel</v>
      </c>
      <c r="AQ326" s="28" t="str">
        <f t="shared" ref="AQ326:AQ389" si="117">IF(W326="","",F326&amp;G326&amp;W326)</f>
        <v>CancelCancelRMB</v>
      </c>
      <c r="AR326" s="206" t="str">
        <f t="shared" ref="AR326:AR389" si="118">IFERROR(IF(AND(M326="YAMAHA", R326="C28"), "YAMAHA_Non_Mounter", IF(AND(M326="YAMAHA", R326="C49"), "YAMAHA_Mounter", M326)),"")</f>
        <v>YAMAHA_Mounter</v>
      </c>
      <c r="AS326" s="22" t="str">
        <f t="shared" ref="AS326:AS389" si="119">IFERROR(IF(OR(G326="TBA", G326=""), "", DATEDIF(DATE(B326, C326, 1), DATE(F326, G326, 1), "M")),"")</f>
        <v/>
      </c>
      <c r="AT326" s="24" t="str">
        <f t="shared" ref="AT326:AT389" si="120">IF(ISNUMBER(AS326), IF(AS326&gt;=0, IF(AS326&lt;=3, "0-3 months", IF(AS326&lt;=6, "4-6 months", "&gt; 6 months"))), "")</f>
        <v/>
      </c>
      <c r="AU326" s="22" t="s">
        <v>3750</v>
      </c>
    </row>
    <row r="327" spans="1:47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110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04"/>
        <v>26407088.359292038</v>
      </c>
      <c r="AJ327" s="19">
        <f t="shared" si="105"/>
        <v>3424510.6998470789</v>
      </c>
      <c r="AK327" s="20">
        <f t="shared" si="115"/>
        <v>0.12968149510667554</v>
      </c>
      <c r="AL327" s="17"/>
      <c r="AM327" s="17"/>
      <c r="AN327" s="17"/>
      <c r="AO327" s="17"/>
      <c r="AP327" s="28" t="str">
        <f t="shared" si="116"/>
        <v>20221</v>
      </c>
      <c r="AQ327" s="28" t="str">
        <f t="shared" si="117"/>
        <v>20221JPY</v>
      </c>
      <c r="AR327" s="206" t="str">
        <f t="shared" si="118"/>
        <v>YAMAHA_Mounter</v>
      </c>
      <c r="AS327" s="22">
        <f t="shared" si="119"/>
        <v>4</v>
      </c>
      <c r="AT327" s="24" t="str">
        <f t="shared" si="120"/>
        <v>4-6 months</v>
      </c>
      <c r="AU327" s="22" t="s">
        <v>3745</v>
      </c>
    </row>
    <row r="328" spans="1:47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110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04"/>
        <v>31097187.02948761</v>
      </c>
      <c r="AJ328" s="19">
        <f t="shared" si="105"/>
        <v>3892353.6644401965</v>
      </c>
      <c r="AK328" s="20">
        <f t="shared" si="115"/>
        <v>0.12516738767237401</v>
      </c>
      <c r="AL328" s="17"/>
      <c r="AM328" s="17"/>
      <c r="AN328" s="17"/>
      <c r="AO328" s="17"/>
      <c r="AP328" s="28" t="str">
        <f t="shared" si="116"/>
        <v>20212</v>
      </c>
      <c r="AQ328" s="28" t="str">
        <f t="shared" si="117"/>
        <v>20212RMB</v>
      </c>
      <c r="AR328" s="206" t="str">
        <f t="shared" si="118"/>
        <v>YAMAHA_Mounter</v>
      </c>
      <c r="AS328" s="22">
        <f t="shared" si="119"/>
        <v>2</v>
      </c>
      <c r="AT328" s="24" t="str">
        <f t="shared" si="120"/>
        <v>0-3 months</v>
      </c>
      <c r="AU328" s="22" t="s">
        <v>3240</v>
      </c>
    </row>
    <row r="329" spans="1:47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110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04"/>
        <v>31097187.02948761</v>
      </c>
      <c r="AJ329" s="19">
        <f t="shared" si="105"/>
        <v>3892353.6644401965</v>
      </c>
      <c r="AK329" s="20">
        <f t="shared" si="115"/>
        <v>0.12516738767237401</v>
      </c>
      <c r="AL329" s="17"/>
      <c r="AM329" s="17"/>
      <c r="AN329" s="17"/>
      <c r="AO329" s="17"/>
      <c r="AP329" s="28" t="str">
        <f t="shared" si="116"/>
        <v>20212</v>
      </c>
      <c r="AQ329" s="28" t="str">
        <f t="shared" si="117"/>
        <v>20212RMB</v>
      </c>
      <c r="AR329" s="206" t="str">
        <f t="shared" si="118"/>
        <v>YAMAHA_Mounter</v>
      </c>
      <c r="AS329" s="22">
        <f t="shared" si="119"/>
        <v>2</v>
      </c>
      <c r="AT329" s="24" t="str">
        <f t="shared" si="120"/>
        <v>0-3 months</v>
      </c>
      <c r="AU329" s="22" t="s">
        <v>3240</v>
      </c>
    </row>
    <row r="330" spans="1:47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110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04"/>
        <v>31097187.02948761</v>
      </c>
      <c r="AJ330" s="19">
        <f t="shared" si="105"/>
        <v>3892353.6644401965</v>
      </c>
      <c r="AK330" s="20">
        <f t="shared" si="115"/>
        <v>0.12516738767237401</v>
      </c>
      <c r="AL330" s="17"/>
      <c r="AM330" s="17"/>
      <c r="AN330" s="17"/>
      <c r="AO330" s="17"/>
      <c r="AP330" s="28" t="str">
        <f t="shared" si="116"/>
        <v>20212</v>
      </c>
      <c r="AQ330" s="28" t="str">
        <f t="shared" si="117"/>
        <v>20212RMB</v>
      </c>
      <c r="AR330" s="206" t="str">
        <f t="shared" si="118"/>
        <v>YAMAHA_Mounter</v>
      </c>
      <c r="AS330" s="22">
        <f t="shared" si="119"/>
        <v>2</v>
      </c>
      <c r="AT330" s="24" t="str">
        <f t="shared" si="120"/>
        <v>0-3 months</v>
      </c>
      <c r="AU330" s="22" t="s">
        <v>3240</v>
      </c>
    </row>
    <row r="331" spans="1:47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110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04"/>
        <v>31097187.02948761</v>
      </c>
      <c r="AJ331" s="19">
        <f t="shared" si="105"/>
        <v>3892353.6644401965</v>
      </c>
      <c r="AK331" s="20">
        <f t="shared" si="115"/>
        <v>0.12516738767237401</v>
      </c>
      <c r="AL331" s="17"/>
      <c r="AM331" s="17"/>
      <c r="AN331" s="17"/>
      <c r="AO331" s="17"/>
      <c r="AP331" s="28" t="str">
        <f t="shared" si="116"/>
        <v>20212</v>
      </c>
      <c r="AQ331" s="28" t="str">
        <f t="shared" si="117"/>
        <v>20212RMB</v>
      </c>
      <c r="AR331" s="206" t="str">
        <f t="shared" si="118"/>
        <v>YAMAHA_Mounter</v>
      </c>
      <c r="AS331" s="22">
        <f t="shared" si="119"/>
        <v>2</v>
      </c>
      <c r="AT331" s="24" t="str">
        <f t="shared" si="120"/>
        <v>0-3 months</v>
      </c>
      <c r="AU331" s="22" t="s">
        <v>3240</v>
      </c>
    </row>
    <row r="332" spans="1:47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110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04"/>
        <v>31097187.02948761</v>
      </c>
      <c r="AJ332" s="19">
        <f t="shared" si="105"/>
        <v>3892353.6644401965</v>
      </c>
      <c r="AK332" s="20">
        <f t="shared" si="115"/>
        <v>0.12516738767237401</v>
      </c>
      <c r="AL332" s="17"/>
      <c r="AM332" s="17"/>
      <c r="AN332" s="17"/>
      <c r="AO332" s="17"/>
      <c r="AP332" s="28" t="str">
        <f t="shared" si="116"/>
        <v>20212</v>
      </c>
      <c r="AQ332" s="28" t="str">
        <f t="shared" si="117"/>
        <v>20212RMB</v>
      </c>
      <c r="AR332" s="206" t="str">
        <f t="shared" si="118"/>
        <v>YAMAHA_Mounter</v>
      </c>
      <c r="AS332" s="22">
        <f t="shared" si="119"/>
        <v>2</v>
      </c>
      <c r="AT332" s="24" t="str">
        <f t="shared" si="120"/>
        <v>0-3 months</v>
      </c>
      <c r="AU332" s="22" t="s">
        <v>3240</v>
      </c>
    </row>
    <row r="333" spans="1:47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110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04"/>
        <v>57778307.282035396</v>
      </c>
      <c r="AJ333" s="19">
        <f t="shared" si="105"/>
        <v>7259860.7225420559</v>
      </c>
      <c r="AK333" s="20">
        <f t="shared" si="115"/>
        <v>0.12565028406083667</v>
      </c>
      <c r="AL333" s="17"/>
      <c r="AM333" s="17"/>
      <c r="AN333" s="17"/>
      <c r="AO333" s="17"/>
      <c r="AP333" s="28" t="str">
        <f t="shared" si="116"/>
        <v>20213</v>
      </c>
      <c r="AQ333" s="28" t="str">
        <f t="shared" si="117"/>
        <v>20213RMB</v>
      </c>
      <c r="AR333" s="206" t="str">
        <f t="shared" si="118"/>
        <v>YAMAHA_Mounter</v>
      </c>
      <c r="AS333" s="22">
        <f t="shared" si="119"/>
        <v>3</v>
      </c>
      <c r="AT333" s="24" t="str">
        <f t="shared" si="120"/>
        <v>0-3 months</v>
      </c>
      <c r="AU333" s="22" t="s">
        <v>3240</v>
      </c>
    </row>
    <row r="334" spans="1:47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110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04"/>
        <v>36480247.665929198</v>
      </c>
      <c r="AJ334" s="19">
        <f t="shared" si="105"/>
        <v>5330996.6372757526</v>
      </c>
      <c r="AK334" s="20">
        <f t="shared" si="115"/>
        <v>0.14613378412599562</v>
      </c>
      <c r="AL334" s="17"/>
      <c r="AM334" s="17"/>
      <c r="AN334" s="17"/>
      <c r="AO334" s="17"/>
      <c r="AP334" s="28" t="str">
        <f t="shared" si="116"/>
        <v>20227</v>
      </c>
      <c r="AQ334" s="28" t="str">
        <f t="shared" si="117"/>
        <v>20227JPY</v>
      </c>
      <c r="AR334" s="206" t="str">
        <f t="shared" si="118"/>
        <v>YAMAHA_Mounter</v>
      </c>
      <c r="AS334" s="22">
        <f t="shared" si="119"/>
        <v>4</v>
      </c>
      <c r="AT334" s="24" t="str">
        <f t="shared" si="120"/>
        <v>4-6 months</v>
      </c>
      <c r="AU334" s="22" t="s">
        <v>3744</v>
      </c>
    </row>
    <row r="335" spans="1:47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110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04"/>
        <v>15951056.41591504</v>
      </c>
      <c r="AJ335" s="19">
        <f t="shared" si="105"/>
        <v>1966354.6022462982</v>
      </c>
      <c r="AK335" s="20">
        <f t="shared" si="115"/>
        <v>0.12327425538313459</v>
      </c>
      <c r="AL335" s="17"/>
      <c r="AM335" s="17"/>
      <c r="AN335" s="17"/>
      <c r="AO335" s="17"/>
      <c r="AP335" s="28" t="str">
        <f t="shared" si="116"/>
        <v>20237</v>
      </c>
      <c r="AQ335" s="28" t="str">
        <f t="shared" si="117"/>
        <v>20237JPY</v>
      </c>
      <c r="AR335" s="206" t="str">
        <f t="shared" si="118"/>
        <v>YAMAHA_Mounter</v>
      </c>
      <c r="AS335" s="22">
        <f t="shared" si="119"/>
        <v>1</v>
      </c>
      <c r="AT335" s="24" t="str">
        <f t="shared" si="120"/>
        <v>0-3 months</v>
      </c>
      <c r="AU335" s="22" t="s">
        <v>3744</v>
      </c>
    </row>
    <row r="336" spans="1:47" s="12" customFormat="1">
      <c r="A336" s="33" t="str">
        <f t="shared" si="107"/>
        <v>cancel</v>
      </c>
      <c r="B336" s="152"/>
      <c r="C336" s="152" t="s">
        <v>185</v>
      </c>
      <c r="D336" s="33" t="str">
        <f t="shared" si="108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109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110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04"/>
        <v>499582152.5142017</v>
      </c>
      <c r="AJ336" s="19">
        <f t="shared" si="105"/>
        <v>59520528.679470733</v>
      </c>
      <c r="AK336" s="20">
        <f t="shared" si="115"/>
        <v>0.11914062257814291</v>
      </c>
      <c r="AL336" s="17"/>
      <c r="AM336" s="17"/>
      <c r="AN336" s="17"/>
      <c r="AO336" s="17"/>
      <c r="AP336" s="28" t="str">
        <f t="shared" si="116"/>
        <v>CancelCancel</v>
      </c>
      <c r="AQ336" s="28" t="str">
        <f t="shared" si="117"/>
        <v>CancelCancelRMB</v>
      </c>
      <c r="AR336" s="206" t="str">
        <f t="shared" si="118"/>
        <v>YAMAHA_Mounter</v>
      </c>
      <c r="AS336" s="22" t="str">
        <f t="shared" si="119"/>
        <v/>
      </c>
      <c r="AT336" s="24" t="str">
        <f t="shared" si="120"/>
        <v/>
      </c>
      <c r="AU336" s="22" t="s">
        <v>3750</v>
      </c>
    </row>
    <row r="337" spans="1:47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110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04"/>
        <v>26754147.763010349</v>
      </c>
      <c r="AJ337" s="19">
        <f t="shared" si="105"/>
        <v>3429137.9965357962</v>
      </c>
      <c r="AK337" s="20">
        <f t="shared" si="115"/>
        <v>0.12817220069617921</v>
      </c>
      <c r="AL337" s="17"/>
      <c r="AM337" s="17"/>
      <c r="AN337" s="17"/>
      <c r="AO337" s="17"/>
      <c r="AP337" s="28" t="str">
        <f t="shared" si="116"/>
        <v>20188</v>
      </c>
      <c r="AQ337" s="28" t="str">
        <f t="shared" si="117"/>
        <v>20188JPY</v>
      </c>
      <c r="AR337" s="206" t="str">
        <f t="shared" si="118"/>
        <v>YAMAHA_Mounter</v>
      </c>
      <c r="AS337" s="22">
        <f t="shared" si="119"/>
        <v>7</v>
      </c>
      <c r="AT337" s="24" t="str">
        <f t="shared" si="120"/>
        <v>&gt; 6 months</v>
      </c>
      <c r="AU337" s="22" t="s">
        <v>3745</v>
      </c>
    </row>
    <row r="338" spans="1:47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110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04"/>
        <v>21386017.707964607</v>
      </c>
      <c r="AJ338" s="19">
        <f t="shared" si="105"/>
        <v>2238764.3265707968</v>
      </c>
      <c r="AK338" s="20">
        <f t="shared" si="115"/>
        <v>0.10468355339185161</v>
      </c>
      <c r="AL338" s="17"/>
      <c r="AM338" s="17"/>
      <c r="AN338" s="17"/>
      <c r="AO338" s="17"/>
      <c r="AP338" s="28" t="str">
        <f t="shared" si="116"/>
        <v>20198</v>
      </c>
      <c r="AQ338" s="28" t="str">
        <f t="shared" si="117"/>
        <v>20198RMB</v>
      </c>
      <c r="AR338" s="206" t="str">
        <f t="shared" si="118"/>
        <v>YAMAHA_Mounter</v>
      </c>
      <c r="AS338" s="22">
        <f t="shared" si="119"/>
        <v>0</v>
      </c>
      <c r="AT338" s="24" t="str">
        <f t="shared" si="120"/>
        <v>0-3 months</v>
      </c>
      <c r="AU338" s="22" t="s">
        <v>3743</v>
      </c>
    </row>
    <row r="339" spans="1:47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110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04"/>
        <v>37969334.083628319</v>
      </c>
      <c r="AJ339" s="19">
        <f t="shared" si="105"/>
        <v>5097226.4551657084</v>
      </c>
      <c r="AK339" s="20">
        <f t="shared" si="115"/>
        <v>0.13424587441904964</v>
      </c>
      <c r="AL339" s="17"/>
      <c r="AM339" s="17"/>
      <c r="AN339" s="17"/>
      <c r="AO339" s="17"/>
      <c r="AP339" s="28" t="str">
        <f t="shared" si="116"/>
        <v>20208</v>
      </c>
      <c r="AQ339" s="28" t="str">
        <f t="shared" si="117"/>
        <v>20208JPY</v>
      </c>
      <c r="AR339" s="206" t="str">
        <f t="shared" si="118"/>
        <v>YAMAHA_Mounter</v>
      </c>
      <c r="AS339" s="22">
        <f t="shared" si="119"/>
        <v>1</v>
      </c>
      <c r="AT339" s="24" t="str">
        <f t="shared" si="120"/>
        <v>0-3 months</v>
      </c>
      <c r="AU339" s="22" t="s">
        <v>3744</v>
      </c>
    </row>
    <row r="340" spans="1:47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110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04"/>
        <v>28065694.408805311</v>
      </c>
      <c r="AJ340" s="19">
        <f t="shared" si="105"/>
        <v>4157433.2906989697</v>
      </c>
      <c r="AK340" s="20">
        <f t="shared" si="115"/>
        <v>0.14813220831602228</v>
      </c>
      <c r="AL340" s="17"/>
      <c r="AM340" s="17"/>
      <c r="AN340" s="17"/>
      <c r="AO340" s="17"/>
      <c r="AP340" s="28" t="str">
        <f t="shared" si="116"/>
        <v>20205</v>
      </c>
      <c r="AQ340" s="28" t="str">
        <f t="shared" si="117"/>
        <v>20205JPY</v>
      </c>
      <c r="AR340" s="206" t="str">
        <f t="shared" si="118"/>
        <v>YAMAHA_Mounter</v>
      </c>
      <c r="AS340" s="22">
        <f t="shared" si="119"/>
        <v>1</v>
      </c>
      <c r="AT340" s="24" t="str">
        <f t="shared" si="120"/>
        <v>0-3 months</v>
      </c>
      <c r="AU340" s="22" t="s">
        <v>3744</v>
      </c>
    </row>
    <row r="341" spans="1:47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110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04"/>
        <v>31017966.201968137</v>
      </c>
      <c r="AJ341" s="19">
        <f t="shared" si="105"/>
        <v>4704250.3347305888</v>
      </c>
      <c r="AK341" s="20">
        <f t="shared" si="115"/>
        <v>0.15166211427595458</v>
      </c>
      <c r="AL341" s="17"/>
      <c r="AM341" s="17"/>
      <c r="AN341" s="17"/>
      <c r="AO341" s="17"/>
      <c r="AP341" s="28" t="str">
        <f t="shared" si="116"/>
        <v>202211</v>
      </c>
      <c r="AQ341" s="28" t="str">
        <f t="shared" si="117"/>
        <v>202211RMB</v>
      </c>
      <c r="AR341" s="206" t="str">
        <f t="shared" si="118"/>
        <v>YAMAHA_Mounter</v>
      </c>
      <c r="AS341" s="22">
        <f t="shared" si="119"/>
        <v>1</v>
      </c>
      <c r="AT341" s="24" t="str">
        <f t="shared" si="120"/>
        <v>0-3 months</v>
      </c>
      <c r="AU341" s="22" t="s">
        <v>3750</v>
      </c>
    </row>
    <row r="342" spans="1:47" s="12" customFormat="1">
      <c r="A342" s="33" t="str">
        <f t="shared" si="107"/>
        <v/>
      </c>
      <c r="B342" s="152" t="s">
        <v>2584</v>
      </c>
      <c r="C342" s="152" t="s">
        <v>2584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109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110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04"/>
        <v>19242877.433628317</v>
      </c>
      <c r="AJ342" s="19">
        <f t="shared" si="105"/>
        <v>2240020.1770353983</v>
      </c>
      <c r="AK342" s="20">
        <f t="shared" si="115"/>
        <v>0.11640775579232249</v>
      </c>
      <c r="AL342" s="17"/>
      <c r="AM342" s="17"/>
      <c r="AN342" s="17"/>
      <c r="AO342" s="17"/>
      <c r="AP342" s="28" t="str">
        <f t="shared" si="116"/>
        <v>TBATBA</v>
      </c>
      <c r="AQ342" s="28" t="str">
        <f t="shared" si="117"/>
        <v>TBATBARMB</v>
      </c>
      <c r="AR342" s="206" t="str">
        <f t="shared" si="118"/>
        <v>YAMAHA_Mounter</v>
      </c>
      <c r="AS342" s="22" t="str">
        <f t="shared" si="119"/>
        <v/>
      </c>
      <c r="AT342" s="24" t="str">
        <f t="shared" si="120"/>
        <v/>
      </c>
      <c r="AU342" s="22" t="s">
        <v>3240</v>
      </c>
    </row>
    <row r="343" spans="1:47" s="12" customFormat="1">
      <c r="A343" s="33" t="str">
        <f t="shared" si="107"/>
        <v/>
      </c>
      <c r="B343" s="152" t="s">
        <v>2584</v>
      </c>
      <c r="C343" s="152" t="s">
        <v>2584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109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110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04"/>
        <v>19242877.433628317</v>
      </c>
      <c r="AJ343" s="19">
        <f t="shared" si="105"/>
        <v>2240020.1770353983</v>
      </c>
      <c r="AK343" s="20">
        <f t="shared" si="115"/>
        <v>0.11640775579232249</v>
      </c>
      <c r="AL343" s="17"/>
      <c r="AM343" s="17"/>
      <c r="AN343" s="17"/>
      <c r="AO343" s="17"/>
      <c r="AP343" s="28" t="str">
        <f t="shared" si="116"/>
        <v>TBATBA</v>
      </c>
      <c r="AQ343" s="28" t="str">
        <f t="shared" si="117"/>
        <v>TBATBARMB</v>
      </c>
      <c r="AR343" s="206" t="str">
        <f t="shared" si="118"/>
        <v>YAMAHA_Mounter</v>
      </c>
      <c r="AS343" s="22" t="str">
        <f t="shared" si="119"/>
        <v/>
      </c>
      <c r="AT343" s="24" t="str">
        <f t="shared" si="120"/>
        <v/>
      </c>
      <c r="AU343" s="22" t="s">
        <v>3240</v>
      </c>
    </row>
    <row r="344" spans="1:47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110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04"/>
        <v>37599388.802345134</v>
      </c>
      <c r="AJ344" s="19">
        <f t="shared" si="105"/>
        <v>4866784.3630338367</v>
      </c>
      <c r="AK344" s="20">
        <f t="shared" si="115"/>
        <v>0.12943785838163113</v>
      </c>
      <c r="AL344" s="17"/>
      <c r="AM344" s="17"/>
      <c r="AN344" s="17"/>
      <c r="AO344" s="17"/>
      <c r="AP344" s="28" t="str">
        <f t="shared" si="116"/>
        <v>20199</v>
      </c>
      <c r="AQ344" s="28" t="str">
        <f t="shared" si="117"/>
        <v>20199RMB</v>
      </c>
      <c r="AR344" s="206" t="str">
        <f t="shared" si="118"/>
        <v>HELLER</v>
      </c>
      <c r="AS344" s="22">
        <f t="shared" si="119"/>
        <v>2</v>
      </c>
      <c r="AT344" s="24" t="str">
        <f t="shared" si="120"/>
        <v>0-3 months</v>
      </c>
      <c r="AU344" s="22" t="s">
        <v>3240</v>
      </c>
    </row>
    <row r="345" spans="1:47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110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04"/>
        <v>28647263.974455759</v>
      </c>
      <c r="AJ345" s="19">
        <f t="shared" si="105"/>
        <v>3219855.6912513468</v>
      </c>
      <c r="AK345" s="20">
        <f t="shared" si="115"/>
        <v>0.11239662168514358</v>
      </c>
      <c r="AL345" s="17"/>
      <c r="AM345" s="17"/>
      <c r="AN345" s="17"/>
      <c r="AO345" s="17"/>
      <c r="AP345" s="28" t="str">
        <f t="shared" si="116"/>
        <v>201910</v>
      </c>
      <c r="AQ345" s="28" t="str">
        <f t="shared" si="117"/>
        <v>201910RMB</v>
      </c>
      <c r="AR345" s="206" t="str">
        <f t="shared" si="118"/>
        <v>YAMAHA_Mounter</v>
      </c>
      <c r="AS345" s="22">
        <f t="shared" si="119"/>
        <v>1</v>
      </c>
      <c r="AT345" s="24" t="str">
        <f t="shared" si="120"/>
        <v>0-3 months</v>
      </c>
      <c r="AU345" s="22" t="s">
        <v>3240</v>
      </c>
    </row>
    <row r="346" spans="1:47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110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04"/>
        <v>28647263.974455759</v>
      </c>
      <c r="AJ346" s="19">
        <f t="shared" si="105"/>
        <v>3219855.6912513468</v>
      </c>
      <c r="AK346" s="20">
        <f t="shared" si="115"/>
        <v>0.11239662168514358</v>
      </c>
      <c r="AL346" s="17"/>
      <c r="AM346" s="17"/>
      <c r="AN346" s="17"/>
      <c r="AO346" s="17"/>
      <c r="AP346" s="28" t="str">
        <f t="shared" si="116"/>
        <v>201910</v>
      </c>
      <c r="AQ346" s="28" t="str">
        <f t="shared" si="117"/>
        <v>201910RMB</v>
      </c>
      <c r="AR346" s="206" t="str">
        <f t="shared" si="118"/>
        <v>YAMAHA_Mounter</v>
      </c>
      <c r="AS346" s="22">
        <f t="shared" si="119"/>
        <v>1</v>
      </c>
      <c r="AT346" s="24" t="str">
        <f t="shared" si="120"/>
        <v>0-3 months</v>
      </c>
      <c r="AU346" s="22" t="s">
        <v>3240</v>
      </c>
    </row>
    <row r="347" spans="1:47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110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04"/>
        <v>28647263.974455759</v>
      </c>
      <c r="AJ347" s="19">
        <f t="shared" si="105"/>
        <v>3219855.6912513468</v>
      </c>
      <c r="AK347" s="20">
        <f t="shared" si="115"/>
        <v>0.11239662168514358</v>
      </c>
      <c r="AL347" s="17"/>
      <c r="AM347" s="17"/>
      <c r="AN347" s="17"/>
      <c r="AO347" s="17"/>
      <c r="AP347" s="28" t="str">
        <f t="shared" si="116"/>
        <v>201910</v>
      </c>
      <c r="AQ347" s="28" t="str">
        <f t="shared" si="117"/>
        <v>201910RMB</v>
      </c>
      <c r="AR347" s="206" t="str">
        <f t="shared" si="118"/>
        <v>YAMAHA_Mounter</v>
      </c>
      <c r="AS347" s="22">
        <f t="shared" si="119"/>
        <v>1</v>
      </c>
      <c r="AT347" s="24" t="str">
        <f t="shared" si="120"/>
        <v>0-3 months</v>
      </c>
      <c r="AU347" s="22" t="s">
        <v>3240</v>
      </c>
    </row>
    <row r="348" spans="1:47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110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04"/>
        <v>37599388.802345134</v>
      </c>
      <c r="AJ348" s="19">
        <f t="shared" si="105"/>
        <v>4866784.3630338367</v>
      </c>
      <c r="AK348" s="20">
        <f t="shared" si="115"/>
        <v>0.12943785838163113</v>
      </c>
      <c r="AL348" s="17"/>
      <c r="AM348" s="17"/>
      <c r="AN348" s="17"/>
      <c r="AO348" s="17"/>
      <c r="AP348" s="28" t="str">
        <f t="shared" si="116"/>
        <v>20199</v>
      </c>
      <c r="AQ348" s="28" t="str">
        <f t="shared" si="117"/>
        <v>20199RMB</v>
      </c>
      <c r="AR348" s="206" t="str">
        <f t="shared" si="118"/>
        <v>YAMAHA_Mounter</v>
      </c>
      <c r="AS348" s="22">
        <f t="shared" si="119"/>
        <v>1</v>
      </c>
      <c r="AT348" s="24" t="str">
        <f t="shared" si="120"/>
        <v>0-3 months</v>
      </c>
      <c r="AU348" s="22" t="s">
        <v>3240</v>
      </c>
    </row>
    <row r="349" spans="1:47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110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04"/>
        <v>37599388.802345134</v>
      </c>
      <c r="AJ349" s="19">
        <f t="shared" si="105"/>
        <v>4866784.3630338367</v>
      </c>
      <c r="AK349" s="20">
        <f t="shared" si="115"/>
        <v>0.12943785838163113</v>
      </c>
      <c r="AL349" s="17"/>
      <c r="AM349" s="17"/>
      <c r="AN349" s="17"/>
      <c r="AO349" s="17"/>
      <c r="AP349" s="28" t="str">
        <f t="shared" si="116"/>
        <v>20199</v>
      </c>
      <c r="AQ349" s="28" t="str">
        <f t="shared" si="117"/>
        <v>20199RMB</v>
      </c>
      <c r="AR349" s="206" t="str">
        <f t="shared" si="118"/>
        <v>YAMAHA_Mounter</v>
      </c>
      <c r="AS349" s="22">
        <f t="shared" si="119"/>
        <v>1</v>
      </c>
      <c r="AT349" s="24" t="str">
        <f t="shared" si="120"/>
        <v>0-3 months</v>
      </c>
      <c r="AU349" s="22" t="s">
        <v>3240</v>
      </c>
    </row>
    <row r="350" spans="1:47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110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04"/>
        <v>37599388.802345134</v>
      </c>
      <c r="AJ350" s="19">
        <f t="shared" si="105"/>
        <v>4866784.3630338367</v>
      </c>
      <c r="AK350" s="20">
        <f t="shared" si="115"/>
        <v>0.12943785838163113</v>
      </c>
      <c r="AL350" s="17"/>
      <c r="AM350" s="17"/>
      <c r="AN350" s="17"/>
      <c r="AO350" s="17"/>
      <c r="AP350" s="28" t="str">
        <f t="shared" si="116"/>
        <v>20199</v>
      </c>
      <c r="AQ350" s="28" t="str">
        <f t="shared" si="117"/>
        <v>20199RMB</v>
      </c>
      <c r="AR350" s="206" t="str">
        <f t="shared" si="118"/>
        <v>YAMAHA_Mounter</v>
      </c>
      <c r="AS350" s="22">
        <f t="shared" si="119"/>
        <v>1</v>
      </c>
      <c r="AT350" s="24" t="str">
        <f t="shared" si="120"/>
        <v>0-3 months</v>
      </c>
      <c r="AU350" s="22" t="s">
        <v>3240</v>
      </c>
    </row>
    <row r="351" spans="1:47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109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110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04"/>
        <v>499582152.5142017</v>
      </c>
      <c r="AJ351" s="19">
        <f t="shared" si="105"/>
        <v>59520528.679470733</v>
      </c>
      <c r="AK351" s="20">
        <f t="shared" si="115"/>
        <v>0.11914062257814291</v>
      </c>
      <c r="AL351" s="17"/>
      <c r="AM351" s="17"/>
      <c r="AN351" s="17"/>
      <c r="AO351" s="17"/>
      <c r="AP351" s="28" t="str">
        <f t="shared" si="116"/>
        <v>CancelCANCEL</v>
      </c>
      <c r="AQ351" s="28" t="str">
        <f t="shared" si="117"/>
        <v>CancelCANCELRMB</v>
      </c>
      <c r="AR351" s="206" t="str">
        <f t="shared" si="118"/>
        <v>YAMAHA_Mounter</v>
      </c>
      <c r="AS351" s="22" t="str">
        <f t="shared" si="119"/>
        <v/>
      </c>
      <c r="AT351" s="24" t="str">
        <f t="shared" si="120"/>
        <v/>
      </c>
      <c r="AU351" s="22" t="s">
        <v>3240</v>
      </c>
    </row>
    <row r="352" spans="1:47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110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04"/>
        <v>44014086.982070789</v>
      </c>
      <c r="AJ352" s="19">
        <f t="shared" si="105"/>
        <v>6419974.0221889298</v>
      </c>
      <c r="AK352" s="20">
        <f t="shared" si="115"/>
        <v>0.14586180158193709</v>
      </c>
      <c r="AL352" s="17"/>
      <c r="AM352" s="17"/>
      <c r="AN352" s="17"/>
      <c r="AO352" s="17"/>
      <c r="AP352" s="28" t="str">
        <f t="shared" si="116"/>
        <v>20225</v>
      </c>
      <c r="AQ352" s="28" t="str">
        <f t="shared" si="117"/>
        <v>20225RMB</v>
      </c>
      <c r="AR352" s="206" t="str">
        <f t="shared" si="118"/>
        <v>YAMAHA_Mounter</v>
      </c>
      <c r="AS352" s="22">
        <f t="shared" si="119"/>
        <v>4</v>
      </c>
      <c r="AT352" s="24" t="str">
        <f t="shared" si="120"/>
        <v>4-6 months</v>
      </c>
      <c r="AU352" s="22" t="s">
        <v>3240</v>
      </c>
    </row>
    <row r="353" spans="1:47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109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110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04"/>
        <v>499582152.5142017</v>
      </c>
      <c r="AJ353" s="19">
        <f t="shared" si="105"/>
        <v>59520528.679470733</v>
      </c>
      <c r="AK353" s="20">
        <f t="shared" si="115"/>
        <v>0.11914062257814291</v>
      </c>
      <c r="AL353" s="17"/>
      <c r="AM353" s="17"/>
      <c r="AN353" s="17"/>
      <c r="AO353" s="17"/>
      <c r="AP353" s="28" t="str">
        <f t="shared" si="116"/>
        <v>CancelCANCEL</v>
      </c>
      <c r="AQ353" s="28" t="str">
        <f t="shared" si="117"/>
        <v>CancelCANCELRMB</v>
      </c>
      <c r="AR353" s="206" t="str">
        <f t="shared" si="118"/>
        <v>YAMAHA_Mounter</v>
      </c>
      <c r="AS353" s="22" t="str">
        <f t="shared" si="119"/>
        <v/>
      </c>
      <c r="AT353" s="24" t="str">
        <f t="shared" si="120"/>
        <v/>
      </c>
      <c r="AU353" s="22" t="s">
        <v>3240</v>
      </c>
    </row>
    <row r="354" spans="1:47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109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110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04"/>
        <v>499582152.5142017</v>
      </c>
      <c r="AJ354" s="19">
        <f t="shared" si="105"/>
        <v>59520528.679470733</v>
      </c>
      <c r="AK354" s="20">
        <f t="shared" si="115"/>
        <v>0.11914062257814291</v>
      </c>
      <c r="AL354" s="17"/>
      <c r="AM354" s="17"/>
      <c r="AN354" s="17"/>
      <c r="AO354" s="17"/>
      <c r="AP354" s="28" t="str">
        <f t="shared" si="116"/>
        <v>CancelCANCEL</v>
      </c>
      <c r="AQ354" s="28" t="str">
        <f t="shared" si="117"/>
        <v>CancelCANCELRMB</v>
      </c>
      <c r="AR354" s="206" t="str">
        <f t="shared" si="118"/>
        <v>YAMAHA_Mounter</v>
      </c>
      <c r="AS354" s="22" t="str">
        <f t="shared" si="119"/>
        <v/>
      </c>
      <c r="AT354" s="24" t="str">
        <f t="shared" si="120"/>
        <v/>
      </c>
      <c r="AU354" s="22" t="s">
        <v>3240</v>
      </c>
    </row>
    <row r="355" spans="1:47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110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04"/>
        <v>28647263.974455759</v>
      </c>
      <c r="AJ355" s="19">
        <f t="shared" si="105"/>
        <v>3219855.6912513468</v>
      </c>
      <c r="AK355" s="20">
        <f t="shared" si="115"/>
        <v>0.11239662168514358</v>
      </c>
      <c r="AL355" s="17"/>
      <c r="AM355" s="17"/>
      <c r="AN355" s="17"/>
      <c r="AO355" s="17"/>
      <c r="AP355" s="28" t="str">
        <f t="shared" si="116"/>
        <v>201910</v>
      </c>
      <c r="AQ355" s="28" t="str">
        <f t="shared" si="117"/>
        <v>201910RMB</v>
      </c>
      <c r="AR355" s="206" t="str">
        <f t="shared" si="118"/>
        <v>YAMAHA_Mounter</v>
      </c>
      <c r="AS355" s="22">
        <f t="shared" si="119"/>
        <v>1</v>
      </c>
      <c r="AT355" s="24" t="str">
        <f t="shared" si="120"/>
        <v>0-3 months</v>
      </c>
      <c r="AU355" s="22" t="s">
        <v>3743</v>
      </c>
    </row>
    <row r="356" spans="1:47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110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04"/>
        <v>28647263.974455759</v>
      </c>
      <c r="AJ356" s="19">
        <f t="shared" si="105"/>
        <v>3219855.6912513468</v>
      </c>
      <c r="AK356" s="20">
        <f t="shared" si="115"/>
        <v>0.11239662168514358</v>
      </c>
      <c r="AL356" s="17"/>
      <c r="AM356" s="17"/>
      <c r="AN356" s="17"/>
      <c r="AO356" s="17"/>
      <c r="AP356" s="28" t="str">
        <f t="shared" si="116"/>
        <v>201910</v>
      </c>
      <c r="AQ356" s="28" t="str">
        <f t="shared" si="117"/>
        <v>201910RMB</v>
      </c>
      <c r="AR356" s="206" t="str">
        <f t="shared" si="118"/>
        <v>YAMAHA_Mounter</v>
      </c>
      <c r="AS356" s="22">
        <f t="shared" si="119"/>
        <v>1</v>
      </c>
      <c r="AT356" s="24" t="str">
        <f t="shared" si="120"/>
        <v>0-3 months</v>
      </c>
      <c r="AU356" s="22" t="s">
        <v>3743</v>
      </c>
    </row>
    <row r="357" spans="1:47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110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04"/>
        <v>37599388.802345134</v>
      </c>
      <c r="AJ357" s="19">
        <f t="shared" si="105"/>
        <v>4866784.3630338367</v>
      </c>
      <c r="AK357" s="20">
        <f t="shared" si="115"/>
        <v>0.12943785838163113</v>
      </c>
      <c r="AL357" s="17"/>
      <c r="AM357" s="17"/>
      <c r="AN357" s="17"/>
      <c r="AO357" s="17"/>
      <c r="AP357" s="28" t="str">
        <f t="shared" si="116"/>
        <v>20199</v>
      </c>
      <c r="AQ357" s="28" t="str">
        <f t="shared" si="117"/>
        <v>20199RMB</v>
      </c>
      <c r="AR357" s="206" t="str">
        <f t="shared" si="118"/>
        <v>YAMAHA_Mounter</v>
      </c>
      <c r="AS357" s="22">
        <f t="shared" si="119"/>
        <v>1</v>
      </c>
      <c r="AT357" s="24" t="str">
        <f t="shared" si="120"/>
        <v>0-3 months</v>
      </c>
      <c r="AU357" s="22" t="s">
        <v>3743</v>
      </c>
    </row>
    <row r="358" spans="1:47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110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04"/>
        <v>37599388.802345134</v>
      </c>
      <c r="AJ358" s="19">
        <f t="shared" si="105"/>
        <v>4866784.3630338367</v>
      </c>
      <c r="AK358" s="20">
        <f t="shared" si="115"/>
        <v>0.12943785838163113</v>
      </c>
      <c r="AL358" s="17"/>
      <c r="AM358" s="17"/>
      <c r="AN358" s="17"/>
      <c r="AO358" s="17"/>
      <c r="AP358" s="28" t="str">
        <f t="shared" si="116"/>
        <v>20199</v>
      </c>
      <c r="AQ358" s="28" t="str">
        <f t="shared" si="117"/>
        <v>20199RMB</v>
      </c>
      <c r="AR358" s="206" t="str">
        <f t="shared" si="118"/>
        <v>YAMAHA_Mounter</v>
      </c>
      <c r="AS358" s="22">
        <f t="shared" si="119"/>
        <v>1</v>
      </c>
      <c r="AT358" s="24" t="str">
        <f t="shared" si="120"/>
        <v>0-3 months</v>
      </c>
      <c r="AU358" s="22" t="s">
        <v>3743</v>
      </c>
    </row>
    <row r="359" spans="1:47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110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04"/>
        <v>37599388.802345134</v>
      </c>
      <c r="AJ359" s="19">
        <f t="shared" si="105"/>
        <v>4866784.3630338367</v>
      </c>
      <c r="AK359" s="20">
        <f t="shared" si="115"/>
        <v>0.12943785838163113</v>
      </c>
      <c r="AL359" s="17"/>
      <c r="AM359" s="17"/>
      <c r="AN359" s="17"/>
      <c r="AO359" s="17"/>
      <c r="AP359" s="28" t="str">
        <f t="shared" si="116"/>
        <v>20199</v>
      </c>
      <c r="AQ359" s="28" t="str">
        <f t="shared" si="117"/>
        <v>20199RMB</v>
      </c>
      <c r="AR359" s="206" t="str">
        <f t="shared" si="118"/>
        <v>YAMAHA_Mounter</v>
      </c>
      <c r="AS359" s="22">
        <f t="shared" si="119"/>
        <v>1</v>
      </c>
      <c r="AT359" s="24" t="str">
        <f t="shared" si="120"/>
        <v>0-3 months</v>
      </c>
      <c r="AU359" s="22" t="s">
        <v>3743</v>
      </c>
    </row>
    <row r="360" spans="1:47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110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04"/>
        <v>37599388.802345134</v>
      </c>
      <c r="AJ360" s="19">
        <f t="shared" si="105"/>
        <v>4866784.3630338367</v>
      </c>
      <c r="AK360" s="20">
        <f t="shared" si="115"/>
        <v>0.12943785838163113</v>
      </c>
      <c r="AL360" s="17"/>
      <c r="AM360" s="17"/>
      <c r="AN360" s="17"/>
      <c r="AO360" s="17"/>
      <c r="AP360" s="28" t="str">
        <f t="shared" si="116"/>
        <v>20199</v>
      </c>
      <c r="AQ360" s="28" t="str">
        <f t="shared" si="117"/>
        <v>20199RMB</v>
      </c>
      <c r="AR360" s="206" t="str">
        <f t="shared" si="118"/>
        <v>YAMAHA_Mounter</v>
      </c>
      <c r="AS360" s="22">
        <f t="shared" si="119"/>
        <v>1</v>
      </c>
      <c r="AT360" s="24" t="str">
        <f t="shared" si="120"/>
        <v>0-3 months</v>
      </c>
      <c r="AU360" s="22" t="s">
        <v>3743</v>
      </c>
    </row>
    <row r="361" spans="1:47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110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04"/>
        <v>37599388.802345134</v>
      </c>
      <c r="AJ361" s="19">
        <f t="shared" si="105"/>
        <v>4866784.3630338367</v>
      </c>
      <c r="AK361" s="20">
        <f t="shared" si="115"/>
        <v>0.12943785838163113</v>
      </c>
      <c r="AL361" s="17"/>
      <c r="AM361" s="17"/>
      <c r="AN361" s="17"/>
      <c r="AO361" s="17"/>
      <c r="AP361" s="28" t="str">
        <f t="shared" si="116"/>
        <v>20199</v>
      </c>
      <c r="AQ361" s="28" t="str">
        <f t="shared" si="117"/>
        <v>20199RMB</v>
      </c>
      <c r="AR361" s="206" t="str">
        <f t="shared" si="118"/>
        <v>YAMAHA_Mounter</v>
      </c>
      <c r="AS361" s="22">
        <f t="shared" si="119"/>
        <v>1</v>
      </c>
      <c r="AT361" s="24" t="str">
        <f t="shared" si="120"/>
        <v>0-3 months</v>
      </c>
      <c r="AU361" s="22" t="s">
        <v>3743</v>
      </c>
    </row>
    <row r="362" spans="1:47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110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04"/>
        <v>37599388.802345134</v>
      </c>
      <c r="AJ362" s="19">
        <f t="shared" si="105"/>
        <v>4866784.3630338367</v>
      </c>
      <c r="AK362" s="20">
        <f t="shared" si="115"/>
        <v>0.12943785838163113</v>
      </c>
      <c r="AL362" s="17"/>
      <c r="AM362" s="17"/>
      <c r="AN362" s="17"/>
      <c r="AO362" s="17"/>
      <c r="AP362" s="28" t="str">
        <f t="shared" si="116"/>
        <v>20199</v>
      </c>
      <c r="AQ362" s="28" t="str">
        <f t="shared" si="117"/>
        <v>20199RMB</v>
      </c>
      <c r="AR362" s="206" t="str">
        <f t="shared" si="118"/>
        <v>YAMAHA_Mounter</v>
      </c>
      <c r="AS362" s="22">
        <f t="shared" si="119"/>
        <v>1</v>
      </c>
      <c r="AT362" s="24" t="str">
        <f t="shared" si="120"/>
        <v>0-3 months</v>
      </c>
      <c r="AU362" s="22" t="s">
        <v>3743</v>
      </c>
    </row>
    <row r="363" spans="1:47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110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04"/>
        <v>37599388.802345134</v>
      </c>
      <c r="AJ363" s="19">
        <f t="shared" si="105"/>
        <v>4866784.3630338367</v>
      </c>
      <c r="AK363" s="20">
        <f t="shared" si="115"/>
        <v>0.12943785838163113</v>
      </c>
      <c r="AL363" s="17"/>
      <c r="AM363" s="17"/>
      <c r="AN363" s="17"/>
      <c r="AO363" s="17"/>
      <c r="AP363" s="28" t="str">
        <f t="shared" si="116"/>
        <v>20199</v>
      </c>
      <c r="AQ363" s="28" t="str">
        <f t="shared" si="117"/>
        <v>20199RMB</v>
      </c>
      <c r="AR363" s="206" t="str">
        <f t="shared" si="118"/>
        <v>YAMAHA_Mounter</v>
      </c>
      <c r="AS363" s="22">
        <f t="shared" si="119"/>
        <v>1</v>
      </c>
      <c r="AT363" s="24" t="str">
        <f t="shared" si="120"/>
        <v>0-3 months</v>
      </c>
      <c r="AU363" s="22" t="s">
        <v>3743</v>
      </c>
    </row>
    <row r="364" spans="1:47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110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04"/>
        <v>37599388.802345134</v>
      </c>
      <c r="AJ364" s="19">
        <f t="shared" si="105"/>
        <v>4866784.3630338367</v>
      </c>
      <c r="AK364" s="20">
        <f t="shared" si="115"/>
        <v>0.12943785838163113</v>
      </c>
      <c r="AL364" s="17"/>
      <c r="AM364" s="17"/>
      <c r="AN364" s="17"/>
      <c r="AO364" s="17"/>
      <c r="AP364" s="28" t="str">
        <f t="shared" si="116"/>
        <v>20199</v>
      </c>
      <c r="AQ364" s="28" t="str">
        <f t="shared" si="117"/>
        <v>20199RMB</v>
      </c>
      <c r="AR364" s="206" t="str">
        <f t="shared" si="118"/>
        <v>YAMAHA_Mounter</v>
      </c>
      <c r="AS364" s="22">
        <f t="shared" si="119"/>
        <v>1</v>
      </c>
      <c r="AT364" s="24" t="str">
        <f t="shared" si="120"/>
        <v>0-3 months</v>
      </c>
      <c r="AU364" s="22" t="s">
        <v>3743</v>
      </c>
    </row>
    <row r="365" spans="1:47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110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21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04"/>
        <v>47458373.787610628</v>
      </c>
      <c r="AJ365" s="19">
        <f t="shared" si="105"/>
        <v>7436880.1411522133</v>
      </c>
      <c r="AK365" s="20">
        <f t="shared" si="115"/>
        <v>0.15670322321692506</v>
      </c>
      <c r="AL365" s="17"/>
      <c r="AM365" s="17"/>
      <c r="AN365" s="17"/>
      <c r="AO365" s="17"/>
      <c r="AP365" s="28" t="str">
        <f t="shared" si="116"/>
        <v>20218</v>
      </c>
      <c r="AQ365" s="28" t="str">
        <f t="shared" si="117"/>
        <v>20218JPY</v>
      </c>
      <c r="AR365" s="206" t="str">
        <f t="shared" si="118"/>
        <v>YAMAHA_Mounter</v>
      </c>
      <c r="AS365" s="22">
        <f t="shared" si="119"/>
        <v>2</v>
      </c>
      <c r="AT365" s="24" t="str">
        <f t="shared" si="120"/>
        <v>0-3 months</v>
      </c>
      <c r="AU365" s="22" t="s">
        <v>3744</v>
      </c>
    </row>
    <row r="366" spans="1:47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110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21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04"/>
        <v>47458373.787610628</v>
      </c>
      <c r="AJ366" s="19">
        <f t="shared" si="105"/>
        <v>7436880.1411522133</v>
      </c>
      <c r="AK366" s="20">
        <f t="shared" si="115"/>
        <v>0.15670322321692506</v>
      </c>
      <c r="AL366" s="17"/>
      <c r="AM366" s="17"/>
      <c r="AN366" s="17"/>
      <c r="AO366" s="17"/>
      <c r="AP366" s="28" t="str">
        <f t="shared" si="116"/>
        <v>20218</v>
      </c>
      <c r="AQ366" s="28" t="str">
        <f t="shared" si="117"/>
        <v>20218JPY</v>
      </c>
      <c r="AR366" s="206" t="str">
        <f t="shared" si="118"/>
        <v>YAMAHA_Mounter</v>
      </c>
      <c r="AS366" s="22">
        <f t="shared" si="119"/>
        <v>2</v>
      </c>
      <c r="AT366" s="24" t="str">
        <f t="shared" si="120"/>
        <v>0-3 months</v>
      </c>
      <c r="AU366" s="22" t="s">
        <v>3744</v>
      </c>
    </row>
    <row r="367" spans="1:47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110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21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04"/>
        <v>47458373.787610628</v>
      </c>
      <c r="AJ367" s="19">
        <f t="shared" si="105"/>
        <v>7436880.1411522133</v>
      </c>
      <c r="AK367" s="20">
        <f t="shared" si="115"/>
        <v>0.15670322321692506</v>
      </c>
      <c r="AL367" s="17"/>
      <c r="AM367" s="17"/>
      <c r="AN367" s="17"/>
      <c r="AO367" s="17"/>
      <c r="AP367" s="28" t="str">
        <f t="shared" si="116"/>
        <v>20218</v>
      </c>
      <c r="AQ367" s="28" t="str">
        <f t="shared" si="117"/>
        <v>20218JPY</v>
      </c>
      <c r="AR367" s="206" t="str">
        <f t="shared" si="118"/>
        <v>YAMAHA_Mounter</v>
      </c>
      <c r="AS367" s="22">
        <f t="shared" si="119"/>
        <v>2</v>
      </c>
      <c r="AT367" s="24" t="str">
        <f t="shared" si="120"/>
        <v>0-3 months</v>
      </c>
      <c r="AU367" s="22" t="s">
        <v>3744</v>
      </c>
    </row>
    <row r="368" spans="1:47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110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21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04"/>
        <v>47458373.787610628</v>
      </c>
      <c r="AJ368" s="19">
        <f t="shared" si="105"/>
        <v>7436880.1411522133</v>
      </c>
      <c r="AK368" s="20">
        <f t="shared" si="115"/>
        <v>0.15670322321692506</v>
      </c>
      <c r="AL368" s="17"/>
      <c r="AM368" s="17"/>
      <c r="AN368" s="17"/>
      <c r="AO368" s="17"/>
      <c r="AP368" s="28" t="str">
        <f t="shared" si="116"/>
        <v>20218</v>
      </c>
      <c r="AQ368" s="28" t="str">
        <f t="shared" si="117"/>
        <v>20218JPY</v>
      </c>
      <c r="AR368" s="206" t="str">
        <f t="shared" si="118"/>
        <v>YAMAHA_Mounter</v>
      </c>
      <c r="AS368" s="22">
        <f t="shared" si="119"/>
        <v>2</v>
      </c>
      <c r="AT368" s="24" t="str">
        <f t="shared" si="120"/>
        <v>0-3 months</v>
      </c>
      <c r="AU368" s="22" t="s">
        <v>3744</v>
      </c>
    </row>
    <row r="369" spans="1:47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110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21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04"/>
        <v>29500529.005044252</v>
      </c>
      <c r="AJ369" s="19">
        <f t="shared" si="105"/>
        <v>3253064.846231177</v>
      </c>
      <c r="AK369" s="20">
        <f t="shared" si="115"/>
        <v>0.11027140718984871</v>
      </c>
      <c r="AL369" s="17"/>
      <c r="AM369" s="17"/>
      <c r="AN369" s="17"/>
      <c r="AO369" s="17"/>
      <c r="AP369" s="28" t="str">
        <f t="shared" si="116"/>
        <v>202111</v>
      </c>
      <c r="AQ369" s="28" t="str">
        <f t="shared" si="117"/>
        <v>202111JPY</v>
      </c>
      <c r="AR369" s="206" t="str">
        <f t="shared" si="118"/>
        <v>YAMAHA_Mounter</v>
      </c>
      <c r="AS369" s="22">
        <f t="shared" si="119"/>
        <v>5</v>
      </c>
      <c r="AT369" s="24" t="str">
        <f t="shared" si="120"/>
        <v>4-6 months</v>
      </c>
      <c r="AU369" s="22" t="s">
        <v>3744</v>
      </c>
    </row>
    <row r="370" spans="1:47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110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21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04"/>
        <v>29500529.005044252</v>
      </c>
      <c r="AJ370" s="19">
        <f t="shared" si="105"/>
        <v>3253064.846231177</v>
      </c>
      <c r="AK370" s="20">
        <f t="shared" si="115"/>
        <v>0.11027140718984871</v>
      </c>
      <c r="AL370" s="17"/>
      <c r="AM370" s="17"/>
      <c r="AN370" s="17"/>
      <c r="AO370" s="17"/>
      <c r="AP370" s="28" t="str">
        <f t="shared" si="116"/>
        <v>202111</v>
      </c>
      <c r="AQ370" s="28" t="str">
        <f t="shared" si="117"/>
        <v>202111JPY</v>
      </c>
      <c r="AR370" s="206" t="str">
        <f t="shared" si="118"/>
        <v>YAMAHA_Mounter</v>
      </c>
      <c r="AS370" s="22">
        <f t="shared" si="119"/>
        <v>5</v>
      </c>
      <c r="AT370" s="24" t="str">
        <f t="shared" si="120"/>
        <v>4-6 months</v>
      </c>
      <c r="AU370" s="22" t="s">
        <v>3744</v>
      </c>
    </row>
    <row r="371" spans="1:47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110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21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04"/>
        <v>25380121.402654871</v>
      </c>
      <c r="AJ371" s="19">
        <f t="shared" si="105"/>
        <v>3850343.1237796471</v>
      </c>
      <c r="AK371" s="20">
        <f t="shared" si="115"/>
        <v>0.1517070412191521</v>
      </c>
      <c r="AL371" s="17"/>
      <c r="AM371" s="17"/>
      <c r="AN371" s="17"/>
      <c r="AO371" s="17"/>
      <c r="AP371" s="28" t="str">
        <f t="shared" si="116"/>
        <v>202112</v>
      </c>
      <c r="AQ371" s="28" t="str">
        <f t="shared" si="117"/>
        <v>202112JPY</v>
      </c>
      <c r="AR371" s="206" t="str">
        <f t="shared" si="118"/>
        <v>YAMAHA_Mounter</v>
      </c>
      <c r="AS371" s="22">
        <f t="shared" si="119"/>
        <v>6</v>
      </c>
      <c r="AT371" s="24" t="str">
        <f t="shared" si="120"/>
        <v>4-6 months</v>
      </c>
      <c r="AU371" s="22" t="s">
        <v>3744</v>
      </c>
    </row>
    <row r="372" spans="1:47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110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21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04"/>
        <v>25380121.402654871</v>
      </c>
      <c r="AJ372" s="19">
        <f t="shared" si="105"/>
        <v>3850343.1237796471</v>
      </c>
      <c r="AK372" s="20">
        <f t="shared" si="115"/>
        <v>0.1517070412191521</v>
      </c>
      <c r="AL372" s="17"/>
      <c r="AM372" s="17"/>
      <c r="AN372" s="17"/>
      <c r="AO372" s="17"/>
      <c r="AP372" s="28" t="str">
        <f t="shared" si="116"/>
        <v>202112</v>
      </c>
      <c r="AQ372" s="28" t="str">
        <f t="shared" si="117"/>
        <v>202112JPY</v>
      </c>
      <c r="AR372" s="206" t="str">
        <f t="shared" si="118"/>
        <v>YAMAHA_Mounter</v>
      </c>
      <c r="AS372" s="22">
        <f t="shared" si="119"/>
        <v>6</v>
      </c>
      <c r="AT372" s="24" t="str">
        <f t="shared" si="120"/>
        <v>4-6 months</v>
      </c>
      <c r="AU372" s="22" t="s">
        <v>3744</v>
      </c>
    </row>
    <row r="373" spans="1:47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110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21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04"/>
        <v>26078226.463097349</v>
      </c>
      <c r="AJ373" s="19">
        <f t="shared" si="105"/>
        <v>3137870.4427774516</v>
      </c>
      <c r="AK373" s="20">
        <f t="shared" si="115"/>
        <v>0.12032530077218917</v>
      </c>
      <c r="AL373" s="17"/>
      <c r="AM373" s="17"/>
      <c r="AN373" s="17"/>
      <c r="AO373" s="17"/>
      <c r="AP373" s="28" t="str">
        <f t="shared" si="116"/>
        <v>20239</v>
      </c>
      <c r="AQ373" s="28" t="str">
        <f t="shared" si="117"/>
        <v>20239JPY</v>
      </c>
      <c r="AR373" s="206" t="str">
        <f t="shared" si="118"/>
        <v>YAMAHA_Mounter</v>
      </c>
      <c r="AS373" s="22">
        <f t="shared" si="119"/>
        <v>0</v>
      </c>
      <c r="AT373" s="24" t="str">
        <f t="shared" si="120"/>
        <v>0-3 months</v>
      </c>
      <c r="AU373" s="22" t="s">
        <v>3744</v>
      </c>
    </row>
    <row r="374" spans="1:47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110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21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04"/>
        <v>26078226.463097349</v>
      </c>
      <c r="AJ374" s="19">
        <f t="shared" si="105"/>
        <v>3137870.4427774516</v>
      </c>
      <c r="AK374" s="20">
        <f t="shared" si="115"/>
        <v>0.12032530077218917</v>
      </c>
      <c r="AL374" s="17"/>
      <c r="AM374" s="17"/>
      <c r="AN374" s="17"/>
      <c r="AO374" s="17"/>
      <c r="AP374" s="28" t="str">
        <f t="shared" si="116"/>
        <v>20239</v>
      </c>
      <c r="AQ374" s="28" t="str">
        <f t="shared" si="117"/>
        <v>20239JPY</v>
      </c>
      <c r="AR374" s="206" t="str">
        <f t="shared" si="118"/>
        <v>YAMAHA_Mounter</v>
      </c>
      <c r="AS374" s="22">
        <f t="shared" si="119"/>
        <v>0</v>
      </c>
      <c r="AT374" s="24" t="str">
        <f t="shared" si="120"/>
        <v>0-3 months</v>
      </c>
      <c r="AU374" s="22" t="s">
        <v>3744</v>
      </c>
    </row>
    <row r="375" spans="1:47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110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21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04"/>
        <v>26078226.463097349</v>
      </c>
      <c r="AJ375" s="19">
        <f t="shared" si="105"/>
        <v>3137870.4427774516</v>
      </c>
      <c r="AK375" s="20">
        <f t="shared" si="115"/>
        <v>0.12032530077218917</v>
      </c>
      <c r="AL375" s="17"/>
      <c r="AM375" s="17"/>
      <c r="AN375" s="17"/>
      <c r="AO375" s="17"/>
      <c r="AP375" s="28" t="str">
        <f t="shared" si="116"/>
        <v>20239</v>
      </c>
      <c r="AQ375" s="28" t="str">
        <f t="shared" si="117"/>
        <v>20239JPY</v>
      </c>
      <c r="AR375" s="206" t="str">
        <f t="shared" si="118"/>
        <v>YAMAHA_Mounter</v>
      </c>
      <c r="AS375" s="22">
        <f t="shared" si="119"/>
        <v>0</v>
      </c>
      <c r="AT375" s="24" t="str">
        <f t="shared" si="120"/>
        <v>0-3 months</v>
      </c>
      <c r="AU375" s="22" t="s">
        <v>3744</v>
      </c>
    </row>
    <row r="376" spans="1:47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110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21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04"/>
        <v>26078226.463097349</v>
      </c>
      <c r="AJ376" s="19">
        <f t="shared" si="105"/>
        <v>3137870.4427774516</v>
      </c>
      <c r="AK376" s="20">
        <f t="shared" si="115"/>
        <v>0.12032530077218917</v>
      </c>
      <c r="AL376" s="17"/>
      <c r="AM376" s="17"/>
      <c r="AN376" s="17"/>
      <c r="AO376" s="17"/>
      <c r="AP376" s="28" t="str">
        <f t="shared" si="116"/>
        <v>20239</v>
      </c>
      <c r="AQ376" s="28" t="str">
        <f t="shared" si="117"/>
        <v>20239JPY</v>
      </c>
      <c r="AR376" s="206" t="str">
        <f t="shared" si="118"/>
        <v>YAMAHA_Mounter</v>
      </c>
      <c r="AS376" s="22">
        <f t="shared" si="119"/>
        <v>0</v>
      </c>
      <c r="AT376" s="24" t="str">
        <f t="shared" si="120"/>
        <v>0-3 months</v>
      </c>
      <c r="AU376" s="22" t="s">
        <v>3744</v>
      </c>
    </row>
    <row r="377" spans="1:47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110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21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04"/>
        <v>54700260.692079648</v>
      </c>
      <c r="AJ377" s="19">
        <f t="shared" si="105"/>
        <v>7482899.5749188727</v>
      </c>
      <c r="AK377" s="20">
        <f t="shared" si="115"/>
        <v>0.13679824337660537</v>
      </c>
      <c r="AL377" s="17"/>
      <c r="AM377" s="17"/>
      <c r="AN377" s="17"/>
      <c r="AO377" s="17"/>
      <c r="AP377" s="28" t="str">
        <f t="shared" si="116"/>
        <v>20216</v>
      </c>
      <c r="AQ377" s="28" t="str">
        <f t="shared" si="117"/>
        <v>20216JPY</v>
      </c>
      <c r="AR377" s="206" t="str">
        <f t="shared" si="118"/>
        <v>YAMAHA_Mounter</v>
      </c>
      <c r="AS377" s="22">
        <f t="shared" si="119"/>
        <v>3</v>
      </c>
      <c r="AT377" s="24" t="str">
        <f t="shared" si="120"/>
        <v>0-3 months</v>
      </c>
      <c r="AU377" s="22" t="s">
        <v>3745</v>
      </c>
    </row>
    <row r="378" spans="1:47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110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21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04"/>
        <v>54700260.692079648</v>
      </c>
      <c r="AJ378" s="19">
        <f t="shared" si="105"/>
        <v>7482899.5749188727</v>
      </c>
      <c r="AK378" s="20">
        <f t="shared" si="115"/>
        <v>0.13679824337660537</v>
      </c>
      <c r="AL378" s="17"/>
      <c r="AM378" s="17"/>
      <c r="AN378" s="17"/>
      <c r="AO378" s="17"/>
      <c r="AP378" s="28" t="str">
        <f t="shared" si="116"/>
        <v>20216</v>
      </c>
      <c r="AQ378" s="28" t="str">
        <f t="shared" si="117"/>
        <v>20216JPY</v>
      </c>
      <c r="AR378" s="206" t="str">
        <f t="shared" si="118"/>
        <v>YAMAHA_Mounter</v>
      </c>
      <c r="AS378" s="22">
        <f t="shared" si="119"/>
        <v>3</v>
      </c>
      <c r="AT378" s="24" t="str">
        <f t="shared" si="120"/>
        <v>0-3 months</v>
      </c>
      <c r="AU378" s="22" t="s">
        <v>3745</v>
      </c>
    </row>
    <row r="379" spans="1:47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110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21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04"/>
        <v>54700260.692079648</v>
      </c>
      <c r="AJ379" s="19">
        <f t="shared" si="105"/>
        <v>7482899.5749188727</v>
      </c>
      <c r="AK379" s="20">
        <f t="shared" si="115"/>
        <v>0.13679824337660537</v>
      </c>
      <c r="AL379" s="17"/>
      <c r="AM379" s="17"/>
      <c r="AN379" s="17"/>
      <c r="AO379" s="17"/>
      <c r="AP379" s="28" t="str">
        <f t="shared" si="116"/>
        <v>20216</v>
      </c>
      <c r="AQ379" s="28" t="str">
        <f t="shared" si="117"/>
        <v>20216JPY</v>
      </c>
      <c r="AR379" s="206" t="str">
        <f t="shared" si="118"/>
        <v>YAMAHA_Mounter</v>
      </c>
      <c r="AS379" s="22">
        <f t="shared" si="119"/>
        <v>3</v>
      </c>
      <c r="AT379" s="24" t="str">
        <f t="shared" si="120"/>
        <v>0-3 months</v>
      </c>
      <c r="AU379" s="22" t="s">
        <v>3745</v>
      </c>
    </row>
    <row r="380" spans="1:47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110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21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04"/>
        <v>54700260.692079648</v>
      </c>
      <c r="AJ380" s="19">
        <f t="shared" si="105"/>
        <v>7482899.5749188727</v>
      </c>
      <c r="AK380" s="20">
        <f t="shared" si="115"/>
        <v>0.13679824337660537</v>
      </c>
      <c r="AL380" s="17"/>
      <c r="AM380" s="17"/>
      <c r="AN380" s="17"/>
      <c r="AO380" s="17"/>
      <c r="AP380" s="28" t="str">
        <f t="shared" si="116"/>
        <v>20216</v>
      </c>
      <c r="AQ380" s="28" t="str">
        <f t="shared" si="117"/>
        <v>20216JPY</v>
      </c>
      <c r="AR380" s="206" t="str">
        <f t="shared" si="118"/>
        <v>YAMAHA_Mounter</v>
      </c>
      <c r="AS380" s="22">
        <f t="shared" si="119"/>
        <v>3</v>
      </c>
      <c r="AT380" s="24" t="str">
        <f t="shared" si="120"/>
        <v>0-3 months</v>
      </c>
      <c r="AU380" s="22" t="s">
        <v>3745</v>
      </c>
    </row>
    <row r="381" spans="1:47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110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21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04"/>
        <v>54700260.692079648</v>
      </c>
      <c r="AJ381" s="19">
        <f t="shared" si="105"/>
        <v>7482899.5749188727</v>
      </c>
      <c r="AK381" s="20">
        <f t="shared" si="115"/>
        <v>0.13679824337660537</v>
      </c>
      <c r="AL381" s="17"/>
      <c r="AM381" s="17"/>
      <c r="AN381" s="17"/>
      <c r="AO381" s="17"/>
      <c r="AP381" s="28" t="str">
        <f t="shared" si="116"/>
        <v>20216</v>
      </c>
      <c r="AQ381" s="28" t="str">
        <f t="shared" si="117"/>
        <v>20216JPY</v>
      </c>
      <c r="AR381" s="206" t="str">
        <f t="shared" si="118"/>
        <v>YAMAHA_Mounter</v>
      </c>
      <c r="AS381" s="22">
        <f t="shared" si="119"/>
        <v>3</v>
      </c>
      <c r="AT381" s="24" t="str">
        <f t="shared" si="120"/>
        <v>0-3 months</v>
      </c>
      <c r="AU381" s="22" t="s">
        <v>3745</v>
      </c>
    </row>
    <row r="382" spans="1:47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110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21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04"/>
        <v>54700260.692079648</v>
      </c>
      <c r="AJ382" s="19">
        <f t="shared" si="105"/>
        <v>7482899.5749188727</v>
      </c>
      <c r="AK382" s="20">
        <f t="shared" si="115"/>
        <v>0.13679824337660537</v>
      </c>
      <c r="AL382" s="17"/>
      <c r="AM382" s="17"/>
      <c r="AN382" s="17"/>
      <c r="AO382" s="17"/>
      <c r="AP382" s="28" t="str">
        <f t="shared" si="116"/>
        <v>20216</v>
      </c>
      <c r="AQ382" s="28" t="str">
        <f t="shared" si="117"/>
        <v>20216JPY</v>
      </c>
      <c r="AR382" s="206" t="str">
        <f t="shared" si="118"/>
        <v>YAMAHA_Mounter</v>
      </c>
      <c r="AS382" s="22">
        <f t="shared" si="119"/>
        <v>3</v>
      </c>
      <c r="AT382" s="24" t="str">
        <f t="shared" si="120"/>
        <v>0-3 months</v>
      </c>
      <c r="AU382" s="22" t="s">
        <v>3745</v>
      </c>
    </row>
    <row r="383" spans="1:47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110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21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04"/>
        <v>54700260.692079648</v>
      </c>
      <c r="AJ383" s="19">
        <f t="shared" si="105"/>
        <v>7482899.5749188727</v>
      </c>
      <c r="AK383" s="20">
        <f t="shared" si="115"/>
        <v>0.13679824337660537</v>
      </c>
      <c r="AL383" s="17"/>
      <c r="AM383" s="17"/>
      <c r="AN383" s="17"/>
      <c r="AO383" s="17"/>
      <c r="AP383" s="28" t="str">
        <f t="shared" si="116"/>
        <v>20216</v>
      </c>
      <c r="AQ383" s="28" t="str">
        <f t="shared" si="117"/>
        <v>20216JPY</v>
      </c>
      <c r="AR383" s="206" t="str">
        <f t="shared" si="118"/>
        <v>YAMAHA_Mounter</v>
      </c>
      <c r="AS383" s="22">
        <f t="shared" si="119"/>
        <v>3</v>
      </c>
      <c r="AT383" s="24" t="str">
        <f t="shared" si="120"/>
        <v>0-3 months</v>
      </c>
      <c r="AU383" s="22" t="s">
        <v>3745</v>
      </c>
    </row>
    <row r="384" spans="1:47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110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21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04"/>
        <v>54700260.692079648</v>
      </c>
      <c r="AJ384" s="19">
        <f t="shared" si="105"/>
        <v>7482899.5749188727</v>
      </c>
      <c r="AK384" s="20">
        <f t="shared" si="115"/>
        <v>0.13679824337660537</v>
      </c>
      <c r="AL384" s="17"/>
      <c r="AM384" s="17"/>
      <c r="AN384" s="17"/>
      <c r="AO384" s="17"/>
      <c r="AP384" s="28" t="str">
        <f t="shared" si="116"/>
        <v>20216</v>
      </c>
      <c r="AQ384" s="28" t="str">
        <f t="shared" si="117"/>
        <v>20216JPY</v>
      </c>
      <c r="AR384" s="206" t="str">
        <f t="shared" si="118"/>
        <v>YAMAHA_Mounter</v>
      </c>
      <c r="AS384" s="22">
        <f t="shared" si="119"/>
        <v>3</v>
      </c>
      <c r="AT384" s="24" t="str">
        <f t="shared" si="120"/>
        <v>0-3 months</v>
      </c>
      <c r="AU384" s="22" t="s">
        <v>3745</v>
      </c>
    </row>
    <row r="385" spans="1:47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110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21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04"/>
        <v>54700260.692079648</v>
      </c>
      <c r="AJ385" s="19">
        <f t="shared" si="105"/>
        <v>7482899.5749188727</v>
      </c>
      <c r="AK385" s="20">
        <f t="shared" si="115"/>
        <v>0.13679824337660537</v>
      </c>
      <c r="AL385" s="17"/>
      <c r="AM385" s="17"/>
      <c r="AN385" s="17"/>
      <c r="AO385" s="17"/>
      <c r="AP385" s="28" t="str">
        <f t="shared" si="116"/>
        <v>20216</v>
      </c>
      <c r="AQ385" s="28" t="str">
        <f t="shared" si="117"/>
        <v>20216JPY</v>
      </c>
      <c r="AR385" s="206" t="str">
        <f t="shared" si="118"/>
        <v>YAMAHA_Mounter</v>
      </c>
      <c r="AS385" s="22">
        <f t="shared" si="119"/>
        <v>3</v>
      </c>
      <c r="AT385" s="24" t="str">
        <f t="shared" si="120"/>
        <v>0-3 months</v>
      </c>
      <c r="AU385" s="22" t="s">
        <v>3745</v>
      </c>
    </row>
    <row r="386" spans="1:47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110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21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ref="AI386:AI449" si="122">IF(P386="C66 SERVICE","",SUMIFS(AB:AB,F:F,F386,G:G,G386,E:E,E386))</f>
        <v>54700260.692079648</v>
      </c>
      <c r="AJ386" s="19">
        <f t="shared" ref="AJ386:AJ449" si="123">IF(P386="C66 SERVICE","",SUMIFS(AC:AC,F:F,F386,G:G,G386,E:E,E386))</f>
        <v>7482899.5749188727</v>
      </c>
      <c r="AK386" s="20">
        <f t="shared" si="115"/>
        <v>0.13679824337660537</v>
      </c>
      <c r="AL386" s="17"/>
      <c r="AM386" s="17"/>
      <c r="AN386" s="17"/>
      <c r="AO386" s="17"/>
      <c r="AP386" s="28" t="str">
        <f t="shared" si="116"/>
        <v>20216</v>
      </c>
      <c r="AQ386" s="28" t="str">
        <f t="shared" si="117"/>
        <v>20216JPY</v>
      </c>
      <c r="AR386" s="206" t="str">
        <f t="shared" si="118"/>
        <v>YAMAHA_Mounter</v>
      </c>
      <c r="AS386" s="22">
        <f t="shared" si="119"/>
        <v>3</v>
      </c>
      <c r="AT386" s="24" t="str">
        <f t="shared" si="120"/>
        <v>0-3 months</v>
      </c>
      <c r="AU386" s="22" t="s">
        <v>3745</v>
      </c>
    </row>
    <row r="387" spans="1:47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110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21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22"/>
        <v>54700260.692079648</v>
      </c>
      <c r="AJ387" s="19">
        <f t="shared" si="123"/>
        <v>7482899.5749188727</v>
      </c>
      <c r="AK387" s="20">
        <f t="shared" si="115"/>
        <v>0.13679824337660537</v>
      </c>
      <c r="AL387" s="17"/>
      <c r="AM387" s="17"/>
      <c r="AN387" s="17"/>
      <c r="AO387" s="17"/>
      <c r="AP387" s="28" t="str">
        <f t="shared" si="116"/>
        <v>20216</v>
      </c>
      <c r="AQ387" s="28" t="str">
        <f t="shared" si="117"/>
        <v>20216JPY</v>
      </c>
      <c r="AR387" s="206" t="str">
        <f t="shared" si="118"/>
        <v>YAMAHA_Mounter</v>
      </c>
      <c r="AS387" s="22">
        <f t="shared" si="119"/>
        <v>3</v>
      </c>
      <c r="AT387" s="24" t="str">
        <f t="shared" si="120"/>
        <v>0-3 months</v>
      </c>
      <c r="AU387" s="22" t="s">
        <v>3745</v>
      </c>
    </row>
    <row r="388" spans="1:47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110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21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22"/>
        <v>54700260.692079648</v>
      </c>
      <c r="AJ388" s="19">
        <f t="shared" si="123"/>
        <v>7482899.5749188727</v>
      </c>
      <c r="AK388" s="20">
        <f t="shared" si="115"/>
        <v>0.13679824337660537</v>
      </c>
      <c r="AL388" s="17"/>
      <c r="AM388" s="17"/>
      <c r="AN388" s="17"/>
      <c r="AO388" s="17"/>
      <c r="AP388" s="28" t="str">
        <f t="shared" si="116"/>
        <v>20216</v>
      </c>
      <c r="AQ388" s="28" t="str">
        <f t="shared" si="117"/>
        <v>20216JPY</v>
      </c>
      <c r="AR388" s="206" t="str">
        <f t="shared" si="118"/>
        <v>YAMAHA_Mounter</v>
      </c>
      <c r="AS388" s="22">
        <f t="shared" si="119"/>
        <v>3</v>
      </c>
      <c r="AT388" s="24" t="str">
        <f t="shared" si="120"/>
        <v>0-3 months</v>
      </c>
      <c r="AU388" s="22" t="s">
        <v>3745</v>
      </c>
    </row>
    <row r="389" spans="1:47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110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21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22"/>
        <v>54700260.692079648</v>
      </c>
      <c r="AJ389" s="19">
        <f t="shared" si="123"/>
        <v>7482899.5749188727</v>
      </c>
      <c r="AK389" s="20">
        <f t="shared" si="115"/>
        <v>0.13679824337660537</v>
      </c>
      <c r="AL389" s="17"/>
      <c r="AM389" s="17"/>
      <c r="AN389" s="17"/>
      <c r="AO389" s="17"/>
      <c r="AP389" s="28" t="str">
        <f t="shared" si="116"/>
        <v>20216</v>
      </c>
      <c r="AQ389" s="28" t="str">
        <f t="shared" si="117"/>
        <v>20216JPY</v>
      </c>
      <c r="AR389" s="206" t="str">
        <f t="shared" si="118"/>
        <v>YAMAHA_Mounter</v>
      </c>
      <c r="AS389" s="22">
        <f t="shared" si="119"/>
        <v>3</v>
      </c>
      <c r="AT389" s="24" t="str">
        <f t="shared" si="120"/>
        <v>0-3 months</v>
      </c>
      <c r="AU389" s="22" t="s">
        <v>3745</v>
      </c>
    </row>
    <row r="390" spans="1:47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21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si="122"/>
        <v>54700260.692079648</v>
      </c>
      <c r="AJ390" s="19">
        <f t="shared" si="123"/>
        <v>7482899.5749188727</v>
      </c>
      <c r="AK390" s="20">
        <f t="shared" ref="AK390:AK453" si="132">IF(AJ390&gt;0,AJ390/AI390,"")</f>
        <v>0.13679824337660537</v>
      </c>
      <c r="AL390" s="17"/>
      <c r="AM390" s="17"/>
      <c r="AN390" s="17"/>
      <c r="AO390" s="17"/>
      <c r="AP390" s="28" t="str">
        <f t="shared" ref="AP390:AP453" si="133">IF(F390="","",F390&amp;G390)</f>
        <v>20216</v>
      </c>
      <c r="AQ390" s="28" t="str">
        <f t="shared" ref="AQ390:AQ453" si="134">IF(W390="","",F390&amp;G390&amp;W390)</f>
        <v>20216JPY</v>
      </c>
      <c r="AR390" s="206" t="str">
        <f t="shared" ref="AR390:AR453" si="135">IFERROR(IF(AND(M390="YAMAHA", R390="C28"), "YAMAHA_Non_Mounter", IF(AND(M390="YAMAHA", R390="C49"), "YAMAHA_Mounter", M390)),"")</f>
        <v>YAMAHA_Mounter</v>
      </c>
      <c r="AS390" s="22">
        <f t="shared" ref="AS390:AS453" si="136">IFERROR(IF(OR(G390="TBA", G390=""), "", DATEDIF(DATE(B390, C390, 1), DATE(F390, G390, 1), "M")),"")</f>
        <v>3</v>
      </c>
      <c r="AT390" s="24" t="str">
        <f t="shared" ref="AT390:AT453" si="137">IF(ISNUMBER(AS390), IF(AS390&gt;=0, IF(AS390&lt;=3, "0-3 months", IF(AS390&lt;=6, "4-6 months", "&gt; 6 months"))), "")</f>
        <v>0-3 months</v>
      </c>
      <c r="AU390" s="22" t="s">
        <v>3745</v>
      </c>
    </row>
    <row r="391" spans="1:47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27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21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22"/>
        <v>54700260.692079648</v>
      </c>
      <c r="AJ391" s="19">
        <f t="shared" si="123"/>
        <v>7482899.5749188727</v>
      </c>
      <c r="AK391" s="20">
        <f t="shared" si="132"/>
        <v>0.13679824337660537</v>
      </c>
      <c r="AL391" s="17"/>
      <c r="AM391" s="17"/>
      <c r="AN391" s="17"/>
      <c r="AO391" s="17"/>
      <c r="AP391" s="28" t="str">
        <f t="shared" si="133"/>
        <v>20216</v>
      </c>
      <c r="AQ391" s="28" t="str">
        <f t="shared" si="134"/>
        <v>20216JPY</v>
      </c>
      <c r="AR391" s="206" t="str">
        <f t="shared" si="135"/>
        <v>YAMAHA_Mounter</v>
      </c>
      <c r="AS391" s="22">
        <f t="shared" si="136"/>
        <v>3</v>
      </c>
      <c r="AT391" s="24" t="str">
        <f t="shared" si="137"/>
        <v>0-3 months</v>
      </c>
      <c r="AU391" s="22" t="s">
        <v>3745</v>
      </c>
    </row>
    <row r="392" spans="1:47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27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21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22"/>
        <v>54700260.692079648</v>
      </c>
      <c r="AJ392" s="19">
        <f t="shared" si="123"/>
        <v>7482899.5749188727</v>
      </c>
      <c r="AK392" s="20">
        <f t="shared" si="132"/>
        <v>0.13679824337660537</v>
      </c>
      <c r="AL392" s="17"/>
      <c r="AM392" s="17"/>
      <c r="AN392" s="17"/>
      <c r="AO392" s="17"/>
      <c r="AP392" s="28" t="str">
        <f t="shared" si="133"/>
        <v>20216</v>
      </c>
      <c r="AQ392" s="28" t="str">
        <f t="shared" si="134"/>
        <v>20216JPY</v>
      </c>
      <c r="AR392" s="206" t="str">
        <f t="shared" si="135"/>
        <v>YAMAHA_Mounter</v>
      </c>
      <c r="AS392" s="22">
        <f t="shared" si="136"/>
        <v>3</v>
      </c>
      <c r="AT392" s="24" t="str">
        <f t="shared" si="137"/>
        <v>0-3 months</v>
      </c>
      <c r="AU392" s="22" t="s">
        <v>3745</v>
      </c>
    </row>
    <row r="393" spans="1:47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27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21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22"/>
        <v>54700260.692079648</v>
      </c>
      <c r="AJ393" s="19">
        <f t="shared" si="123"/>
        <v>7482899.5749188727</v>
      </c>
      <c r="AK393" s="20">
        <f t="shared" si="132"/>
        <v>0.13679824337660537</v>
      </c>
      <c r="AL393" s="17"/>
      <c r="AM393" s="17"/>
      <c r="AN393" s="17"/>
      <c r="AO393" s="17"/>
      <c r="AP393" s="28" t="str">
        <f t="shared" si="133"/>
        <v>20216</v>
      </c>
      <c r="AQ393" s="28" t="str">
        <f t="shared" si="134"/>
        <v>20216JPY</v>
      </c>
      <c r="AR393" s="206" t="str">
        <f t="shared" si="135"/>
        <v>YAMAHA_Mounter</v>
      </c>
      <c r="AS393" s="22">
        <f t="shared" si="136"/>
        <v>3</v>
      </c>
      <c r="AT393" s="24" t="str">
        <f t="shared" si="137"/>
        <v>0-3 months</v>
      </c>
      <c r="AU393" s="22" t="s">
        <v>3745</v>
      </c>
    </row>
    <row r="394" spans="1:47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27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21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22"/>
        <v>54700260.692079648</v>
      </c>
      <c r="AJ394" s="19">
        <f t="shared" si="123"/>
        <v>7482899.5749188727</v>
      </c>
      <c r="AK394" s="20">
        <f t="shared" si="132"/>
        <v>0.13679824337660537</v>
      </c>
      <c r="AL394" s="17"/>
      <c r="AM394" s="17"/>
      <c r="AN394" s="17"/>
      <c r="AO394" s="17"/>
      <c r="AP394" s="28" t="str">
        <f t="shared" si="133"/>
        <v>20216</v>
      </c>
      <c r="AQ394" s="28" t="str">
        <f t="shared" si="134"/>
        <v>20216JPY</v>
      </c>
      <c r="AR394" s="206" t="str">
        <f t="shared" si="135"/>
        <v>YAMAHA_Mounter</v>
      </c>
      <c r="AS394" s="22">
        <f t="shared" si="136"/>
        <v>3</v>
      </c>
      <c r="AT394" s="24" t="str">
        <f t="shared" si="137"/>
        <v>0-3 months</v>
      </c>
      <c r="AU394" s="22" t="s">
        <v>3745</v>
      </c>
    </row>
    <row r="395" spans="1:47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27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21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22"/>
        <v>54700260.692079648</v>
      </c>
      <c r="AJ395" s="19">
        <f t="shared" si="123"/>
        <v>7482899.5749188727</v>
      </c>
      <c r="AK395" s="20">
        <f t="shared" si="132"/>
        <v>0.13679824337660537</v>
      </c>
      <c r="AL395" s="17"/>
      <c r="AM395" s="17"/>
      <c r="AN395" s="17"/>
      <c r="AO395" s="17"/>
      <c r="AP395" s="28" t="str">
        <f t="shared" si="133"/>
        <v>20216</v>
      </c>
      <c r="AQ395" s="28" t="str">
        <f t="shared" si="134"/>
        <v>20216JPY</v>
      </c>
      <c r="AR395" s="206" t="str">
        <f t="shared" si="135"/>
        <v>YAMAHA_Mounter</v>
      </c>
      <c r="AS395" s="22">
        <f t="shared" si="136"/>
        <v>3</v>
      </c>
      <c r="AT395" s="24" t="str">
        <f t="shared" si="137"/>
        <v>0-3 months</v>
      </c>
      <c r="AU395" s="22" t="s">
        <v>3745</v>
      </c>
    </row>
    <row r="396" spans="1:47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27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22"/>
        <v>34015877.71150443</v>
      </c>
      <c r="AJ396" s="19">
        <f t="shared" si="123"/>
        <v>4446292.375441948</v>
      </c>
      <c r="AK396" s="20">
        <f t="shared" si="132"/>
        <v>0.13071226364205143</v>
      </c>
      <c r="AL396" s="17"/>
      <c r="AM396" s="17"/>
      <c r="AN396" s="17"/>
      <c r="AO396" s="17"/>
      <c r="AP396" s="28" t="str">
        <f t="shared" si="133"/>
        <v>20197</v>
      </c>
      <c r="AQ396" s="28" t="str">
        <f t="shared" si="134"/>
        <v>20197RMB</v>
      </c>
      <c r="AR396" s="206" t="str">
        <f t="shared" si="135"/>
        <v>YAMAHA_Mounter</v>
      </c>
      <c r="AS396" s="22">
        <f t="shared" si="136"/>
        <v>0</v>
      </c>
      <c r="AT396" s="24" t="str">
        <f t="shared" si="137"/>
        <v>0-3 months</v>
      </c>
      <c r="AU396" s="22" t="s">
        <v>3743</v>
      </c>
    </row>
    <row r="397" spans="1:47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27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38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22"/>
        <v>28011162.254106201</v>
      </c>
      <c r="AJ397" s="19">
        <f t="shared" si="123"/>
        <v>3401347.1124888416</v>
      </c>
      <c r="AK397" s="20">
        <f t="shared" si="132"/>
        <v>0.12142827497242578</v>
      </c>
      <c r="AL397" s="17"/>
      <c r="AM397" s="17"/>
      <c r="AN397" s="17"/>
      <c r="AO397" s="17"/>
      <c r="AP397" s="28" t="str">
        <f t="shared" si="133"/>
        <v>202010</v>
      </c>
      <c r="AQ397" s="28" t="str">
        <f t="shared" si="134"/>
        <v>202010JPY</v>
      </c>
      <c r="AR397" s="206" t="str">
        <f t="shared" si="135"/>
        <v>YAMAHA_Mounter</v>
      </c>
      <c r="AS397" s="22">
        <f t="shared" si="136"/>
        <v>1</v>
      </c>
      <c r="AT397" s="24" t="str">
        <f t="shared" si="137"/>
        <v>0-3 months</v>
      </c>
      <c r="AU397" s="22" t="s">
        <v>3745</v>
      </c>
    </row>
    <row r="398" spans="1:47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27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38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22"/>
        <v>26407088.359292038</v>
      </c>
      <c r="AJ398" s="19">
        <f t="shared" si="123"/>
        <v>3424510.6998470789</v>
      </c>
      <c r="AK398" s="20">
        <f t="shared" si="132"/>
        <v>0.12968149510667554</v>
      </c>
      <c r="AL398" s="17"/>
      <c r="AM398" s="17"/>
      <c r="AN398" s="17"/>
      <c r="AO398" s="17"/>
      <c r="AP398" s="28" t="str">
        <f t="shared" si="133"/>
        <v>20221</v>
      </c>
      <c r="AQ398" s="28" t="str">
        <f t="shared" si="134"/>
        <v>20221JPY</v>
      </c>
      <c r="AR398" s="206" t="str">
        <f t="shared" si="135"/>
        <v>YAMAHA_Mounter</v>
      </c>
      <c r="AS398" s="22">
        <f t="shared" si="136"/>
        <v>8</v>
      </c>
      <c r="AT398" s="24" t="str">
        <f t="shared" si="137"/>
        <v>&gt; 6 months</v>
      </c>
      <c r="AU398" s="22" t="s">
        <v>3745</v>
      </c>
    </row>
    <row r="399" spans="1:47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27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38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22"/>
        <v>36480247.665929198</v>
      </c>
      <c r="AJ399" s="19">
        <f t="shared" si="123"/>
        <v>5330996.6372757526</v>
      </c>
      <c r="AK399" s="20">
        <f t="shared" si="132"/>
        <v>0.14613378412599562</v>
      </c>
      <c r="AL399" s="17"/>
      <c r="AM399" s="17"/>
      <c r="AN399" s="17"/>
      <c r="AO399" s="17"/>
      <c r="AP399" s="28" t="str">
        <f t="shared" si="133"/>
        <v>20227</v>
      </c>
      <c r="AQ399" s="28" t="str">
        <f t="shared" si="134"/>
        <v>20227JPY</v>
      </c>
      <c r="AR399" s="206" t="str">
        <f t="shared" si="135"/>
        <v>YAMAHA_Mounter</v>
      </c>
      <c r="AS399" s="22">
        <f t="shared" si="136"/>
        <v>2</v>
      </c>
      <c r="AT399" s="24" t="str">
        <f t="shared" si="137"/>
        <v>0-3 months</v>
      </c>
      <c r="AU399" s="22" t="s">
        <v>3745</v>
      </c>
    </row>
    <row r="400" spans="1:47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27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38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22"/>
        <v>36480247.665929198</v>
      </c>
      <c r="AJ400" s="19">
        <f t="shared" si="123"/>
        <v>5330996.6372757526</v>
      </c>
      <c r="AK400" s="20">
        <f t="shared" si="132"/>
        <v>0.14613378412599562</v>
      </c>
      <c r="AL400" s="17"/>
      <c r="AM400" s="17"/>
      <c r="AN400" s="17"/>
      <c r="AO400" s="17"/>
      <c r="AP400" s="28" t="str">
        <f t="shared" si="133"/>
        <v>20227</v>
      </c>
      <c r="AQ400" s="28" t="str">
        <f t="shared" si="134"/>
        <v>20227JPY</v>
      </c>
      <c r="AR400" s="206" t="str">
        <f t="shared" si="135"/>
        <v>YAMAHA_Mounter</v>
      </c>
      <c r="AS400" s="22">
        <f t="shared" si="136"/>
        <v>2</v>
      </c>
      <c r="AT400" s="24" t="str">
        <f t="shared" si="137"/>
        <v>0-3 months</v>
      </c>
      <c r="AU400" s="22" t="s">
        <v>3745</v>
      </c>
    </row>
    <row r="401" spans="1:47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27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38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22"/>
        <v>15951056.41591504</v>
      </c>
      <c r="AJ401" s="19">
        <f t="shared" si="123"/>
        <v>1966354.6022462982</v>
      </c>
      <c r="AK401" s="20">
        <f t="shared" si="132"/>
        <v>0.12327425538313459</v>
      </c>
      <c r="AL401" s="17"/>
      <c r="AM401" s="17"/>
      <c r="AN401" s="17"/>
      <c r="AO401" s="17"/>
      <c r="AP401" s="28" t="str">
        <f t="shared" si="133"/>
        <v>20237</v>
      </c>
      <c r="AQ401" s="28" t="str">
        <f t="shared" si="134"/>
        <v>20237JPY</v>
      </c>
      <c r="AR401" s="206" t="str">
        <f t="shared" si="135"/>
        <v>YAMAHA_Mounter</v>
      </c>
      <c r="AS401" s="22">
        <f t="shared" si="136"/>
        <v>1</v>
      </c>
      <c r="AT401" s="24" t="str">
        <f t="shared" si="137"/>
        <v>0-3 months</v>
      </c>
      <c r="AU401" s="22" t="s">
        <v>3745</v>
      </c>
    </row>
    <row r="402" spans="1:47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27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38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22"/>
        <v>15951056.41591504</v>
      </c>
      <c r="AJ402" s="19">
        <f t="shared" si="123"/>
        <v>1966354.6022462982</v>
      </c>
      <c r="AK402" s="20">
        <f t="shared" si="132"/>
        <v>0.12327425538313459</v>
      </c>
      <c r="AL402" s="17"/>
      <c r="AM402" s="17"/>
      <c r="AN402" s="17"/>
      <c r="AO402" s="17"/>
      <c r="AP402" s="28" t="str">
        <f t="shared" si="133"/>
        <v>20237</v>
      </c>
      <c r="AQ402" s="28" t="str">
        <f t="shared" si="134"/>
        <v>20237JPY</v>
      </c>
      <c r="AR402" s="206" t="str">
        <f t="shared" si="135"/>
        <v>YAMAHA_Mounter</v>
      </c>
      <c r="AS402" s="22">
        <f t="shared" si="136"/>
        <v>1</v>
      </c>
      <c r="AT402" s="24" t="str">
        <f t="shared" si="137"/>
        <v>0-3 months</v>
      </c>
      <c r="AU402" s="22" t="s">
        <v>3745</v>
      </c>
    </row>
    <row r="403" spans="1:47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27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38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22"/>
        <v>15951056.41591504</v>
      </c>
      <c r="AJ403" s="19">
        <f t="shared" si="123"/>
        <v>1966354.6022462982</v>
      </c>
      <c r="AK403" s="20">
        <f t="shared" si="132"/>
        <v>0.12327425538313459</v>
      </c>
      <c r="AL403" s="17"/>
      <c r="AM403" s="17"/>
      <c r="AN403" s="17"/>
      <c r="AO403" s="17"/>
      <c r="AP403" s="28" t="str">
        <f t="shared" si="133"/>
        <v>20237</v>
      </c>
      <c r="AQ403" s="28" t="str">
        <f t="shared" si="134"/>
        <v>20237JPY</v>
      </c>
      <c r="AR403" s="206" t="str">
        <f t="shared" si="135"/>
        <v>YAMAHA_Mounter</v>
      </c>
      <c r="AS403" s="22">
        <f t="shared" si="136"/>
        <v>1</v>
      </c>
      <c r="AT403" s="24" t="str">
        <f t="shared" si="137"/>
        <v>0-3 months</v>
      </c>
      <c r="AU403" s="22" t="s">
        <v>3745</v>
      </c>
    </row>
    <row r="404" spans="1:47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27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38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22"/>
        <v>33543315.897345133</v>
      </c>
      <c r="AJ404" s="19">
        <f t="shared" si="123"/>
        <v>4706169.3252984071</v>
      </c>
      <c r="AK404" s="20">
        <f t="shared" si="132"/>
        <v>0.14030125523967318</v>
      </c>
      <c r="AL404" s="17"/>
      <c r="AM404" s="17"/>
      <c r="AN404" s="17"/>
      <c r="AO404" s="17"/>
      <c r="AP404" s="28" t="str">
        <f t="shared" si="133"/>
        <v>20233</v>
      </c>
      <c r="AQ404" s="28" t="str">
        <f t="shared" si="134"/>
        <v>20233RMB</v>
      </c>
      <c r="AR404" s="206" t="str">
        <f t="shared" si="135"/>
        <v>YAMAHA_Mounter</v>
      </c>
      <c r="AS404" s="22">
        <f t="shared" si="136"/>
        <v>1</v>
      </c>
      <c r="AT404" s="24" t="str">
        <f t="shared" si="137"/>
        <v>0-3 months</v>
      </c>
      <c r="AU404" s="22" t="s">
        <v>3240</v>
      </c>
    </row>
    <row r="405" spans="1:47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27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22"/>
        <v>29946107.503386207</v>
      </c>
      <c r="AJ405" s="19">
        <f t="shared" si="123"/>
        <v>3987206.4954923098</v>
      </c>
      <c r="AK405" s="20">
        <f t="shared" si="132"/>
        <v>0.13314606898547499</v>
      </c>
      <c r="AL405" s="17"/>
      <c r="AM405" s="17"/>
      <c r="AN405" s="17"/>
      <c r="AO405" s="17"/>
      <c r="AP405" s="28" t="str">
        <f t="shared" si="133"/>
        <v>20187</v>
      </c>
      <c r="AQ405" s="28" t="str">
        <f t="shared" si="134"/>
        <v>20187RMB</v>
      </c>
      <c r="AR405" s="206" t="str">
        <f t="shared" si="135"/>
        <v>YAMAHA_Mounter</v>
      </c>
      <c r="AS405" s="22">
        <f t="shared" si="136"/>
        <v>3</v>
      </c>
      <c r="AT405" s="24" t="str">
        <f t="shared" si="137"/>
        <v>0-3 months</v>
      </c>
      <c r="AU405" s="22" t="s">
        <v>3240</v>
      </c>
    </row>
    <row r="406" spans="1:47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27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22"/>
        <v>29946107.503386207</v>
      </c>
      <c r="AJ406" s="19">
        <f t="shared" si="123"/>
        <v>3987206.4954923098</v>
      </c>
      <c r="AK406" s="20">
        <f t="shared" si="132"/>
        <v>0.13314606898547499</v>
      </c>
      <c r="AL406" s="17"/>
      <c r="AM406" s="17"/>
      <c r="AN406" s="17"/>
      <c r="AO406" s="17"/>
      <c r="AP406" s="28" t="str">
        <f t="shared" si="133"/>
        <v>20187</v>
      </c>
      <c r="AQ406" s="28" t="str">
        <f t="shared" si="134"/>
        <v>20187RMB</v>
      </c>
      <c r="AR406" s="206" t="str">
        <f t="shared" si="135"/>
        <v>YAMAHA_Mounter</v>
      </c>
      <c r="AS406" s="22">
        <f t="shared" si="136"/>
        <v>3</v>
      </c>
      <c r="AT406" s="24" t="str">
        <f t="shared" si="137"/>
        <v>0-3 months</v>
      </c>
      <c r="AU406" s="22" t="s">
        <v>3240</v>
      </c>
    </row>
    <row r="407" spans="1:47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27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22"/>
        <v>29183109.05575221</v>
      </c>
      <c r="AJ407" s="19">
        <f t="shared" si="123"/>
        <v>3741266.5648721238</v>
      </c>
      <c r="AK407" s="20">
        <f t="shared" si="132"/>
        <v>0.12819972531798121</v>
      </c>
      <c r="AL407" s="17"/>
      <c r="AM407" s="17"/>
      <c r="AN407" s="17"/>
      <c r="AO407" s="17"/>
      <c r="AP407" s="28" t="str">
        <f t="shared" si="133"/>
        <v>20206</v>
      </c>
      <c r="AQ407" s="28" t="str">
        <f t="shared" si="134"/>
        <v>20206RMB</v>
      </c>
      <c r="AR407" s="206" t="str">
        <f t="shared" si="135"/>
        <v>YAMAHA_Mounter</v>
      </c>
      <c r="AS407" s="22">
        <f t="shared" si="136"/>
        <v>3</v>
      </c>
      <c r="AT407" s="24" t="str">
        <f t="shared" si="137"/>
        <v>0-3 months</v>
      </c>
      <c r="AU407" s="22" t="s">
        <v>3240</v>
      </c>
    </row>
    <row r="408" spans="1:47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27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22"/>
        <v>29183109.05575221</v>
      </c>
      <c r="AJ408" s="19">
        <f t="shared" si="123"/>
        <v>3741266.5648721238</v>
      </c>
      <c r="AK408" s="20">
        <f t="shared" si="132"/>
        <v>0.12819972531798121</v>
      </c>
      <c r="AL408" s="17"/>
      <c r="AM408" s="17"/>
      <c r="AN408" s="17"/>
      <c r="AO408" s="17"/>
      <c r="AP408" s="28" t="str">
        <f t="shared" si="133"/>
        <v>20206</v>
      </c>
      <c r="AQ408" s="28" t="str">
        <f t="shared" si="134"/>
        <v>20206RMB</v>
      </c>
      <c r="AR408" s="206" t="str">
        <f t="shared" si="135"/>
        <v>YAMAHA_Mounter</v>
      </c>
      <c r="AS408" s="22">
        <f t="shared" si="136"/>
        <v>3</v>
      </c>
      <c r="AT408" s="24" t="str">
        <f t="shared" si="137"/>
        <v>0-3 months</v>
      </c>
      <c r="AU408" s="22" t="s">
        <v>3240</v>
      </c>
    </row>
    <row r="409" spans="1:47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27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22"/>
        <v>22953677.784070797</v>
      </c>
      <c r="AJ409" s="19">
        <f t="shared" si="123"/>
        <v>4168706.6744155753</v>
      </c>
      <c r="AK409" s="20">
        <f t="shared" si="132"/>
        <v>0.18161388835511752</v>
      </c>
      <c r="AL409" s="17"/>
      <c r="AM409" s="17"/>
      <c r="AN409" s="17"/>
      <c r="AO409" s="17"/>
      <c r="AP409" s="28" t="str">
        <f t="shared" si="133"/>
        <v>20238</v>
      </c>
      <c r="AQ409" s="28" t="str">
        <f t="shared" si="134"/>
        <v>20238RMB</v>
      </c>
      <c r="AR409" s="206" t="str">
        <f t="shared" si="135"/>
        <v>YAMAHA_Mounter</v>
      </c>
      <c r="AS409" s="22">
        <f t="shared" si="136"/>
        <v>4</v>
      </c>
      <c r="AT409" s="24" t="str">
        <f t="shared" si="137"/>
        <v>4-6 months</v>
      </c>
      <c r="AU409" s="22" t="s">
        <v>3240</v>
      </c>
    </row>
    <row r="410" spans="1:47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27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22"/>
        <v>22953677.784070797</v>
      </c>
      <c r="AJ410" s="19">
        <f t="shared" si="123"/>
        <v>4168706.6744155753</v>
      </c>
      <c r="AK410" s="20">
        <f t="shared" si="132"/>
        <v>0.18161388835511752</v>
      </c>
      <c r="AL410" s="17"/>
      <c r="AM410" s="17"/>
      <c r="AN410" s="17"/>
      <c r="AO410" s="17"/>
      <c r="AP410" s="28" t="str">
        <f t="shared" si="133"/>
        <v>20238</v>
      </c>
      <c r="AQ410" s="28" t="str">
        <f t="shared" si="134"/>
        <v>20238RMB</v>
      </c>
      <c r="AR410" s="206" t="str">
        <f t="shared" si="135"/>
        <v>YAMAHA_Mounter</v>
      </c>
      <c r="AS410" s="22">
        <f t="shared" si="136"/>
        <v>4</v>
      </c>
      <c r="AT410" s="24" t="str">
        <f t="shared" si="137"/>
        <v>4-6 months</v>
      </c>
      <c r="AU410" s="22" t="s">
        <v>3240</v>
      </c>
    </row>
    <row r="411" spans="1:47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27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22"/>
        <v>22953677.784070797</v>
      </c>
      <c r="AJ411" s="19">
        <f t="shared" si="123"/>
        <v>4168706.6744155753</v>
      </c>
      <c r="AK411" s="20">
        <f t="shared" si="132"/>
        <v>0.18161388835511752</v>
      </c>
      <c r="AL411" s="17"/>
      <c r="AM411" s="17"/>
      <c r="AN411" s="17"/>
      <c r="AO411" s="17"/>
      <c r="AP411" s="28" t="str">
        <f t="shared" si="133"/>
        <v>20238</v>
      </c>
      <c r="AQ411" s="28" t="str">
        <f t="shared" si="134"/>
        <v>20238RMB</v>
      </c>
      <c r="AR411" s="206" t="str">
        <f t="shared" si="135"/>
        <v>YAMAHA_Mounter</v>
      </c>
      <c r="AS411" s="22">
        <f t="shared" si="136"/>
        <v>4</v>
      </c>
      <c r="AT411" s="24" t="str">
        <f t="shared" si="137"/>
        <v>4-6 months</v>
      </c>
      <c r="AU411" s="22" t="s">
        <v>3240</v>
      </c>
    </row>
    <row r="412" spans="1:47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27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22"/>
        <v>22953677.784070797</v>
      </c>
      <c r="AJ412" s="19">
        <f t="shared" si="123"/>
        <v>4168706.6744155753</v>
      </c>
      <c r="AK412" s="20">
        <f t="shared" si="132"/>
        <v>0.18161388835511752</v>
      </c>
      <c r="AL412" s="17"/>
      <c r="AM412" s="17"/>
      <c r="AN412" s="17"/>
      <c r="AO412" s="17"/>
      <c r="AP412" s="28" t="str">
        <f t="shared" si="133"/>
        <v>20238</v>
      </c>
      <c r="AQ412" s="28" t="str">
        <f t="shared" si="134"/>
        <v>20238RMB</v>
      </c>
      <c r="AR412" s="206" t="str">
        <f t="shared" si="135"/>
        <v>YAMAHA_Non_Mounter</v>
      </c>
      <c r="AS412" s="22">
        <f t="shared" si="136"/>
        <v>4</v>
      </c>
      <c r="AT412" s="24" t="str">
        <f t="shared" si="137"/>
        <v>4-6 months</v>
      </c>
      <c r="AU412" s="22" t="s">
        <v>3240</v>
      </c>
    </row>
    <row r="413" spans="1:47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27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22"/>
        <v>13640480.497522123</v>
      </c>
      <c r="AJ413" s="19">
        <f t="shared" si="123"/>
        <v>1928605.8020906283</v>
      </c>
      <c r="AK413" s="20">
        <f t="shared" si="132"/>
        <v>0.1413884065477731</v>
      </c>
      <c r="AL413" s="17"/>
      <c r="AM413" s="17"/>
      <c r="AN413" s="17"/>
      <c r="AO413" s="17"/>
      <c r="AP413" s="28" t="str">
        <f t="shared" si="133"/>
        <v>20236</v>
      </c>
      <c r="AQ413" s="28" t="str">
        <f t="shared" si="134"/>
        <v>20236RMB</v>
      </c>
      <c r="AR413" s="206" t="str">
        <f t="shared" si="135"/>
        <v>SOLDERSTAR</v>
      </c>
      <c r="AS413" s="22">
        <f t="shared" si="136"/>
        <v>1</v>
      </c>
      <c r="AT413" s="24" t="str">
        <f t="shared" si="137"/>
        <v>0-3 months</v>
      </c>
      <c r="AU413" s="22" t="s">
        <v>3240</v>
      </c>
    </row>
    <row r="414" spans="1:47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27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39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22"/>
        <v>35682787.057522126</v>
      </c>
      <c r="AJ414" s="19">
        <f t="shared" si="123"/>
        <v>5833368.3789623892</v>
      </c>
      <c r="AK414" s="20">
        <f t="shared" si="132"/>
        <v>0.16347849649632912</v>
      </c>
      <c r="AL414" s="17"/>
      <c r="AM414" s="17"/>
      <c r="AN414" s="17"/>
      <c r="AO414" s="17"/>
      <c r="AP414" s="28" t="str">
        <f t="shared" si="133"/>
        <v>20226</v>
      </c>
      <c r="AQ414" s="28" t="str">
        <f t="shared" si="134"/>
        <v>20226RMB</v>
      </c>
      <c r="AR414" s="206" t="str">
        <f t="shared" si="135"/>
        <v>YAMAHA_Mounter</v>
      </c>
      <c r="AS414" s="22">
        <f t="shared" si="136"/>
        <v>8</v>
      </c>
      <c r="AT414" s="24" t="str">
        <f t="shared" si="137"/>
        <v>&gt; 6 months</v>
      </c>
      <c r="AU414" s="22" t="s">
        <v>3240</v>
      </c>
    </row>
    <row r="415" spans="1:47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27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39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22"/>
        <v>30573205.452778768</v>
      </c>
      <c r="AJ415" s="19">
        <f t="shared" si="123"/>
        <v>3790930.1683151261</v>
      </c>
      <c r="AK415" s="20">
        <f t="shared" si="132"/>
        <v>0.12399518179964254</v>
      </c>
      <c r="AL415" s="17"/>
      <c r="AM415" s="17"/>
      <c r="AN415" s="17"/>
      <c r="AO415" s="17"/>
      <c r="AP415" s="28" t="str">
        <f t="shared" si="133"/>
        <v>20234</v>
      </c>
      <c r="AQ415" s="28" t="str">
        <f t="shared" si="134"/>
        <v>20234RMB</v>
      </c>
      <c r="AR415" s="206" t="str">
        <f t="shared" si="135"/>
        <v>YAMAHA_Mounter</v>
      </c>
      <c r="AS415" s="22">
        <f t="shared" si="136"/>
        <v>0</v>
      </c>
      <c r="AT415" s="24" t="str">
        <f t="shared" si="137"/>
        <v>0-3 months</v>
      </c>
      <c r="AU415" s="22" t="s">
        <v>3240</v>
      </c>
    </row>
    <row r="416" spans="1:47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27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39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22"/>
        <v>31750699.113741599</v>
      </c>
      <c r="AJ416" s="19">
        <f t="shared" si="123"/>
        <v>4396077.3195289988</v>
      </c>
      <c r="AK416" s="20">
        <f t="shared" si="132"/>
        <v>0.13845607946397598</v>
      </c>
      <c r="AL416" s="17"/>
      <c r="AM416" s="17"/>
      <c r="AN416" s="17"/>
      <c r="AO416" s="17"/>
      <c r="AP416" s="28" t="str">
        <f t="shared" si="133"/>
        <v>20222</v>
      </c>
      <c r="AQ416" s="28" t="str">
        <f t="shared" si="134"/>
        <v>20222RMB</v>
      </c>
      <c r="AR416" s="206" t="str">
        <f t="shared" si="135"/>
        <v>YAMAHA_Mounter</v>
      </c>
      <c r="AS416" s="22">
        <f t="shared" si="136"/>
        <v>5</v>
      </c>
      <c r="AT416" s="24" t="str">
        <f t="shared" si="137"/>
        <v>4-6 months</v>
      </c>
      <c r="AU416" s="22" t="s">
        <v>3240</v>
      </c>
    </row>
    <row r="417" spans="1:47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27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39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22"/>
        <v>31750699.113741599</v>
      </c>
      <c r="AJ417" s="19">
        <f t="shared" si="123"/>
        <v>4396077.3195289988</v>
      </c>
      <c r="AK417" s="20">
        <f t="shared" si="132"/>
        <v>0.13845607946397598</v>
      </c>
      <c r="AL417" s="17"/>
      <c r="AM417" s="17"/>
      <c r="AN417" s="17"/>
      <c r="AO417" s="17"/>
      <c r="AP417" s="28" t="str">
        <f t="shared" si="133"/>
        <v>20222</v>
      </c>
      <c r="AQ417" s="28" t="str">
        <f t="shared" si="134"/>
        <v>20222RMB</v>
      </c>
      <c r="AR417" s="206" t="str">
        <f t="shared" si="135"/>
        <v>YAMAHA_Mounter</v>
      </c>
      <c r="AS417" s="22">
        <f t="shared" si="136"/>
        <v>5</v>
      </c>
      <c r="AT417" s="24" t="str">
        <f t="shared" si="137"/>
        <v>4-6 months</v>
      </c>
      <c r="AU417" s="22" t="s">
        <v>3240</v>
      </c>
    </row>
    <row r="418" spans="1:47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27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39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22"/>
        <v>31750699.113741599</v>
      </c>
      <c r="AJ418" s="19">
        <f t="shared" si="123"/>
        <v>4396077.3195289988</v>
      </c>
      <c r="AK418" s="20">
        <f t="shared" si="132"/>
        <v>0.13845607946397598</v>
      </c>
      <c r="AL418" s="17"/>
      <c r="AM418" s="17"/>
      <c r="AN418" s="17"/>
      <c r="AO418" s="17"/>
      <c r="AP418" s="28" t="str">
        <f t="shared" si="133"/>
        <v>20222</v>
      </c>
      <c r="AQ418" s="28" t="str">
        <f t="shared" si="134"/>
        <v>20222RMB</v>
      </c>
      <c r="AR418" s="206" t="str">
        <f t="shared" si="135"/>
        <v>YAMAHA_Mounter</v>
      </c>
      <c r="AS418" s="22">
        <f t="shared" si="136"/>
        <v>5</v>
      </c>
      <c r="AT418" s="24" t="str">
        <f t="shared" si="137"/>
        <v>4-6 months</v>
      </c>
      <c r="AU418" s="22" t="s">
        <v>3240</v>
      </c>
    </row>
    <row r="419" spans="1:47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27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39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22"/>
        <v>31750699.113741599</v>
      </c>
      <c r="AJ419" s="19">
        <f t="shared" si="123"/>
        <v>4396077.3195289988</v>
      </c>
      <c r="AK419" s="20">
        <f t="shared" si="132"/>
        <v>0.13845607946397598</v>
      </c>
      <c r="AL419" s="17"/>
      <c r="AM419" s="17"/>
      <c r="AN419" s="17"/>
      <c r="AO419" s="17"/>
      <c r="AP419" s="28" t="str">
        <f t="shared" si="133"/>
        <v>20222</v>
      </c>
      <c r="AQ419" s="28" t="str">
        <f t="shared" si="134"/>
        <v>20222RMB</v>
      </c>
      <c r="AR419" s="206" t="str">
        <f t="shared" si="135"/>
        <v>YAMAHA_Mounter</v>
      </c>
      <c r="AS419" s="22">
        <f t="shared" si="136"/>
        <v>5</v>
      </c>
      <c r="AT419" s="24" t="str">
        <f t="shared" si="137"/>
        <v>4-6 months</v>
      </c>
      <c r="AU419" s="22" t="s">
        <v>3240</v>
      </c>
    </row>
    <row r="420" spans="1:47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27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22"/>
        <v>31017966.201968137</v>
      </c>
      <c r="AJ420" s="19">
        <f t="shared" si="123"/>
        <v>4704250.3347305888</v>
      </c>
      <c r="AK420" s="20">
        <f t="shared" si="132"/>
        <v>0.15166211427595458</v>
      </c>
      <c r="AL420" s="17"/>
      <c r="AM420" s="17"/>
      <c r="AN420" s="17"/>
      <c r="AO420" s="17"/>
      <c r="AP420" s="28" t="str">
        <f t="shared" si="133"/>
        <v>202211</v>
      </c>
      <c r="AQ420" s="28" t="str">
        <f t="shared" si="134"/>
        <v>202211RMB</v>
      </c>
      <c r="AR420" s="206" t="str">
        <f t="shared" si="135"/>
        <v>SOLDERSTAR</v>
      </c>
      <c r="AS420" s="22">
        <f t="shared" si="136"/>
        <v>1</v>
      </c>
      <c r="AT420" s="24" t="str">
        <f t="shared" si="137"/>
        <v>0-3 months</v>
      </c>
      <c r="AU420" s="22" t="s">
        <v>3240</v>
      </c>
    </row>
    <row r="421" spans="1:47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27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22"/>
        <v>29288201.603076916</v>
      </c>
      <c r="AJ421" s="19">
        <f t="shared" si="123"/>
        <v>3870159.1769246152</v>
      </c>
      <c r="AK421" s="20">
        <f t="shared" si="132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33"/>
        <v>20184</v>
      </c>
      <c r="AQ421" s="28" t="str">
        <f t="shared" si="134"/>
        <v>20184RMB</v>
      </c>
      <c r="AR421" s="206" t="str">
        <f t="shared" si="135"/>
        <v>YAMAHA_Mounter</v>
      </c>
      <c r="AS421" s="22">
        <f t="shared" si="136"/>
        <v>8</v>
      </c>
      <c r="AT421" s="24" t="str">
        <f t="shared" si="137"/>
        <v>&gt; 6 months</v>
      </c>
      <c r="AU421" s="22" t="s">
        <v>3240</v>
      </c>
    </row>
    <row r="422" spans="1:47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27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22"/>
        <v>35384300.169380538</v>
      </c>
      <c r="AJ422" s="19">
        <f t="shared" si="123"/>
        <v>5044538.8896988509</v>
      </c>
      <c r="AK422" s="20">
        <f t="shared" si="132"/>
        <v>0.14256432557804533</v>
      </c>
      <c r="AL422" s="17"/>
      <c r="AM422" s="17"/>
      <c r="AN422" s="17"/>
      <c r="AO422" s="17"/>
      <c r="AP422" s="28" t="str">
        <f t="shared" si="133"/>
        <v>20207</v>
      </c>
      <c r="AQ422" s="28" t="str">
        <f t="shared" si="134"/>
        <v>20207RMB</v>
      </c>
      <c r="AR422" s="206" t="str">
        <f t="shared" si="135"/>
        <v>YAMAHA_Mounter</v>
      </c>
      <c r="AS422" s="22">
        <f t="shared" si="136"/>
        <v>2</v>
      </c>
      <c r="AT422" s="24" t="str">
        <f t="shared" si="137"/>
        <v>0-3 months</v>
      </c>
      <c r="AU422" s="22" t="s">
        <v>3240</v>
      </c>
    </row>
    <row r="423" spans="1:47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27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40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22"/>
        <v>29500529.005044252</v>
      </c>
      <c r="AJ423" s="19">
        <f t="shared" si="123"/>
        <v>3253064.846231177</v>
      </c>
      <c r="AK423" s="20">
        <f t="shared" si="132"/>
        <v>0.11027140718984871</v>
      </c>
      <c r="AL423" s="17"/>
      <c r="AM423" s="17"/>
      <c r="AN423" s="17"/>
      <c r="AO423" s="17"/>
      <c r="AP423" s="28" t="str">
        <f t="shared" si="133"/>
        <v>202111</v>
      </c>
      <c r="AQ423" s="28" t="str">
        <f t="shared" si="134"/>
        <v>202111RMB</v>
      </c>
      <c r="AR423" s="206" t="str">
        <f t="shared" si="135"/>
        <v>YAMAHA_Mounter</v>
      </c>
      <c r="AS423" s="22">
        <f t="shared" si="136"/>
        <v>3</v>
      </c>
      <c r="AT423" s="24" t="str">
        <f t="shared" si="137"/>
        <v>0-3 months</v>
      </c>
      <c r="AU423" s="22" t="s">
        <v>3240</v>
      </c>
    </row>
    <row r="424" spans="1:47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27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40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22"/>
        <v>31750699.113741599</v>
      </c>
      <c r="AJ424" s="19">
        <f t="shared" si="123"/>
        <v>4396077.3195289988</v>
      </c>
      <c r="AK424" s="20">
        <f t="shared" si="132"/>
        <v>0.13845607946397598</v>
      </c>
      <c r="AL424" s="17"/>
      <c r="AM424" s="17"/>
      <c r="AN424" s="17"/>
      <c r="AO424" s="17"/>
      <c r="AP424" s="28" t="str">
        <f t="shared" si="133"/>
        <v>20222</v>
      </c>
      <c r="AQ424" s="28" t="str">
        <f t="shared" si="134"/>
        <v>20222RMB</v>
      </c>
      <c r="AR424" s="206" t="str">
        <f t="shared" si="135"/>
        <v>LOCAL SUPPLIER</v>
      </c>
      <c r="AS424" s="22">
        <f t="shared" si="136"/>
        <v>3</v>
      </c>
      <c r="AT424" s="24" t="str">
        <f t="shared" si="137"/>
        <v>0-3 months</v>
      </c>
      <c r="AU424" s="22" t="s">
        <v>3240</v>
      </c>
    </row>
    <row r="425" spans="1:47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27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40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22"/>
        <v>31750699.113741599</v>
      </c>
      <c r="AJ425" s="19">
        <f t="shared" si="123"/>
        <v>4396077.3195289988</v>
      </c>
      <c r="AK425" s="20">
        <f t="shared" si="132"/>
        <v>0.13845607946397598</v>
      </c>
      <c r="AL425" s="17"/>
      <c r="AM425" s="17"/>
      <c r="AN425" s="17"/>
      <c r="AO425" s="17"/>
      <c r="AP425" s="28" t="str">
        <f t="shared" si="133"/>
        <v>20222</v>
      </c>
      <c r="AQ425" s="28" t="str">
        <f t="shared" si="134"/>
        <v>20222RMB</v>
      </c>
      <c r="AR425" s="206" t="str">
        <f t="shared" si="135"/>
        <v>LOCAL SUPPLIER</v>
      </c>
      <c r="AS425" s="22">
        <f t="shared" si="136"/>
        <v>3</v>
      </c>
      <c r="AT425" s="24" t="str">
        <f t="shared" si="137"/>
        <v>0-3 months</v>
      </c>
      <c r="AU425" s="22" t="s">
        <v>3240</v>
      </c>
    </row>
    <row r="426" spans="1:47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27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40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22"/>
        <v>31750699.113741599</v>
      </c>
      <c r="AJ426" s="19">
        <f t="shared" si="123"/>
        <v>4396077.3195289988</v>
      </c>
      <c r="AK426" s="20">
        <f t="shared" si="132"/>
        <v>0.13845607946397598</v>
      </c>
      <c r="AL426" s="17"/>
      <c r="AM426" s="17"/>
      <c r="AN426" s="17"/>
      <c r="AO426" s="17"/>
      <c r="AP426" s="28" t="str">
        <f t="shared" si="133"/>
        <v>20222</v>
      </c>
      <c r="AQ426" s="28" t="str">
        <f t="shared" si="134"/>
        <v>20222RMB</v>
      </c>
      <c r="AR426" s="206" t="str">
        <f t="shared" si="135"/>
        <v>LOCAL SUPPLIER</v>
      </c>
      <c r="AS426" s="22">
        <f t="shared" si="136"/>
        <v>3</v>
      </c>
      <c r="AT426" s="24" t="str">
        <f t="shared" si="137"/>
        <v>0-3 months</v>
      </c>
      <c r="AU426" s="22" t="s">
        <v>3240</v>
      </c>
    </row>
    <row r="427" spans="1:47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27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40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22"/>
        <v>31750699.113741599</v>
      </c>
      <c r="AJ427" s="19">
        <f t="shared" si="123"/>
        <v>4396077.3195289988</v>
      </c>
      <c r="AK427" s="20">
        <f t="shared" si="132"/>
        <v>0.13845607946397598</v>
      </c>
      <c r="AL427" s="17"/>
      <c r="AM427" s="17"/>
      <c r="AN427" s="17"/>
      <c r="AO427" s="17"/>
      <c r="AP427" s="28" t="str">
        <f t="shared" si="133"/>
        <v>20222</v>
      </c>
      <c r="AQ427" s="28" t="str">
        <f t="shared" si="134"/>
        <v>20222RMB</v>
      </c>
      <c r="AR427" s="206" t="str">
        <f t="shared" si="135"/>
        <v>LOCAL SUPPLIER</v>
      </c>
      <c r="AS427" s="22">
        <f t="shared" si="136"/>
        <v>3</v>
      </c>
      <c r="AT427" s="24" t="str">
        <f t="shared" si="137"/>
        <v>0-3 months</v>
      </c>
      <c r="AU427" s="22" t="s">
        <v>3240</v>
      </c>
    </row>
    <row r="428" spans="1:47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27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40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22"/>
        <v>31750699.113741599</v>
      </c>
      <c r="AJ428" s="19">
        <f t="shared" si="123"/>
        <v>4396077.3195289988</v>
      </c>
      <c r="AK428" s="20">
        <f t="shared" si="132"/>
        <v>0.13845607946397598</v>
      </c>
      <c r="AL428" s="17"/>
      <c r="AM428" s="17"/>
      <c r="AN428" s="17"/>
      <c r="AO428" s="17"/>
      <c r="AP428" s="28" t="str">
        <f t="shared" si="133"/>
        <v>20222</v>
      </c>
      <c r="AQ428" s="28" t="str">
        <f t="shared" si="134"/>
        <v>20222RMB</v>
      </c>
      <c r="AR428" s="206" t="str">
        <f t="shared" si="135"/>
        <v>LOCAL SUPPLIER</v>
      </c>
      <c r="AS428" s="22">
        <f t="shared" si="136"/>
        <v>3</v>
      </c>
      <c r="AT428" s="24" t="str">
        <f t="shared" si="137"/>
        <v>0-3 months</v>
      </c>
      <c r="AU428" s="22" t="s">
        <v>3240</v>
      </c>
    </row>
    <row r="429" spans="1:47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27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40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22"/>
        <v>31750699.113741599</v>
      </c>
      <c r="AJ429" s="19">
        <f t="shared" si="123"/>
        <v>4396077.3195289988</v>
      </c>
      <c r="AK429" s="20">
        <f t="shared" si="132"/>
        <v>0.13845607946397598</v>
      </c>
      <c r="AL429" s="17"/>
      <c r="AM429" s="17"/>
      <c r="AN429" s="17"/>
      <c r="AO429" s="17"/>
      <c r="AP429" s="28" t="str">
        <f t="shared" si="133"/>
        <v>20222</v>
      </c>
      <c r="AQ429" s="28" t="str">
        <f t="shared" si="134"/>
        <v>20222RMB</v>
      </c>
      <c r="AR429" s="206" t="str">
        <f t="shared" si="135"/>
        <v>LOCAL SUPPLIER</v>
      </c>
      <c r="AS429" s="22">
        <f t="shared" si="136"/>
        <v>3</v>
      </c>
      <c r="AT429" s="24" t="str">
        <f t="shared" si="137"/>
        <v>0-3 months</v>
      </c>
      <c r="AU429" s="22" t="s">
        <v>3240</v>
      </c>
    </row>
    <row r="430" spans="1:47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27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40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22"/>
        <v>31750699.113741599</v>
      </c>
      <c r="AJ430" s="19">
        <f t="shared" si="123"/>
        <v>4396077.3195289988</v>
      </c>
      <c r="AK430" s="20">
        <f t="shared" si="132"/>
        <v>0.13845607946397598</v>
      </c>
      <c r="AL430" s="17"/>
      <c r="AM430" s="17"/>
      <c r="AN430" s="17"/>
      <c r="AO430" s="17"/>
      <c r="AP430" s="28" t="str">
        <f t="shared" si="133"/>
        <v>20222</v>
      </c>
      <c r="AQ430" s="28" t="str">
        <f t="shared" si="134"/>
        <v>20222RMB</v>
      </c>
      <c r="AR430" s="206" t="str">
        <f t="shared" si="135"/>
        <v>LOCAL SUPPLIER</v>
      </c>
      <c r="AS430" s="22">
        <f t="shared" si="136"/>
        <v>3</v>
      </c>
      <c r="AT430" s="24" t="str">
        <f t="shared" si="137"/>
        <v>0-3 months</v>
      </c>
      <c r="AU430" s="22" t="s">
        <v>3240</v>
      </c>
    </row>
    <row r="431" spans="1:47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27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40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22"/>
        <v>31750699.113741599</v>
      </c>
      <c r="AJ431" s="19">
        <f t="shared" si="123"/>
        <v>4396077.3195289988</v>
      </c>
      <c r="AK431" s="20">
        <f t="shared" si="132"/>
        <v>0.13845607946397598</v>
      </c>
      <c r="AL431" s="17"/>
      <c r="AM431" s="17"/>
      <c r="AN431" s="17"/>
      <c r="AO431" s="17"/>
      <c r="AP431" s="28" t="str">
        <f t="shared" si="133"/>
        <v>20222</v>
      </c>
      <c r="AQ431" s="28" t="str">
        <f t="shared" si="134"/>
        <v>20222RMB</v>
      </c>
      <c r="AR431" s="206" t="str">
        <f t="shared" si="135"/>
        <v>LOCAL SUPPLIER</v>
      </c>
      <c r="AS431" s="22">
        <f t="shared" si="136"/>
        <v>3</v>
      </c>
      <c r="AT431" s="24" t="str">
        <f t="shared" si="137"/>
        <v>0-3 months</v>
      </c>
      <c r="AU431" s="22" t="s">
        <v>3240</v>
      </c>
    </row>
    <row r="432" spans="1:47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27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40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22"/>
        <v>37969334.083628319</v>
      </c>
      <c r="AJ432" s="19">
        <f t="shared" si="123"/>
        <v>5097226.4551657084</v>
      </c>
      <c r="AK432" s="20">
        <f t="shared" si="132"/>
        <v>0.13424587441904964</v>
      </c>
      <c r="AL432" s="17"/>
      <c r="AM432" s="17"/>
      <c r="AN432" s="17"/>
      <c r="AO432" s="17"/>
      <c r="AP432" s="28" t="str">
        <f t="shared" si="133"/>
        <v>20208</v>
      </c>
      <c r="AQ432" s="28" t="str">
        <f t="shared" si="134"/>
        <v>20208RMB</v>
      </c>
      <c r="AR432" s="206" t="str">
        <f t="shared" si="135"/>
        <v>LOCAL SUPPLIER</v>
      </c>
      <c r="AS432" s="22">
        <f t="shared" si="136"/>
        <v>1</v>
      </c>
      <c r="AT432" s="24" t="str">
        <f t="shared" si="137"/>
        <v>0-3 months</v>
      </c>
      <c r="AU432" s="22" t="s">
        <v>3240</v>
      </c>
    </row>
    <row r="433" spans="1:47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27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40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22"/>
        <v>35384300.169380538</v>
      </c>
      <c r="AJ433" s="19">
        <f t="shared" si="123"/>
        <v>5044538.8896988509</v>
      </c>
      <c r="AK433" s="20">
        <f t="shared" si="132"/>
        <v>0.14256432557804533</v>
      </c>
      <c r="AL433" s="17"/>
      <c r="AM433" s="17"/>
      <c r="AN433" s="17"/>
      <c r="AO433" s="17"/>
      <c r="AP433" s="28" t="str">
        <f t="shared" si="133"/>
        <v>20207</v>
      </c>
      <c r="AQ433" s="28" t="str">
        <f t="shared" si="134"/>
        <v>20207RMB</v>
      </c>
      <c r="AR433" s="206" t="str">
        <f t="shared" si="135"/>
        <v>YAMAHA_Non_Mounter</v>
      </c>
      <c r="AS433" s="22">
        <f t="shared" si="136"/>
        <v>2</v>
      </c>
      <c r="AT433" s="24" t="str">
        <f t="shared" si="137"/>
        <v>0-3 months</v>
      </c>
      <c r="AU433" s="22" t="s">
        <v>3240</v>
      </c>
    </row>
    <row r="434" spans="1:47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27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40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22"/>
        <v>35384300.169380538</v>
      </c>
      <c r="AJ434" s="19">
        <f t="shared" si="123"/>
        <v>5044538.8896988509</v>
      </c>
      <c r="AK434" s="20">
        <f t="shared" si="132"/>
        <v>0.14256432557804533</v>
      </c>
      <c r="AL434" s="17"/>
      <c r="AM434" s="17"/>
      <c r="AN434" s="17"/>
      <c r="AO434" s="17"/>
      <c r="AP434" s="28" t="str">
        <f t="shared" si="133"/>
        <v>20207</v>
      </c>
      <c r="AQ434" s="28" t="str">
        <f t="shared" si="134"/>
        <v>20207RMB</v>
      </c>
      <c r="AR434" s="206" t="str">
        <f t="shared" si="135"/>
        <v>YAMAHA_Non_Mounter</v>
      </c>
      <c r="AS434" s="22">
        <f t="shared" si="136"/>
        <v>2</v>
      </c>
      <c r="AT434" s="24" t="str">
        <f t="shared" si="137"/>
        <v>0-3 months</v>
      </c>
      <c r="AU434" s="22" t="s">
        <v>3240</v>
      </c>
    </row>
    <row r="435" spans="1:47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27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40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22"/>
        <v>35384300.169380538</v>
      </c>
      <c r="AJ435" s="19">
        <f t="shared" si="123"/>
        <v>5044538.8896988509</v>
      </c>
      <c r="AK435" s="20">
        <f t="shared" si="132"/>
        <v>0.14256432557804533</v>
      </c>
      <c r="AL435" s="17"/>
      <c r="AM435" s="17"/>
      <c r="AN435" s="17"/>
      <c r="AO435" s="17"/>
      <c r="AP435" s="28" t="str">
        <f t="shared" si="133"/>
        <v>20207</v>
      </c>
      <c r="AQ435" s="28" t="str">
        <f t="shared" si="134"/>
        <v>20207RMB</v>
      </c>
      <c r="AR435" s="206" t="str">
        <f t="shared" si="135"/>
        <v>PEMTRON</v>
      </c>
      <c r="AS435" s="22">
        <f t="shared" si="136"/>
        <v>2</v>
      </c>
      <c r="AT435" s="24" t="str">
        <f t="shared" si="137"/>
        <v>0-3 months</v>
      </c>
      <c r="AU435" s="22" t="s">
        <v>3240</v>
      </c>
    </row>
    <row r="436" spans="1:47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27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40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22"/>
        <v>35384300.169380538</v>
      </c>
      <c r="AJ436" s="19">
        <f t="shared" si="123"/>
        <v>5044538.8896988509</v>
      </c>
      <c r="AK436" s="20">
        <f t="shared" si="132"/>
        <v>0.14256432557804533</v>
      </c>
      <c r="AL436" s="17"/>
      <c r="AM436" s="17"/>
      <c r="AN436" s="17"/>
      <c r="AO436" s="17"/>
      <c r="AP436" s="28" t="str">
        <f t="shared" si="133"/>
        <v>20207</v>
      </c>
      <c r="AQ436" s="28" t="str">
        <f t="shared" si="134"/>
        <v>20207RMB</v>
      </c>
      <c r="AR436" s="206" t="str">
        <f t="shared" si="135"/>
        <v>LOCAL SUPPLIER</v>
      </c>
      <c r="AS436" s="22">
        <f t="shared" si="136"/>
        <v>2</v>
      </c>
      <c r="AT436" s="24" t="str">
        <f t="shared" si="137"/>
        <v>0-3 months</v>
      </c>
      <c r="AU436" s="22" t="s">
        <v>3240</v>
      </c>
    </row>
    <row r="437" spans="1:47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27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40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22"/>
        <v>15533177.71460177</v>
      </c>
      <c r="AJ437" s="19">
        <f t="shared" si="123"/>
        <v>1819298.5437526547</v>
      </c>
      <c r="AK437" s="20">
        <f t="shared" si="132"/>
        <v>0.11712339723265033</v>
      </c>
      <c r="AL437" s="17"/>
      <c r="AM437" s="17"/>
      <c r="AN437" s="17"/>
      <c r="AO437" s="17"/>
      <c r="AP437" s="28" t="str">
        <f t="shared" si="133"/>
        <v>202110</v>
      </c>
      <c r="AQ437" s="28" t="str">
        <f t="shared" si="134"/>
        <v>202110RMB</v>
      </c>
      <c r="AR437" s="206" t="str">
        <f t="shared" si="135"/>
        <v>SOLDERSTAR</v>
      </c>
      <c r="AS437" s="22">
        <f t="shared" si="136"/>
        <v>2</v>
      </c>
      <c r="AT437" s="24" t="str">
        <f t="shared" si="137"/>
        <v>0-3 months</v>
      </c>
      <c r="AU437" s="22" t="s">
        <v>3240</v>
      </c>
    </row>
    <row r="438" spans="1:47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27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40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22"/>
        <v>31750699.113741599</v>
      </c>
      <c r="AJ438" s="19">
        <f t="shared" si="123"/>
        <v>4396077.3195289988</v>
      </c>
      <c r="AK438" s="20">
        <f t="shared" si="132"/>
        <v>0.13845607946397598</v>
      </c>
      <c r="AL438" s="17"/>
      <c r="AM438" s="17"/>
      <c r="AN438" s="17"/>
      <c r="AO438" s="17"/>
      <c r="AP438" s="28" t="str">
        <f t="shared" si="133"/>
        <v>20222</v>
      </c>
      <c r="AQ438" s="28" t="str">
        <f t="shared" si="134"/>
        <v>20222RMB</v>
      </c>
      <c r="AR438" s="206" t="str">
        <f t="shared" si="135"/>
        <v>YAMAHA_Non_Mounter</v>
      </c>
      <c r="AS438" s="22">
        <f t="shared" si="136"/>
        <v>3</v>
      </c>
      <c r="AT438" s="24" t="str">
        <f t="shared" si="137"/>
        <v>0-3 months</v>
      </c>
      <c r="AU438" s="22" t="s">
        <v>3240</v>
      </c>
    </row>
    <row r="439" spans="1:47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27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40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22"/>
        <v>31750699.113741599</v>
      </c>
      <c r="AJ439" s="19">
        <f t="shared" si="123"/>
        <v>4396077.3195289988</v>
      </c>
      <c r="AK439" s="20">
        <f t="shared" si="132"/>
        <v>0.13845607946397598</v>
      </c>
      <c r="AL439" s="17"/>
      <c r="AM439" s="17"/>
      <c r="AN439" s="17"/>
      <c r="AO439" s="17"/>
      <c r="AP439" s="28" t="str">
        <f t="shared" si="133"/>
        <v>20222</v>
      </c>
      <c r="AQ439" s="28" t="str">
        <f t="shared" si="134"/>
        <v>20222RMB</v>
      </c>
      <c r="AR439" s="206" t="str">
        <f t="shared" si="135"/>
        <v>YAMAHA_Non_Mounter</v>
      </c>
      <c r="AS439" s="22">
        <f t="shared" si="136"/>
        <v>3</v>
      </c>
      <c r="AT439" s="24" t="str">
        <f t="shared" si="137"/>
        <v>0-3 months</v>
      </c>
      <c r="AU439" s="22" t="s">
        <v>3240</v>
      </c>
    </row>
    <row r="440" spans="1:47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27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40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22"/>
        <v>31750699.113741599</v>
      </c>
      <c r="AJ440" s="19">
        <f t="shared" si="123"/>
        <v>4396077.3195289988</v>
      </c>
      <c r="AK440" s="20">
        <f t="shared" si="132"/>
        <v>0.13845607946397598</v>
      </c>
      <c r="AL440" s="17"/>
      <c r="AM440" s="17"/>
      <c r="AN440" s="17"/>
      <c r="AO440" s="17"/>
      <c r="AP440" s="28" t="str">
        <f t="shared" si="133"/>
        <v>20222</v>
      </c>
      <c r="AQ440" s="28" t="str">
        <f t="shared" si="134"/>
        <v>20222RMB</v>
      </c>
      <c r="AR440" s="206" t="str">
        <f t="shared" si="135"/>
        <v>PEMTRON</v>
      </c>
      <c r="AS440" s="22">
        <f t="shared" si="136"/>
        <v>3</v>
      </c>
      <c r="AT440" s="24" t="str">
        <f t="shared" si="137"/>
        <v>0-3 months</v>
      </c>
      <c r="AU440" s="22" t="s">
        <v>3240</v>
      </c>
    </row>
    <row r="441" spans="1:47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27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40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22"/>
        <v>31750699.113741599</v>
      </c>
      <c r="AJ441" s="19">
        <f t="shared" si="123"/>
        <v>4396077.3195289988</v>
      </c>
      <c r="AK441" s="20">
        <f t="shared" si="132"/>
        <v>0.13845607946397598</v>
      </c>
      <c r="AL441" s="17"/>
      <c r="AM441" s="17"/>
      <c r="AN441" s="17"/>
      <c r="AO441" s="17"/>
      <c r="AP441" s="28" t="str">
        <f t="shared" si="133"/>
        <v>20222</v>
      </c>
      <c r="AQ441" s="28" t="str">
        <f t="shared" si="134"/>
        <v>20222RMB</v>
      </c>
      <c r="AR441" s="206" t="str">
        <f t="shared" si="135"/>
        <v>PEMTRON</v>
      </c>
      <c r="AS441" s="22">
        <f t="shared" si="136"/>
        <v>3</v>
      </c>
      <c r="AT441" s="24" t="str">
        <f t="shared" si="137"/>
        <v>0-3 months</v>
      </c>
      <c r="AU441" s="22" t="s">
        <v>3240</v>
      </c>
    </row>
    <row r="442" spans="1:47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27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40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22"/>
        <v>31750699.113741599</v>
      </c>
      <c r="AJ442" s="19">
        <f t="shared" si="123"/>
        <v>4396077.3195289988</v>
      </c>
      <c r="AK442" s="20">
        <f t="shared" si="132"/>
        <v>0.13845607946397598</v>
      </c>
      <c r="AL442" s="17"/>
      <c r="AM442" s="17"/>
      <c r="AN442" s="17"/>
      <c r="AO442" s="17"/>
      <c r="AP442" s="28" t="str">
        <f t="shared" si="133"/>
        <v>20222</v>
      </c>
      <c r="AQ442" s="28" t="str">
        <f t="shared" si="134"/>
        <v>20222RMB</v>
      </c>
      <c r="AR442" s="206" t="str">
        <f t="shared" si="135"/>
        <v>LOCAL SUPPLIER</v>
      </c>
      <c r="AS442" s="22">
        <f t="shared" si="136"/>
        <v>3</v>
      </c>
      <c r="AT442" s="24" t="str">
        <f t="shared" si="137"/>
        <v>0-3 months</v>
      </c>
      <c r="AU442" s="22" t="s">
        <v>3240</v>
      </c>
    </row>
    <row r="443" spans="1:47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27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40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22"/>
        <v>31750699.113741599</v>
      </c>
      <c r="AJ443" s="19">
        <f t="shared" si="123"/>
        <v>4396077.3195289988</v>
      </c>
      <c r="AK443" s="20">
        <f t="shared" si="132"/>
        <v>0.13845607946397598</v>
      </c>
      <c r="AL443" s="17"/>
      <c r="AM443" s="17"/>
      <c r="AN443" s="17"/>
      <c r="AO443" s="17"/>
      <c r="AP443" s="28" t="str">
        <f t="shared" si="133"/>
        <v>20222</v>
      </c>
      <c r="AQ443" s="28" t="str">
        <f t="shared" si="134"/>
        <v>20222RMB</v>
      </c>
      <c r="AR443" s="206" t="str">
        <f t="shared" si="135"/>
        <v>LOCAL SUPPLIER</v>
      </c>
      <c r="AS443" s="22">
        <f t="shared" si="136"/>
        <v>3</v>
      </c>
      <c r="AT443" s="24" t="str">
        <f t="shared" si="137"/>
        <v>0-3 months</v>
      </c>
      <c r="AU443" s="22" t="s">
        <v>3240</v>
      </c>
    </row>
    <row r="444" spans="1:47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27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40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22"/>
        <v>31750699.113741599</v>
      </c>
      <c r="AJ444" s="19">
        <f t="shared" si="123"/>
        <v>4396077.3195289988</v>
      </c>
      <c r="AK444" s="20">
        <f t="shared" si="132"/>
        <v>0.13845607946397598</v>
      </c>
      <c r="AL444" s="17"/>
      <c r="AM444" s="17"/>
      <c r="AN444" s="17"/>
      <c r="AO444" s="17"/>
      <c r="AP444" s="28" t="str">
        <f t="shared" si="133"/>
        <v>20222</v>
      </c>
      <c r="AQ444" s="28" t="str">
        <f t="shared" si="134"/>
        <v>20222RMB</v>
      </c>
      <c r="AR444" s="206" t="str">
        <f t="shared" si="135"/>
        <v>LOCAL SUPPLIER</v>
      </c>
      <c r="AS444" s="22">
        <f t="shared" si="136"/>
        <v>3</v>
      </c>
      <c r="AT444" s="24" t="str">
        <f t="shared" si="137"/>
        <v>0-3 months</v>
      </c>
      <c r="AU444" s="22" t="s">
        <v>3240</v>
      </c>
    </row>
    <row r="445" spans="1:47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27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40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22"/>
        <v>31750699.113741599</v>
      </c>
      <c r="AJ445" s="19">
        <f t="shared" si="123"/>
        <v>4396077.3195289988</v>
      </c>
      <c r="AK445" s="20">
        <f t="shared" si="132"/>
        <v>0.13845607946397598</v>
      </c>
      <c r="AL445" s="17"/>
      <c r="AM445" s="17"/>
      <c r="AN445" s="17"/>
      <c r="AO445" s="17"/>
      <c r="AP445" s="28" t="str">
        <f t="shared" si="133"/>
        <v>20222</v>
      </c>
      <c r="AQ445" s="28" t="str">
        <f t="shared" si="134"/>
        <v>20222RMB</v>
      </c>
      <c r="AR445" s="206" t="str">
        <f t="shared" si="135"/>
        <v>LOCAL SUPPLIER</v>
      </c>
      <c r="AS445" s="22">
        <f t="shared" si="136"/>
        <v>3</v>
      </c>
      <c r="AT445" s="24" t="str">
        <f t="shared" si="137"/>
        <v>0-3 months</v>
      </c>
      <c r="AU445" s="22" t="s">
        <v>3240</v>
      </c>
    </row>
    <row r="446" spans="1:47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27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40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22"/>
        <v>31750699.113741599</v>
      </c>
      <c r="AJ446" s="19">
        <f t="shared" si="123"/>
        <v>4396077.3195289988</v>
      </c>
      <c r="AK446" s="20">
        <f t="shared" si="132"/>
        <v>0.13845607946397598</v>
      </c>
      <c r="AL446" s="17"/>
      <c r="AM446" s="17"/>
      <c r="AN446" s="17"/>
      <c r="AO446" s="17"/>
      <c r="AP446" s="28" t="str">
        <f t="shared" si="133"/>
        <v>20222</v>
      </c>
      <c r="AQ446" s="28" t="str">
        <f t="shared" si="134"/>
        <v>20222RMB</v>
      </c>
      <c r="AR446" s="206" t="str">
        <f t="shared" si="135"/>
        <v>LOCAL SUPPLIER</v>
      </c>
      <c r="AS446" s="22">
        <f t="shared" si="136"/>
        <v>3</v>
      </c>
      <c r="AT446" s="24" t="str">
        <f t="shared" si="137"/>
        <v>0-3 months</v>
      </c>
      <c r="AU446" s="22" t="s">
        <v>3240</v>
      </c>
    </row>
    <row r="447" spans="1:47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27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40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22"/>
        <v>31750699.113741599</v>
      </c>
      <c r="AJ447" s="19">
        <f t="shared" si="123"/>
        <v>4396077.3195289988</v>
      </c>
      <c r="AK447" s="20">
        <f t="shared" si="132"/>
        <v>0.13845607946397598</v>
      </c>
      <c r="AL447" s="17"/>
      <c r="AM447" s="17"/>
      <c r="AN447" s="17"/>
      <c r="AO447" s="17"/>
      <c r="AP447" s="28" t="str">
        <f t="shared" si="133"/>
        <v>20222</v>
      </c>
      <c r="AQ447" s="28" t="str">
        <f t="shared" si="134"/>
        <v>20222RMB</v>
      </c>
      <c r="AR447" s="206" t="str">
        <f t="shared" si="135"/>
        <v>LOCAL SUPPLIER</v>
      </c>
      <c r="AS447" s="22">
        <f t="shared" si="136"/>
        <v>3</v>
      </c>
      <c r="AT447" s="24" t="str">
        <f t="shared" si="137"/>
        <v>0-3 months</v>
      </c>
      <c r="AU447" s="22" t="s">
        <v>3240</v>
      </c>
    </row>
    <row r="448" spans="1:47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27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22"/>
        <v>29946107.503386207</v>
      </c>
      <c r="AJ448" s="19">
        <f t="shared" si="123"/>
        <v>3987206.4954923098</v>
      </c>
      <c r="AK448" s="20">
        <f t="shared" si="132"/>
        <v>0.13314606898547499</v>
      </c>
      <c r="AL448" s="17"/>
      <c r="AM448" s="17"/>
      <c r="AN448" s="17"/>
      <c r="AO448" s="17"/>
      <c r="AP448" s="28" t="str">
        <f t="shared" si="133"/>
        <v>20187</v>
      </c>
      <c r="AQ448" s="28" t="str">
        <f t="shared" si="134"/>
        <v>20187RMB</v>
      </c>
      <c r="AR448" s="206" t="str">
        <f t="shared" si="135"/>
        <v>YAMAHA_Mounter</v>
      </c>
      <c r="AS448" s="22">
        <f t="shared" si="136"/>
        <v>1</v>
      </c>
      <c r="AT448" s="24" t="str">
        <f t="shared" si="137"/>
        <v>0-3 months</v>
      </c>
      <c r="AU448" s="22" t="s">
        <v>3240</v>
      </c>
    </row>
    <row r="449" spans="1:47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27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22"/>
        <v>29946107.503386207</v>
      </c>
      <c r="AJ449" s="19">
        <f t="shared" si="123"/>
        <v>3987206.4954923098</v>
      </c>
      <c r="AK449" s="20">
        <f t="shared" si="132"/>
        <v>0.13314606898547499</v>
      </c>
      <c r="AL449" s="17"/>
      <c r="AM449" s="17"/>
      <c r="AN449" s="17"/>
      <c r="AO449" s="17"/>
      <c r="AP449" s="28" t="str">
        <f t="shared" si="133"/>
        <v>20187</v>
      </c>
      <c r="AQ449" s="28" t="str">
        <f t="shared" si="134"/>
        <v>20187RMB</v>
      </c>
      <c r="AR449" s="206" t="str">
        <f t="shared" si="135"/>
        <v>YAMAHA_Non_Mounter</v>
      </c>
      <c r="AS449" s="22">
        <f t="shared" si="136"/>
        <v>1</v>
      </c>
      <c r="AT449" s="24" t="str">
        <f t="shared" si="137"/>
        <v>0-3 months</v>
      </c>
      <c r="AU449" s="22" t="s">
        <v>3240</v>
      </c>
    </row>
    <row r="450" spans="1:47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27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ref="AI450:AI513" si="141">IF(P450="C66 SERVICE","",SUMIFS(AB:AB,F:F,F450,G:G,G450,E:E,E450))</f>
        <v>48763143.537654862</v>
      </c>
      <c r="AJ450" s="19">
        <f t="shared" ref="AJ450:AJ513" si="142">IF(P450="C66 SERVICE","",SUMIFS(AC:AC,F:F,F450,G:G,G450,E:E,E450))</f>
        <v>5924029.9702154724</v>
      </c>
      <c r="AK450" s="20">
        <f t="shared" si="132"/>
        <v>0.1214858095774925</v>
      </c>
      <c r="AL450" s="17"/>
      <c r="AM450" s="17"/>
      <c r="AN450" s="17"/>
      <c r="AO450" s="17"/>
      <c r="AP450" s="28" t="str">
        <f t="shared" si="133"/>
        <v>202012</v>
      </c>
      <c r="AQ450" s="28" t="str">
        <f t="shared" si="134"/>
        <v>202012RMB</v>
      </c>
      <c r="AR450" s="206" t="str">
        <f t="shared" si="135"/>
        <v>YAMAHA_Mounter</v>
      </c>
      <c r="AS450" s="22">
        <f t="shared" si="136"/>
        <v>1</v>
      </c>
      <c r="AT450" s="24" t="str">
        <f t="shared" si="137"/>
        <v>0-3 months</v>
      </c>
      <c r="AU450" s="22" t="s">
        <v>3743</v>
      </c>
    </row>
    <row r="451" spans="1:47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27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41"/>
        <v>48763143.537654862</v>
      </c>
      <c r="AJ451" s="19">
        <f t="shared" si="142"/>
        <v>5924029.9702154724</v>
      </c>
      <c r="AK451" s="20">
        <f t="shared" si="132"/>
        <v>0.1214858095774925</v>
      </c>
      <c r="AL451" s="17"/>
      <c r="AM451" s="17"/>
      <c r="AN451" s="17"/>
      <c r="AO451" s="17"/>
      <c r="AP451" s="28" t="str">
        <f t="shared" si="133"/>
        <v>202012</v>
      </c>
      <c r="AQ451" s="28" t="str">
        <f t="shared" si="134"/>
        <v>202012RMB</v>
      </c>
      <c r="AR451" s="206" t="str">
        <f t="shared" si="135"/>
        <v>YAMAHA_Mounter</v>
      </c>
      <c r="AS451" s="22">
        <f t="shared" si="136"/>
        <v>1</v>
      </c>
      <c r="AT451" s="24" t="str">
        <f t="shared" si="137"/>
        <v>0-3 months</v>
      </c>
      <c r="AU451" s="22" t="s">
        <v>3743</v>
      </c>
    </row>
    <row r="452" spans="1:47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27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41"/>
        <v>35682787.057522126</v>
      </c>
      <c r="AJ452" s="19">
        <f t="shared" si="142"/>
        <v>5833368.3789623892</v>
      </c>
      <c r="AK452" s="20">
        <f t="shared" si="132"/>
        <v>0.16347849649632912</v>
      </c>
      <c r="AL452" s="17"/>
      <c r="AM452" s="17"/>
      <c r="AN452" s="17"/>
      <c r="AO452" s="17"/>
      <c r="AP452" s="28" t="str">
        <f t="shared" si="133"/>
        <v>20226</v>
      </c>
      <c r="AQ452" s="28" t="str">
        <f t="shared" si="134"/>
        <v>20226RMB</v>
      </c>
      <c r="AR452" s="206" t="str">
        <f t="shared" si="135"/>
        <v>YAMAHA_Mounter</v>
      </c>
      <c r="AS452" s="22">
        <f t="shared" si="136"/>
        <v>9</v>
      </c>
      <c r="AT452" s="24" t="str">
        <f t="shared" si="137"/>
        <v>&gt; 6 months</v>
      </c>
      <c r="AU452" s="22" t="s">
        <v>3240</v>
      </c>
    </row>
    <row r="453" spans="1:47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27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41"/>
        <v>29840797.698275864</v>
      </c>
      <c r="AJ453" s="19">
        <f t="shared" si="142"/>
        <v>3940167.6555448272</v>
      </c>
      <c r="AK453" s="20">
        <f t="shared" si="132"/>
        <v>0.13203962224416277</v>
      </c>
      <c r="AL453" s="17"/>
      <c r="AM453" s="17"/>
      <c r="AN453" s="17"/>
      <c r="AO453" s="17"/>
      <c r="AP453" s="28" t="str">
        <f t="shared" si="133"/>
        <v>201812</v>
      </c>
      <c r="AQ453" s="28" t="str">
        <f t="shared" si="134"/>
        <v>201812JPY</v>
      </c>
      <c r="AR453" s="206" t="str">
        <f t="shared" si="135"/>
        <v>YAMAHA_Mounter</v>
      </c>
      <c r="AS453" s="22">
        <f t="shared" si="136"/>
        <v>1</v>
      </c>
      <c r="AT453" s="24" t="str">
        <f t="shared" si="137"/>
        <v>0-3 months</v>
      </c>
      <c r="AU453" s="22" t="s">
        <v>3744</v>
      </c>
    </row>
    <row r="454" spans="1:47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si="141"/>
        <v>29840797.698275864</v>
      </c>
      <c r="AJ454" s="19">
        <f t="shared" si="142"/>
        <v>3940167.6555448272</v>
      </c>
      <c r="AK454" s="20">
        <f t="shared" ref="AK454:AK517" si="151">IF(AJ454&gt;0,AJ454/AI454,"")</f>
        <v>0.13203962224416277</v>
      </c>
      <c r="AL454" s="17"/>
      <c r="AM454" s="17"/>
      <c r="AN454" s="17"/>
      <c r="AO454" s="17"/>
      <c r="AP454" s="28" t="str">
        <f t="shared" ref="AP454:AP517" si="152">IF(F454="","",F454&amp;G454)</f>
        <v>201812</v>
      </c>
      <c r="AQ454" s="28" t="str">
        <f t="shared" ref="AQ454:AQ517" si="153">IF(W454="","",F454&amp;G454&amp;W454)</f>
        <v>201812JPY</v>
      </c>
      <c r="AR454" s="206" t="str">
        <f t="shared" ref="AR454:AR517" si="154">IFERROR(IF(AND(M454="YAMAHA", R454="C28"), "YAMAHA_Non_Mounter", IF(AND(M454="YAMAHA", R454="C49"), "YAMAHA_Mounter", M454)),"")</f>
        <v>YAMAHA_Mounter</v>
      </c>
      <c r="AS454" s="22">
        <f t="shared" ref="AS454:AS517" si="155">IFERROR(IF(OR(G454="TBA", G454=""), "", DATEDIF(DATE(B454, C454, 1), DATE(F454, G454, 1), "M")),"")</f>
        <v>1</v>
      </c>
      <c r="AT454" s="24" t="str">
        <f t="shared" ref="AT454:AT517" si="156">IF(ISNUMBER(AS454), IF(AS454&gt;=0, IF(AS454&lt;=3, "0-3 months", IF(AS454&lt;=6, "4-6 months", "&gt; 6 months"))), "")</f>
        <v>0-3 months</v>
      </c>
      <c r="AU454" s="22" t="s">
        <v>3744</v>
      </c>
    </row>
    <row r="455" spans="1:47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46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41"/>
        <v>14593788.187146019</v>
      </c>
      <c r="AJ455" s="19">
        <f t="shared" si="142"/>
        <v>1868647.7321969916</v>
      </c>
      <c r="AK455" s="20">
        <f t="shared" si="151"/>
        <v>0.12804404916900652</v>
      </c>
      <c r="AL455" s="17"/>
      <c r="AM455" s="17"/>
      <c r="AN455" s="17"/>
      <c r="AO455" s="17"/>
      <c r="AP455" s="28" t="str">
        <f t="shared" si="152"/>
        <v>20195</v>
      </c>
      <c r="AQ455" s="28" t="str">
        <f t="shared" si="153"/>
        <v>20195JPY</v>
      </c>
      <c r="AR455" s="206" t="str">
        <f t="shared" si="154"/>
        <v>YAMAHA_Mounter</v>
      </c>
      <c r="AS455" s="22">
        <f t="shared" si="155"/>
        <v>2</v>
      </c>
      <c r="AT455" s="24" t="str">
        <f t="shared" si="156"/>
        <v>0-3 months</v>
      </c>
      <c r="AU455" s="22" t="s">
        <v>3744</v>
      </c>
    </row>
    <row r="456" spans="1:47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46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41"/>
        <v>29500529.005044252</v>
      </c>
      <c r="AJ456" s="19">
        <f t="shared" si="142"/>
        <v>3253064.846231177</v>
      </c>
      <c r="AK456" s="20">
        <f t="shared" si="151"/>
        <v>0.11027140718984871</v>
      </c>
      <c r="AL456" s="17"/>
      <c r="AM456" s="17"/>
      <c r="AN456" s="17"/>
      <c r="AO456" s="17"/>
      <c r="AP456" s="28" t="str">
        <f t="shared" si="152"/>
        <v>202111</v>
      </c>
      <c r="AQ456" s="28" t="str">
        <f t="shared" si="153"/>
        <v>202111JPY</v>
      </c>
      <c r="AR456" s="206" t="str">
        <f t="shared" si="154"/>
        <v>YAMAHA_Mounter</v>
      </c>
      <c r="AS456" s="22">
        <f t="shared" si="155"/>
        <v>5</v>
      </c>
      <c r="AT456" s="24" t="str">
        <f t="shared" si="156"/>
        <v>4-6 months</v>
      </c>
      <c r="AU456" s="22" t="s">
        <v>3744</v>
      </c>
    </row>
    <row r="457" spans="1:47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46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41"/>
        <v>29500529.005044252</v>
      </c>
      <c r="AJ457" s="19">
        <f t="shared" si="142"/>
        <v>3253064.846231177</v>
      </c>
      <c r="AK457" s="20">
        <f t="shared" si="151"/>
        <v>0.11027140718984871</v>
      </c>
      <c r="AL457" s="17"/>
      <c r="AM457" s="17"/>
      <c r="AN457" s="17"/>
      <c r="AO457" s="17"/>
      <c r="AP457" s="28" t="str">
        <f t="shared" si="152"/>
        <v>202111</v>
      </c>
      <c r="AQ457" s="28" t="str">
        <f t="shared" si="153"/>
        <v>202111JPY</v>
      </c>
      <c r="AR457" s="206" t="str">
        <f t="shared" si="154"/>
        <v>YAMAHA_Mounter</v>
      </c>
      <c r="AS457" s="22">
        <f t="shared" si="155"/>
        <v>5</v>
      </c>
      <c r="AT457" s="24" t="str">
        <f t="shared" si="156"/>
        <v>4-6 months</v>
      </c>
      <c r="AU457" s="22" t="s">
        <v>3744</v>
      </c>
    </row>
    <row r="458" spans="1:47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46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41"/>
        <v>31017966.201968137</v>
      </c>
      <c r="AJ458" s="19">
        <f t="shared" si="142"/>
        <v>4704250.3347305888</v>
      </c>
      <c r="AK458" s="20">
        <f t="shared" si="151"/>
        <v>0.15166211427595458</v>
      </c>
      <c r="AL458" s="17"/>
      <c r="AM458" s="17"/>
      <c r="AN458" s="17"/>
      <c r="AO458" s="17"/>
      <c r="AP458" s="28" t="str">
        <f t="shared" si="152"/>
        <v>202211</v>
      </c>
      <c r="AQ458" s="28" t="str">
        <f t="shared" si="153"/>
        <v>202211RMB</v>
      </c>
      <c r="AR458" s="206" t="str">
        <f t="shared" si="154"/>
        <v>YAMAHA_Mounter</v>
      </c>
      <c r="AS458" s="22">
        <f t="shared" si="155"/>
        <v>0</v>
      </c>
      <c r="AT458" s="24" t="str">
        <f t="shared" si="156"/>
        <v>0-3 months</v>
      </c>
      <c r="AU458" s="22" t="s">
        <v>3750</v>
      </c>
    </row>
    <row r="459" spans="1:47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46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41"/>
        <v>31017966.201968137</v>
      </c>
      <c r="AJ459" s="19">
        <f t="shared" si="142"/>
        <v>4704250.3347305888</v>
      </c>
      <c r="AK459" s="20">
        <f t="shared" si="151"/>
        <v>0.15166211427595458</v>
      </c>
      <c r="AL459" s="17"/>
      <c r="AM459" s="17"/>
      <c r="AN459" s="17"/>
      <c r="AO459" s="17"/>
      <c r="AP459" s="28" t="str">
        <f t="shared" si="152"/>
        <v>202211</v>
      </c>
      <c r="AQ459" s="28" t="str">
        <f t="shared" si="153"/>
        <v>202211RMB</v>
      </c>
      <c r="AR459" s="206" t="str">
        <f t="shared" si="154"/>
        <v>YAMAHA_Mounter</v>
      </c>
      <c r="AS459" s="22">
        <f t="shared" si="155"/>
        <v>0</v>
      </c>
      <c r="AT459" s="24" t="str">
        <f t="shared" si="156"/>
        <v>0-3 months</v>
      </c>
      <c r="AU459" s="22" t="s">
        <v>3750</v>
      </c>
    </row>
    <row r="460" spans="1:47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46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41"/>
        <v>28011162.254106201</v>
      </c>
      <c r="AJ460" s="19">
        <f t="shared" si="142"/>
        <v>3401347.1124888416</v>
      </c>
      <c r="AK460" s="20">
        <f t="shared" si="151"/>
        <v>0.12142827497242578</v>
      </c>
      <c r="AL460" s="17"/>
      <c r="AM460" s="17"/>
      <c r="AN460" s="17"/>
      <c r="AO460" s="17"/>
      <c r="AP460" s="28" t="str">
        <f t="shared" si="152"/>
        <v>202010</v>
      </c>
      <c r="AQ460" s="28" t="str">
        <f t="shared" si="153"/>
        <v>202010RMB</v>
      </c>
      <c r="AR460" s="206" t="str">
        <f t="shared" si="154"/>
        <v>YAMAHA_Mounter</v>
      </c>
      <c r="AS460" s="22">
        <f t="shared" si="155"/>
        <v>7</v>
      </c>
      <c r="AT460" s="24" t="str">
        <f t="shared" si="156"/>
        <v>&gt; 6 months</v>
      </c>
      <c r="AU460" s="22" t="s">
        <v>3240</v>
      </c>
    </row>
    <row r="461" spans="1:47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46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41"/>
        <v>28011162.254106201</v>
      </c>
      <c r="AJ461" s="19">
        <f t="shared" si="142"/>
        <v>3401347.1124888416</v>
      </c>
      <c r="AK461" s="20">
        <f t="shared" si="151"/>
        <v>0.12142827497242578</v>
      </c>
      <c r="AL461" s="17"/>
      <c r="AM461" s="17"/>
      <c r="AN461" s="17"/>
      <c r="AO461" s="17"/>
      <c r="AP461" s="28" t="str">
        <f t="shared" si="152"/>
        <v>202010</v>
      </c>
      <c r="AQ461" s="28" t="str">
        <f t="shared" si="153"/>
        <v>202010RMB</v>
      </c>
      <c r="AR461" s="206" t="str">
        <f t="shared" si="154"/>
        <v>YAMAHA_Mounter</v>
      </c>
      <c r="AS461" s="22">
        <f t="shared" si="155"/>
        <v>7</v>
      </c>
      <c r="AT461" s="24" t="str">
        <f t="shared" si="156"/>
        <v>&gt; 6 months</v>
      </c>
      <c r="AU461" s="22" t="s">
        <v>3240</v>
      </c>
    </row>
    <row r="462" spans="1:47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46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41"/>
        <v>54700260.692079648</v>
      </c>
      <c r="AJ462" s="19">
        <f t="shared" si="142"/>
        <v>7482899.5749188727</v>
      </c>
      <c r="AK462" s="20">
        <f t="shared" si="151"/>
        <v>0.13679824337660537</v>
      </c>
      <c r="AL462" s="17"/>
      <c r="AM462" s="17"/>
      <c r="AN462" s="17"/>
      <c r="AO462" s="17"/>
      <c r="AP462" s="28" t="str">
        <f t="shared" si="152"/>
        <v>20216</v>
      </c>
      <c r="AQ462" s="28" t="str">
        <f t="shared" si="153"/>
        <v>20216JPY</v>
      </c>
      <c r="AR462" s="206" t="str">
        <f t="shared" si="154"/>
        <v>YAMAHA_Mounter</v>
      </c>
      <c r="AS462" s="22">
        <f t="shared" si="155"/>
        <v>3</v>
      </c>
      <c r="AT462" s="24" t="str">
        <f t="shared" si="156"/>
        <v>0-3 months</v>
      </c>
      <c r="AU462" s="22" t="s">
        <v>3744</v>
      </c>
    </row>
    <row r="463" spans="1:47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46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41"/>
        <v>54700260.692079648</v>
      </c>
      <c r="AJ463" s="19">
        <f t="shared" si="142"/>
        <v>7482899.5749188727</v>
      </c>
      <c r="AK463" s="20">
        <f t="shared" si="151"/>
        <v>0.13679824337660537</v>
      </c>
      <c r="AL463" s="17"/>
      <c r="AM463" s="17"/>
      <c r="AN463" s="17"/>
      <c r="AO463" s="17"/>
      <c r="AP463" s="28" t="str">
        <f t="shared" si="152"/>
        <v>20216</v>
      </c>
      <c r="AQ463" s="28" t="str">
        <f t="shared" si="153"/>
        <v>20216JPY</v>
      </c>
      <c r="AR463" s="206" t="str">
        <f t="shared" si="154"/>
        <v>YAMAHA_Mounter</v>
      </c>
      <c r="AS463" s="22">
        <f t="shared" si="155"/>
        <v>2</v>
      </c>
      <c r="AT463" s="24" t="str">
        <f t="shared" si="156"/>
        <v>0-3 months</v>
      </c>
      <c r="AU463" s="22" t="s">
        <v>3744</v>
      </c>
    </row>
    <row r="464" spans="1:47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46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41"/>
        <v>22717528.991150443</v>
      </c>
      <c r="AJ464" s="19">
        <f t="shared" si="142"/>
        <v>3947747.192555753</v>
      </c>
      <c r="AK464" s="20">
        <f t="shared" si="151"/>
        <v>0.1737753782153679</v>
      </c>
      <c r="AL464" s="17"/>
      <c r="AM464" s="17"/>
      <c r="AN464" s="17"/>
      <c r="AO464" s="17"/>
      <c r="AP464" s="28" t="str">
        <f t="shared" si="152"/>
        <v>202210</v>
      </c>
      <c r="AQ464" s="28" t="str">
        <f t="shared" si="153"/>
        <v>202210RMB</v>
      </c>
      <c r="AR464" s="206" t="str">
        <f t="shared" si="154"/>
        <v>SHINWA</v>
      </c>
      <c r="AS464" s="22">
        <f t="shared" si="155"/>
        <v>5</v>
      </c>
      <c r="AT464" s="24" t="str">
        <f t="shared" si="156"/>
        <v>4-6 months</v>
      </c>
      <c r="AU464" s="22" t="s">
        <v>3240</v>
      </c>
    </row>
    <row r="465" spans="1:47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46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41"/>
        <v>23146578.081415929</v>
      </c>
      <c r="AJ465" s="27">
        <f t="shared" si="142"/>
        <v>2745231.3889985834</v>
      </c>
      <c r="AK465" s="28">
        <f t="shared" si="151"/>
        <v>0.11860204041143742</v>
      </c>
      <c r="AL465" s="24"/>
      <c r="AM465" s="24"/>
      <c r="AN465" s="24"/>
      <c r="AO465" s="24"/>
      <c r="AP465" s="28" t="str">
        <f t="shared" si="152"/>
        <v>20241</v>
      </c>
      <c r="AQ465" s="28" t="str">
        <f t="shared" si="153"/>
        <v>20241JPY</v>
      </c>
      <c r="AR465" s="206" t="str">
        <f t="shared" si="154"/>
        <v>YAMAHA_Mounter</v>
      </c>
      <c r="AS465" s="22">
        <f t="shared" si="155"/>
        <v>1</v>
      </c>
      <c r="AT465" s="24" t="str">
        <f t="shared" si="156"/>
        <v>0-3 months</v>
      </c>
      <c r="AU465" s="22" t="s">
        <v>3744</v>
      </c>
    </row>
    <row r="466" spans="1:47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46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41"/>
        <v>23146578.081415929</v>
      </c>
      <c r="AJ466" s="27">
        <f t="shared" si="142"/>
        <v>2745231.3889985834</v>
      </c>
      <c r="AK466" s="28">
        <f t="shared" si="151"/>
        <v>0.11860204041143742</v>
      </c>
      <c r="AL466" s="24"/>
      <c r="AM466" s="24"/>
      <c r="AN466" s="24"/>
      <c r="AO466" s="24"/>
      <c r="AP466" s="28" t="str">
        <f t="shared" si="152"/>
        <v>20241</v>
      </c>
      <c r="AQ466" s="28" t="str">
        <f t="shared" si="153"/>
        <v>20241JPY</v>
      </c>
      <c r="AR466" s="206" t="str">
        <f t="shared" si="154"/>
        <v>YAMAHA_Mounter</v>
      </c>
      <c r="AS466" s="22">
        <f t="shared" si="155"/>
        <v>1</v>
      </c>
      <c r="AT466" s="24" t="str">
        <f t="shared" si="156"/>
        <v>0-3 months</v>
      </c>
      <c r="AU466" s="22" t="s">
        <v>3744</v>
      </c>
    </row>
    <row r="467" spans="1:47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46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41"/>
        <v>23146578.081415929</v>
      </c>
      <c r="AJ467" s="27">
        <f t="shared" si="142"/>
        <v>2745231.3889985834</v>
      </c>
      <c r="AK467" s="28">
        <f t="shared" si="151"/>
        <v>0.11860204041143742</v>
      </c>
      <c r="AL467" s="24"/>
      <c r="AM467" s="24"/>
      <c r="AN467" s="24"/>
      <c r="AO467" s="24"/>
      <c r="AP467" s="28" t="str">
        <f t="shared" si="152"/>
        <v>20241</v>
      </c>
      <c r="AQ467" s="28" t="str">
        <f t="shared" si="153"/>
        <v>20241JPY</v>
      </c>
      <c r="AR467" s="206" t="str">
        <f t="shared" si="154"/>
        <v>YAMAHA_Mounter</v>
      </c>
      <c r="AS467" s="22">
        <f t="shared" si="155"/>
        <v>1</v>
      </c>
      <c r="AT467" s="24" t="str">
        <f t="shared" si="156"/>
        <v>0-3 months</v>
      </c>
      <c r="AU467" s="22" t="s">
        <v>3744</v>
      </c>
    </row>
    <row r="468" spans="1:47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46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41"/>
        <v>32843736.557277881</v>
      </c>
      <c r="AJ468" s="19">
        <f t="shared" si="142"/>
        <v>3921470.6822663117</v>
      </c>
      <c r="AK468" s="20">
        <f t="shared" si="151"/>
        <v>0.11939782416131177</v>
      </c>
      <c r="AL468" s="17"/>
      <c r="AM468" s="17"/>
      <c r="AN468" s="17"/>
      <c r="AO468" s="17"/>
      <c r="AP468" s="28" t="str">
        <f t="shared" si="152"/>
        <v>20194</v>
      </c>
      <c r="AQ468" s="28" t="str">
        <f t="shared" si="153"/>
        <v>20194JPY</v>
      </c>
      <c r="AR468" s="206" t="str">
        <f t="shared" si="154"/>
        <v>YAMAHA_Mounter</v>
      </c>
      <c r="AS468" s="22">
        <f t="shared" si="155"/>
        <v>0</v>
      </c>
      <c r="AT468" s="24" t="str">
        <f t="shared" si="156"/>
        <v>0-3 months</v>
      </c>
      <c r="AU468" s="22" t="s">
        <v>3744</v>
      </c>
    </row>
    <row r="469" spans="1:47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46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41"/>
        <v>47416008.333399981</v>
      </c>
      <c r="AJ469" s="19">
        <f t="shared" si="142"/>
        <v>6981738.4465290187</v>
      </c>
      <c r="AK469" s="20">
        <f t="shared" si="151"/>
        <v>0.14724433143839863</v>
      </c>
      <c r="AL469" s="17"/>
      <c r="AM469" s="17"/>
      <c r="AN469" s="17"/>
      <c r="AO469" s="17"/>
      <c r="AP469" s="28" t="str">
        <f t="shared" si="152"/>
        <v>20193</v>
      </c>
      <c r="AQ469" s="28" t="str">
        <f t="shared" si="153"/>
        <v>20193JPY</v>
      </c>
      <c r="AR469" s="206" t="str">
        <f t="shared" si="154"/>
        <v>YAMAHA_Mounter</v>
      </c>
      <c r="AS469" s="22">
        <f t="shared" si="155"/>
        <v>0</v>
      </c>
      <c r="AT469" s="24" t="str">
        <f t="shared" si="156"/>
        <v>0-3 months</v>
      </c>
      <c r="AU469" s="22" t="s">
        <v>3744</v>
      </c>
    </row>
    <row r="470" spans="1:47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46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41"/>
        <v>47416008.333399981</v>
      </c>
      <c r="AJ470" s="19">
        <f t="shared" si="142"/>
        <v>6981738.4465290187</v>
      </c>
      <c r="AK470" s="20">
        <f t="shared" si="151"/>
        <v>0.14724433143839863</v>
      </c>
      <c r="AL470" s="17"/>
      <c r="AM470" s="17"/>
      <c r="AN470" s="17"/>
      <c r="AO470" s="17"/>
      <c r="AP470" s="28" t="str">
        <f t="shared" si="152"/>
        <v>20193</v>
      </c>
      <c r="AQ470" s="28" t="str">
        <f t="shared" si="153"/>
        <v>20193JPY</v>
      </c>
      <c r="AR470" s="206" t="str">
        <f t="shared" si="154"/>
        <v>YAMAHA_Mounter</v>
      </c>
      <c r="AS470" s="22">
        <f t="shared" si="155"/>
        <v>0</v>
      </c>
      <c r="AT470" s="24" t="str">
        <f t="shared" si="156"/>
        <v>0-3 months</v>
      </c>
      <c r="AU470" s="22" t="s">
        <v>3744</v>
      </c>
    </row>
    <row r="471" spans="1:47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46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57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41"/>
        <v>31750699.113741599</v>
      </c>
      <c r="AJ471" s="19">
        <f t="shared" si="142"/>
        <v>4396077.3195289988</v>
      </c>
      <c r="AK471" s="20">
        <f t="shared" si="151"/>
        <v>0.13845607946397598</v>
      </c>
      <c r="AL471" s="17"/>
      <c r="AM471" s="17"/>
      <c r="AN471" s="17"/>
      <c r="AO471" s="17"/>
      <c r="AP471" s="28" t="str">
        <f t="shared" si="152"/>
        <v>20222</v>
      </c>
      <c r="AQ471" s="28" t="str">
        <f t="shared" si="153"/>
        <v>20222JPY</v>
      </c>
      <c r="AR471" s="206" t="str">
        <f t="shared" si="154"/>
        <v>YAMAHA_Mounter</v>
      </c>
      <c r="AS471" s="22">
        <f t="shared" si="155"/>
        <v>11</v>
      </c>
      <c r="AT471" s="24" t="str">
        <f t="shared" si="156"/>
        <v>&gt; 6 months</v>
      </c>
      <c r="AU471" s="22" t="s">
        <v>3744</v>
      </c>
    </row>
    <row r="472" spans="1:47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46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57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41"/>
        <v>31750699.113741599</v>
      </c>
      <c r="AJ472" s="19">
        <f t="shared" si="142"/>
        <v>4396077.3195289988</v>
      </c>
      <c r="AK472" s="20">
        <f t="shared" si="151"/>
        <v>0.13845607946397598</v>
      </c>
      <c r="AL472" s="17"/>
      <c r="AM472" s="17"/>
      <c r="AN472" s="17"/>
      <c r="AO472" s="17"/>
      <c r="AP472" s="28" t="str">
        <f t="shared" si="152"/>
        <v>20222</v>
      </c>
      <c r="AQ472" s="28" t="str">
        <f t="shared" si="153"/>
        <v>20222JPY</v>
      </c>
      <c r="AR472" s="206" t="str">
        <f t="shared" si="154"/>
        <v>YAMAHA_Mounter</v>
      </c>
      <c r="AS472" s="22">
        <f t="shared" si="155"/>
        <v>11</v>
      </c>
      <c r="AT472" s="24" t="str">
        <f t="shared" si="156"/>
        <v>&gt; 6 months</v>
      </c>
      <c r="AU472" s="22" t="s">
        <v>3744</v>
      </c>
    </row>
    <row r="473" spans="1:47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46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57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41"/>
        <v>35682787.057522126</v>
      </c>
      <c r="AJ473" s="19">
        <f t="shared" si="142"/>
        <v>5833368.3789623892</v>
      </c>
      <c r="AK473" s="20">
        <f t="shared" si="151"/>
        <v>0.16347849649632912</v>
      </c>
      <c r="AL473" s="17"/>
      <c r="AM473" s="17"/>
      <c r="AN473" s="17"/>
      <c r="AO473" s="17"/>
      <c r="AP473" s="28" t="str">
        <f t="shared" si="152"/>
        <v>20226</v>
      </c>
      <c r="AQ473" s="28" t="str">
        <f t="shared" si="153"/>
        <v>20226RMB</v>
      </c>
      <c r="AR473" s="206" t="str">
        <f t="shared" si="154"/>
        <v>YAMAHA_Mounter</v>
      </c>
      <c r="AS473" s="22">
        <f t="shared" si="155"/>
        <v>1</v>
      </c>
      <c r="AT473" s="24" t="str">
        <f t="shared" si="156"/>
        <v>0-3 months</v>
      </c>
      <c r="AU473" s="22" t="s">
        <v>3750</v>
      </c>
    </row>
    <row r="474" spans="1:47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46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57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41"/>
        <v>36480247.665929198</v>
      </c>
      <c r="AJ474" s="19">
        <f t="shared" si="142"/>
        <v>5330996.6372757526</v>
      </c>
      <c r="AK474" s="20">
        <f t="shared" si="151"/>
        <v>0.14613378412599562</v>
      </c>
      <c r="AL474" s="17"/>
      <c r="AM474" s="17"/>
      <c r="AN474" s="17"/>
      <c r="AO474" s="17"/>
      <c r="AP474" s="28" t="str">
        <f t="shared" si="152"/>
        <v>20227</v>
      </c>
      <c r="AQ474" s="28" t="str">
        <f t="shared" si="153"/>
        <v>20227RMB</v>
      </c>
      <c r="AR474" s="206" t="str">
        <f t="shared" si="154"/>
        <v>YAMAHA_Mounter</v>
      </c>
      <c r="AS474" s="22">
        <f t="shared" si="155"/>
        <v>0</v>
      </c>
      <c r="AT474" s="24" t="str">
        <f t="shared" si="156"/>
        <v>0-3 months</v>
      </c>
      <c r="AU474" s="22" t="s">
        <v>3750</v>
      </c>
    </row>
    <row r="475" spans="1:47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46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57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41"/>
        <v>22717528.991150443</v>
      </c>
      <c r="AJ475" s="19">
        <f t="shared" si="142"/>
        <v>3947747.192555753</v>
      </c>
      <c r="AK475" s="20">
        <f t="shared" si="151"/>
        <v>0.1737753782153679</v>
      </c>
      <c r="AL475" s="17"/>
      <c r="AM475" s="17"/>
      <c r="AN475" s="17"/>
      <c r="AO475" s="17"/>
      <c r="AP475" s="28" t="str">
        <f t="shared" si="152"/>
        <v>202210</v>
      </c>
      <c r="AQ475" s="28" t="str">
        <f t="shared" si="153"/>
        <v>202210RMB</v>
      </c>
      <c r="AR475" s="206" t="str">
        <f t="shared" si="154"/>
        <v>YAMAHA_Mounter</v>
      </c>
      <c r="AS475" s="22">
        <f t="shared" si="155"/>
        <v>1</v>
      </c>
      <c r="AT475" s="24" t="str">
        <f t="shared" si="156"/>
        <v>0-3 months</v>
      </c>
      <c r="AU475" s="22" t="s">
        <v>3750</v>
      </c>
    </row>
    <row r="476" spans="1:47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45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46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57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41"/>
        <v>499582152.5142017</v>
      </c>
      <c r="AJ476" s="19">
        <f t="shared" si="142"/>
        <v>59520528.679470733</v>
      </c>
      <c r="AK476" s="20">
        <f t="shared" si="151"/>
        <v>0.11914062257814291</v>
      </c>
      <c r="AL476" s="17"/>
      <c r="AM476" s="17"/>
      <c r="AN476" s="17"/>
      <c r="AO476" s="17"/>
      <c r="AP476" s="28" t="str">
        <f t="shared" si="152"/>
        <v>CancelCancel</v>
      </c>
      <c r="AQ476" s="28" t="str">
        <f t="shared" si="153"/>
        <v>CancelCancelRMB</v>
      </c>
      <c r="AR476" s="206" t="str">
        <f t="shared" si="154"/>
        <v>YAMAHA_Mounter</v>
      </c>
      <c r="AS476" s="22" t="str">
        <f t="shared" si="155"/>
        <v/>
      </c>
      <c r="AT476" s="24" t="str">
        <f t="shared" si="156"/>
        <v/>
      </c>
      <c r="AU476" s="22" t="s">
        <v>3750</v>
      </c>
    </row>
    <row r="477" spans="1:47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46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41"/>
        <v>20319282.700884953</v>
      </c>
      <c r="AJ477" s="27">
        <f t="shared" si="142"/>
        <v>2408851.9638623013</v>
      </c>
      <c r="AK477" s="28">
        <f t="shared" si="151"/>
        <v>0.11855004919821259</v>
      </c>
      <c r="AL477" s="24"/>
      <c r="AM477" s="24"/>
      <c r="AN477" s="24"/>
      <c r="AO477" s="24"/>
      <c r="AP477" s="28" t="str">
        <f t="shared" si="152"/>
        <v>20244</v>
      </c>
      <c r="AQ477" s="28" t="str">
        <f t="shared" si="153"/>
        <v>20244RMB</v>
      </c>
      <c r="AR477" s="206" t="str">
        <f t="shared" si="154"/>
        <v>YAMAHA_Mounter</v>
      </c>
      <c r="AS477" s="22">
        <f t="shared" si="155"/>
        <v>1</v>
      </c>
      <c r="AT477" s="24" t="str">
        <f t="shared" si="156"/>
        <v>0-3 months</v>
      </c>
      <c r="AU477" s="22" t="s">
        <v>3240</v>
      </c>
    </row>
    <row r="478" spans="1:47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46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41"/>
        <v>20319282.700884953</v>
      </c>
      <c r="AJ478" s="27">
        <f t="shared" si="142"/>
        <v>2408851.9638623013</v>
      </c>
      <c r="AK478" s="28">
        <f t="shared" si="151"/>
        <v>0.11855004919821259</v>
      </c>
      <c r="AL478" s="24"/>
      <c r="AM478" s="24"/>
      <c r="AN478" s="24"/>
      <c r="AO478" s="24"/>
      <c r="AP478" s="28" t="str">
        <f t="shared" si="152"/>
        <v>20244</v>
      </c>
      <c r="AQ478" s="28" t="str">
        <f t="shared" si="153"/>
        <v>20244RMB</v>
      </c>
      <c r="AR478" s="206" t="str">
        <f t="shared" si="154"/>
        <v>YAMAHA_Mounter</v>
      </c>
      <c r="AS478" s="22">
        <f t="shared" si="155"/>
        <v>1</v>
      </c>
      <c r="AT478" s="24" t="str">
        <f t="shared" si="156"/>
        <v>0-3 months</v>
      </c>
      <c r="AU478" s="22" t="s">
        <v>3240</v>
      </c>
    </row>
    <row r="479" spans="1:47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46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41"/>
        <v>10785027.603448275</v>
      </c>
      <c r="AJ479" s="19">
        <f t="shared" si="142"/>
        <v>1540894.1297982759</v>
      </c>
      <c r="AK479" s="20">
        <f t="shared" si="151"/>
        <v>0.1428734525728621</v>
      </c>
      <c r="AL479" s="17"/>
      <c r="AM479" s="17"/>
      <c r="AN479" s="17"/>
      <c r="AO479" s="17"/>
      <c r="AP479" s="28" t="str">
        <f t="shared" si="152"/>
        <v>201811</v>
      </c>
      <c r="AQ479" s="28" t="str">
        <f t="shared" si="153"/>
        <v>201811JPY</v>
      </c>
      <c r="AR479" s="206" t="str">
        <f t="shared" si="154"/>
        <v>YAMAHA_Mounter</v>
      </c>
      <c r="AS479" s="22">
        <f t="shared" si="155"/>
        <v>0</v>
      </c>
      <c r="AT479" s="24" t="str">
        <f t="shared" si="156"/>
        <v>0-3 months</v>
      </c>
      <c r="AU479" s="22" t="s">
        <v>3744</v>
      </c>
    </row>
    <row r="480" spans="1:47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46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41"/>
        <v>31296887.037898075</v>
      </c>
      <c r="AJ480" s="19">
        <f t="shared" si="142"/>
        <v>3588873.9502021763</v>
      </c>
      <c r="AK480" s="20">
        <f t="shared" si="151"/>
        <v>0.11467191436184473</v>
      </c>
      <c r="AL480" s="17"/>
      <c r="AM480" s="17"/>
      <c r="AN480" s="17"/>
      <c r="AO480" s="17"/>
      <c r="AP480" s="28" t="str">
        <f t="shared" si="152"/>
        <v>20196</v>
      </c>
      <c r="AQ480" s="28" t="str">
        <f t="shared" si="153"/>
        <v>20196RMB</v>
      </c>
      <c r="AR480" s="206" t="str">
        <f t="shared" si="154"/>
        <v>YAMAHA_Mounter</v>
      </c>
      <c r="AS480" s="22">
        <f t="shared" si="155"/>
        <v>0</v>
      </c>
      <c r="AT480" s="24" t="str">
        <f t="shared" si="156"/>
        <v>0-3 months</v>
      </c>
      <c r="AU480" s="22" t="s">
        <v>3743</v>
      </c>
    </row>
    <row r="481" spans="1:47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46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41"/>
        <v>63006605.696460173</v>
      </c>
      <c r="AJ481" s="19">
        <f t="shared" si="142"/>
        <v>8897485.660753984</v>
      </c>
      <c r="AK481" s="20">
        <f t="shared" si="151"/>
        <v>0.141215124388995</v>
      </c>
      <c r="AL481" s="17"/>
      <c r="AM481" s="17"/>
      <c r="AN481" s="17"/>
      <c r="AO481" s="17"/>
      <c r="AP481" s="28" t="str">
        <f t="shared" si="152"/>
        <v>20215</v>
      </c>
      <c r="AQ481" s="28" t="str">
        <f t="shared" si="153"/>
        <v>20215JPY</v>
      </c>
      <c r="AR481" s="206" t="str">
        <f t="shared" si="154"/>
        <v>YAMAHA_Mounter</v>
      </c>
      <c r="AS481" s="22">
        <f t="shared" si="155"/>
        <v>2</v>
      </c>
      <c r="AT481" s="24" t="str">
        <f t="shared" si="156"/>
        <v>0-3 months</v>
      </c>
      <c r="AU481" s="22" t="s">
        <v>3744</v>
      </c>
    </row>
    <row r="482" spans="1:47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46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41"/>
        <v>20319282.700884953</v>
      </c>
      <c r="AJ482" s="27">
        <f t="shared" si="142"/>
        <v>2408851.9638623013</v>
      </c>
      <c r="AK482" s="28">
        <f t="shared" si="151"/>
        <v>0.11855004919821259</v>
      </c>
      <c r="AL482" s="24"/>
      <c r="AM482" s="24"/>
      <c r="AN482" s="24"/>
      <c r="AO482" s="24"/>
      <c r="AP482" s="28" t="str">
        <f t="shared" si="152"/>
        <v>20244</v>
      </c>
      <c r="AQ482" s="28" t="str">
        <f t="shared" si="153"/>
        <v>20244RMB</v>
      </c>
      <c r="AR482" s="206" t="str">
        <f t="shared" si="154"/>
        <v>YAMAHA_Mounter</v>
      </c>
      <c r="AS482" s="22">
        <f t="shared" si="155"/>
        <v>1</v>
      </c>
      <c r="AT482" s="24" t="str">
        <f t="shared" si="156"/>
        <v>0-3 months</v>
      </c>
      <c r="AU482" s="22" t="s">
        <v>3750</v>
      </c>
    </row>
    <row r="483" spans="1:47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46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41"/>
        <v>20319282.700884953</v>
      </c>
      <c r="AJ483" s="27">
        <f t="shared" si="142"/>
        <v>2408851.9638623013</v>
      </c>
      <c r="AK483" s="28">
        <f t="shared" si="151"/>
        <v>0.11855004919821259</v>
      </c>
      <c r="AL483" s="24"/>
      <c r="AM483" s="24"/>
      <c r="AN483" s="24"/>
      <c r="AO483" s="24"/>
      <c r="AP483" s="28" t="str">
        <f t="shared" si="152"/>
        <v>20244</v>
      </c>
      <c r="AQ483" s="28" t="str">
        <f t="shared" si="153"/>
        <v>20244RMB</v>
      </c>
      <c r="AR483" s="206" t="str">
        <f t="shared" si="154"/>
        <v>YAMAHA_Mounter</v>
      </c>
      <c r="AS483" s="22">
        <f t="shared" si="155"/>
        <v>1</v>
      </c>
      <c r="AT483" s="24" t="str">
        <f t="shared" si="156"/>
        <v>0-3 months</v>
      </c>
      <c r="AU483" s="22" t="s">
        <v>3240</v>
      </c>
    </row>
    <row r="484" spans="1:47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46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41"/>
        <v>7502645.9971681423</v>
      </c>
      <c r="AJ484" s="19">
        <f t="shared" si="142"/>
        <v>664841.72044240718</v>
      </c>
      <c r="AK484" s="20">
        <f t="shared" si="151"/>
        <v>8.861429963420242E-2</v>
      </c>
      <c r="AL484" s="17"/>
      <c r="AM484" s="17"/>
      <c r="AN484" s="17"/>
      <c r="AO484" s="17"/>
      <c r="AP484" s="28" t="str">
        <f t="shared" si="152"/>
        <v>20231</v>
      </c>
      <c r="AQ484" s="28" t="str">
        <f t="shared" si="153"/>
        <v>20231RMB</v>
      </c>
      <c r="AR484" s="206" t="str">
        <f t="shared" si="154"/>
        <v>HELLER</v>
      </c>
      <c r="AS484" s="22">
        <f t="shared" si="155"/>
        <v>1</v>
      </c>
      <c r="AT484" s="24" t="str">
        <f t="shared" si="156"/>
        <v>0-3 months</v>
      </c>
      <c r="AU484" s="22" t="s">
        <v>3750</v>
      </c>
    </row>
    <row r="485" spans="1:47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46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41"/>
        <v>47907808.356810622</v>
      </c>
      <c r="AJ485" s="19">
        <f t="shared" si="142"/>
        <v>6027384.8806384448</v>
      </c>
      <c r="AK485" s="20">
        <f t="shared" si="151"/>
        <v>0.12581216063459488</v>
      </c>
      <c r="AL485" s="17"/>
      <c r="AM485" s="17"/>
      <c r="AN485" s="17"/>
      <c r="AO485" s="17"/>
      <c r="AP485" s="28" t="str">
        <f t="shared" si="152"/>
        <v>20209</v>
      </c>
      <c r="AQ485" s="28" t="str">
        <f t="shared" si="153"/>
        <v>20209RMB</v>
      </c>
      <c r="AR485" s="206" t="str">
        <f t="shared" si="154"/>
        <v>YAMAHA_Mounter</v>
      </c>
      <c r="AS485" s="22">
        <f t="shared" si="155"/>
        <v>2</v>
      </c>
      <c r="AT485" s="24" t="str">
        <f t="shared" si="156"/>
        <v>0-3 months</v>
      </c>
      <c r="AU485" s="22" t="s">
        <v>3240</v>
      </c>
    </row>
    <row r="486" spans="1:47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46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41"/>
        <v>47907808.356810622</v>
      </c>
      <c r="AJ486" s="19">
        <f t="shared" si="142"/>
        <v>6027384.8806384448</v>
      </c>
      <c r="AK486" s="20">
        <f t="shared" si="151"/>
        <v>0.12581216063459488</v>
      </c>
      <c r="AL486" s="17"/>
      <c r="AM486" s="17"/>
      <c r="AN486" s="17"/>
      <c r="AO486" s="17"/>
      <c r="AP486" s="28" t="str">
        <f t="shared" si="152"/>
        <v>20209</v>
      </c>
      <c r="AQ486" s="28" t="str">
        <f t="shared" si="153"/>
        <v>20209RMB</v>
      </c>
      <c r="AR486" s="206" t="str">
        <f t="shared" si="154"/>
        <v>YAMAHA_Mounter</v>
      </c>
      <c r="AS486" s="22">
        <f t="shared" si="155"/>
        <v>2</v>
      </c>
      <c r="AT486" s="24" t="str">
        <f t="shared" si="156"/>
        <v>0-3 months</v>
      </c>
      <c r="AU486" s="22" t="s">
        <v>3240</v>
      </c>
    </row>
    <row r="487" spans="1:47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46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41"/>
        <v>41443303.53761062</v>
      </c>
      <c r="AJ487" s="19">
        <f t="shared" si="142"/>
        <v>6194988.76643031</v>
      </c>
      <c r="AK487" s="20">
        <f t="shared" si="151"/>
        <v>0.1494810557466355</v>
      </c>
      <c r="AL487" s="17"/>
      <c r="AM487" s="17"/>
      <c r="AN487" s="17"/>
      <c r="AO487" s="17"/>
      <c r="AP487" s="28" t="str">
        <f t="shared" si="152"/>
        <v>20217</v>
      </c>
      <c r="AQ487" s="28" t="str">
        <f t="shared" si="153"/>
        <v>20217RMB</v>
      </c>
      <c r="AR487" s="206" t="str">
        <f t="shared" si="154"/>
        <v>YAMAHA_Mounter</v>
      </c>
      <c r="AS487" s="22">
        <f t="shared" si="155"/>
        <v>2</v>
      </c>
      <c r="AT487" s="24" t="str">
        <f t="shared" si="156"/>
        <v>0-3 months</v>
      </c>
      <c r="AU487" s="22" t="s">
        <v>3240</v>
      </c>
    </row>
    <row r="488" spans="1:47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46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41"/>
        <v>41443303.53761062</v>
      </c>
      <c r="AJ488" s="19">
        <f t="shared" si="142"/>
        <v>6194988.76643031</v>
      </c>
      <c r="AK488" s="20">
        <f t="shared" si="151"/>
        <v>0.1494810557466355</v>
      </c>
      <c r="AL488" s="17"/>
      <c r="AM488" s="17"/>
      <c r="AN488" s="17"/>
      <c r="AO488" s="17"/>
      <c r="AP488" s="28" t="str">
        <f t="shared" si="152"/>
        <v>20217</v>
      </c>
      <c r="AQ488" s="28" t="str">
        <f t="shared" si="153"/>
        <v>20217RMB</v>
      </c>
      <c r="AR488" s="206" t="str">
        <f t="shared" si="154"/>
        <v>YAMAHA_Mounter</v>
      </c>
      <c r="AS488" s="22">
        <f t="shared" si="155"/>
        <v>2</v>
      </c>
      <c r="AT488" s="24" t="str">
        <f t="shared" si="156"/>
        <v>0-3 months</v>
      </c>
      <c r="AU488" s="22" t="s">
        <v>3240</v>
      </c>
    </row>
    <row r="489" spans="1:47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46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41"/>
        <v>31296887.037898075</v>
      </c>
      <c r="AJ489" s="19">
        <f t="shared" si="142"/>
        <v>3588873.9502021763</v>
      </c>
      <c r="AK489" s="20">
        <f t="shared" si="151"/>
        <v>0.11467191436184473</v>
      </c>
      <c r="AL489" s="17"/>
      <c r="AM489" s="17"/>
      <c r="AN489" s="17"/>
      <c r="AO489" s="17"/>
      <c r="AP489" s="28" t="str">
        <f t="shared" si="152"/>
        <v>20196</v>
      </c>
      <c r="AQ489" s="28" t="str">
        <f t="shared" si="153"/>
        <v>20196JPY</v>
      </c>
      <c r="AR489" s="206" t="str">
        <f t="shared" si="154"/>
        <v>YAMAHA_Mounter</v>
      </c>
      <c r="AS489" s="22">
        <f t="shared" si="155"/>
        <v>1</v>
      </c>
      <c r="AT489" s="24" t="str">
        <f t="shared" si="156"/>
        <v>0-3 months</v>
      </c>
      <c r="AU489" s="22" t="s">
        <v>3744</v>
      </c>
    </row>
    <row r="490" spans="1:47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46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41"/>
        <v>31097187.02948761</v>
      </c>
      <c r="AJ490" s="19">
        <f t="shared" si="142"/>
        <v>3892353.6644401965</v>
      </c>
      <c r="AK490" s="20">
        <f t="shared" si="151"/>
        <v>0.12516738767237401</v>
      </c>
      <c r="AL490" s="17"/>
      <c r="AM490" s="17"/>
      <c r="AN490" s="17"/>
      <c r="AO490" s="17"/>
      <c r="AP490" s="28" t="str">
        <f t="shared" si="152"/>
        <v>20212</v>
      </c>
      <c r="AQ490" s="28" t="str">
        <f t="shared" si="153"/>
        <v>20212JPY</v>
      </c>
      <c r="AR490" s="206" t="str">
        <f t="shared" si="154"/>
        <v>YAMAHA_Mounter</v>
      </c>
      <c r="AS490" s="22">
        <f t="shared" si="155"/>
        <v>5</v>
      </c>
      <c r="AT490" s="24" t="str">
        <f t="shared" si="156"/>
        <v>4-6 months</v>
      </c>
      <c r="AU490" s="22" t="s">
        <v>3744</v>
      </c>
    </row>
    <row r="491" spans="1:47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46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41"/>
        <v>31097187.02948761</v>
      </c>
      <c r="AJ491" s="19">
        <f t="shared" si="142"/>
        <v>3892353.6644401965</v>
      </c>
      <c r="AK491" s="20">
        <f t="shared" si="151"/>
        <v>0.12516738767237401</v>
      </c>
      <c r="AL491" s="17"/>
      <c r="AM491" s="17"/>
      <c r="AN491" s="17"/>
      <c r="AO491" s="17"/>
      <c r="AP491" s="28" t="str">
        <f t="shared" si="152"/>
        <v>20212</v>
      </c>
      <c r="AQ491" s="28" t="str">
        <f t="shared" si="153"/>
        <v>20212JPY</v>
      </c>
      <c r="AR491" s="206" t="str">
        <f t="shared" si="154"/>
        <v>YAMAHA_Mounter</v>
      </c>
      <c r="AS491" s="22">
        <f t="shared" si="155"/>
        <v>5</v>
      </c>
      <c r="AT491" s="24" t="str">
        <f t="shared" si="156"/>
        <v>4-6 months</v>
      </c>
      <c r="AU491" s="22" t="s">
        <v>3744</v>
      </c>
    </row>
    <row r="492" spans="1:47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46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41"/>
        <v>57778307.282035396</v>
      </c>
      <c r="AJ492" s="19">
        <f t="shared" si="142"/>
        <v>7259860.7225420559</v>
      </c>
      <c r="AK492" s="20">
        <f t="shared" si="151"/>
        <v>0.12565028406083667</v>
      </c>
      <c r="AL492" s="17"/>
      <c r="AM492" s="17"/>
      <c r="AN492" s="17"/>
      <c r="AO492" s="17"/>
      <c r="AP492" s="28" t="str">
        <f t="shared" si="152"/>
        <v>20213</v>
      </c>
      <c r="AQ492" s="28" t="str">
        <f t="shared" si="153"/>
        <v>20213JPY</v>
      </c>
      <c r="AR492" s="206" t="str">
        <f t="shared" si="154"/>
        <v>YAMAHA_Mounter</v>
      </c>
      <c r="AS492" s="22">
        <f t="shared" si="155"/>
        <v>6</v>
      </c>
      <c r="AT492" s="24" t="str">
        <f t="shared" si="156"/>
        <v>4-6 months</v>
      </c>
      <c r="AU492" s="22" t="s">
        <v>3744</v>
      </c>
    </row>
    <row r="493" spans="1:47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46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41"/>
        <v>57778307.282035396</v>
      </c>
      <c r="AJ493" s="19">
        <f t="shared" si="142"/>
        <v>7259860.7225420559</v>
      </c>
      <c r="AK493" s="20">
        <f t="shared" si="151"/>
        <v>0.12565028406083667</v>
      </c>
      <c r="AL493" s="17"/>
      <c r="AM493" s="17"/>
      <c r="AN493" s="17"/>
      <c r="AO493" s="17"/>
      <c r="AP493" s="28" t="str">
        <f t="shared" si="152"/>
        <v>20213</v>
      </c>
      <c r="AQ493" s="28" t="str">
        <f t="shared" si="153"/>
        <v>20213JPY</v>
      </c>
      <c r="AR493" s="206" t="str">
        <f t="shared" si="154"/>
        <v>YAMAHA_Mounter</v>
      </c>
      <c r="AS493" s="22">
        <f t="shared" si="155"/>
        <v>6</v>
      </c>
      <c r="AT493" s="24" t="str">
        <f t="shared" si="156"/>
        <v>4-6 months</v>
      </c>
      <c r="AU493" s="22" t="s">
        <v>3744</v>
      </c>
    </row>
    <row r="494" spans="1:47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46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41"/>
        <v>63006605.696460173</v>
      </c>
      <c r="AJ494" s="19">
        <f t="shared" si="142"/>
        <v>8897485.660753984</v>
      </c>
      <c r="AK494" s="20">
        <f t="shared" si="151"/>
        <v>0.141215124388995</v>
      </c>
      <c r="AL494" s="17"/>
      <c r="AM494" s="17"/>
      <c r="AN494" s="17"/>
      <c r="AO494" s="17"/>
      <c r="AP494" s="28" t="str">
        <f t="shared" si="152"/>
        <v>20215</v>
      </c>
      <c r="AQ494" s="28" t="str">
        <f t="shared" si="153"/>
        <v>20215RMB</v>
      </c>
      <c r="AR494" s="206" t="str">
        <f t="shared" si="154"/>
        <v>YAMAHA_Mounter</v>
      </c>
      <c r="AS494" s="22">
        <f t="shared" si="155"/>
        <v>0</v>
      </c>
      <c r="AT494" s="24" t="str">
        <f t="shared" si="156"/>
        <v>0-3 months</v>
      </c>
      <c r="AU494" s="22" t="s">
        <v>3750</v>
      </c>
    </row>
    <row r="495" spans="1:47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46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41"/>
        <v>20319282.700884953</v>
      </c>
      <c r="AJ495" s="27">
        <f t="shared" si="142"/>
        <v>2408851.9638623013</v>
      </c>
      <c r="AK495" s="28">
        <f t="shared" si="151"/>
        <v>0.11855004919821259</v>
      </c>
      <c r="AL495" s="24"/>
      <c r="AM495" s="24"/>
      <c r="AN495" s="24"/>
      <c r="AO495" s="24"/>
      <c r="AP495" s="28" t="str">
        <f t="shared" si="152"/>
        <v>20244</v>
      </c>
      <c r="AQ495" s="28" t="str">
        <f t="shared" si="153"/>
        <v>20244RMB</v>
      </c>
      <c r="AR495" s="206" t="str">
        <f t="shared" si="154"/>
        <v>YAMAHA_Mounter</v>
      </c>
      <c r="AS495" s="22">
        <f t="shared" si="155"/>
        <v>1</v>
      </c>
      <c r="AT495" s="24" t="str">
        <f t="shared" si="156"/>
        <v>0-3 months</v>
      </c>
      <c r="AU495" s="22" t="s">
        <v>3240</v>
      </c>
    </row>
    <row r="496" spans="1:47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46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41"/>
        <v>20319282.700884953</v>
      </c>
      <c r="AJ496" s="27">
        <f t="shared" si="142"/>
        <v>2408851.9638623013</v>
      </c>
      <c r="AK496" s="28">
        <f t="shared" si="151"/>
        <v>0.11855004919821259</v>
      </c>
      <c r="AL496" s="24"/>
      <c r="AM496" s="24"/>
      <c r="AN496" s="24"/>
      <c r="AO496" s="24"/>
      <c r="AP496" s="28" t="str">
        <f t="shared" si="152"/>
        <v>20244</v>
      </c>
      <c r="AQ496" s="28" t="str">
        <f t="shared" si="153"/>
        <v>20244RMB</v>
      </c>
      <c r="AR496" s="206" t="str">
        <f t="shared" si="154"/>
        <v>YAMAHA_Mounter</v>
      </c>
      <c r="AS496" s="22">
        <f t="shared" si="155"/>
        <v>1</v>
      </c>
      <c r="AT496" s="24" t="str">
        <f t="shared" si="156"/>
        <v>0-3 months</v>
      </c>
      <c r="AU496" s="22" t="s">
        <v>3240</v>
      </c>
    </row>
    <row r="497" spans="1:47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46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41"/>
        <v>47907808.356810622</v>
      </c>
      <c r="AJ497" s="19">
        <f t="shared" si="142"/>
        <v>6027384.8806384448</v>
      </c>
      <c r="AK497" s="20">
        <f t="shared" si="151"/>
        <v>0.12581216063459488</v>
      </c>
      <c r="AL497" s="17"/>
      <c r="AM497" s="17"/>
      <c r="AN497" s="17"/>
      <c r="AO497" s="17"/>
      <c r="AP497" s="28" t="str">
        <f t="shared" si="152"/>
        <v>20209</v>
      </c>
      <c r="AQ497" s="28" t="str">
        <f t="shared" si="153"/>
        <v>20209RMB</v>
      </c>
      <c r="AR497" s="206" t="str">
        <f t="shared" si="154"/>
        <v>YAMAHA_Mounter</v>
      </c>
      <c r="AS497" s="22">
        <f t="shared" si="155"/>
        <v>2</v>
      </c>
      <c r="AT497" s="24" t="str">
        <f t="shared" si="156"/>
        <v>0-3 months</v>
      </c>
      <c r="AU497" s="22" t="s">
        <v>3743</v>
      </c>
    </row>
    <row r="498" spans="1:47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46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41"/>
        <v>32843736.557277881</v>
      </c>
      <c r="AJ498" s="19">
        <f t="shared" si="142"/>
        <v>3921470.6822663117</v>
      </c>
      <c r="AK498" s="20">
        <f t="shared" si="151"/>
        <v>0.11939782416131177</v>
      </c>
      <c r="AL498" s="17"/>
      <c r="AM498" s="17"/>
      <c r="AN498" s="17"/>
      <c r="AO498" s="17"/>
      <c r="AP498" s="28" t="str">
        <f t="shared" si="152"/>
        <v>20194</v>
      </c>
      <c r="AQ498" s="28" t="str">
        <f t="shared" si="153"/>
        <v>20194JPY</v>
      </c>
      <c r="AR498" s="206" t="str">
        <f t="shared" si="154"/>
        <v>YAMAHA_Mounter</v>
      </c>
      <c r="AS498" s="22">
        <f t="shared" si="155"/>
        <v>1</v>
      </c>
      <c r="AT498" s="24" t="str">
        <f t="shared" si="156"/>
        <v>0-3 months</v>
      </c>
      <c r="AU498" s="22" t="s">
        <v>3744</v>
      </c>
    </row>
    <row r="499" spans="1:47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46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41"/>
        <v>31750699.113741599</v>
      </c>
      <c r="AJ499" s="19">
        <f t="shared" si="142"/>
        <v>4396077.3195289988</v>
      </c>
      <c r="AK499" s="20">
        <f t="shared" si="151"/>
        <v>0.13845607946397598</v>
      </c>
      <c r="AL499" s="17"/>
      <c r="AM499" s="17"/>
      <c r="AN499" s="17"/>
      <c r="AO499" s="17" t="s">
        <v>1974</v>
      </c>
      <c r="AP499" s="28" t="str">
        <f t="shared" si="152"/>
        <v>20222</v>
      </c>
      <c r="AQ499" s="28" t="str">
        <f t="shared" si="153"/>
        <v>20222JPY</v>
      </c>
      <c r="AR499" s="206" t="str">
        <f t="shared" si="154"/>
        <v>YAMAHA_Mounter</v>
      </c>
      <c r="AS499" s="22">
        <f t="shared" si="155"/>
        <v>2</v>
      </c>
      <c r="AT499" s="24" t="str">
        <f t="shared" si="156"/>
        <v>0-3 months</v>
      </c>
      <c r="AU499" s="22" t="s">
        <v>3745</v>
      </c>
    </row>
    <row r="500" spans="1:47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46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41"/>
        <v>15951056.41591504</v>
      </c>
      <c r="AJ500" s="19">
        <f t="shared" si="142"/>
        <v>1966354.6022462982</v>
      </c>
      <c r="AK500" s="20">
        <f t="shared" si="151"/>
        <v>0.12327425538313459</v>
      </c>
      <c r="AL500" s="17"/>
      <c r="AM500" s="17"/>
      <c r="AN500" s="17"/>
      <c r="AO500" s="17" t="s">
        <v>1974</v>
      </c>
      <c r="AP500" s="28" t="str">
        <f t="shared" si="152"/>
        <v>20237</v>
      </c>
      <c r="AQ500" s="28" t="str">
        <f t="shared" si="153"/>
        <v>20237JPY</v>
      </c>
      <c r="AR500" s="206" t="str">
        <f t="shared" si="154"/>
        <v>YAMAHA_Mounter</v>
      </c>
      <c r="AS500" s="22">
        <f t="shared" si="155"/>
        <v>19</v>
      </c>
      <c r="AT500" s="24" t="str">
        <f t="shared" si="156"/>
        <v>&gt; 6 months</v>
      </c>
      <c r="AU500" s="22" t="s">
        <v>3745</v>
      </c>
    </row>
    <row r="501" spans="1:47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46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41"/>
        <v>15951056.41591504</v>
      </c>
      <c r="AJ501" s="19">
        <f t="shared" si="142"/>
        <v>1966354.6022462982</v>
      </c>
      <c r="AK501" s="20">
        <f t="shared" si="151"/>
        <v>0.12327425538313459</v>
      </c>
      <c r="AL501" s="17"/>
      <c r="AM501" s="17"/>
      <c r="AN501" s="17"/>
      <c r="AO501" s="17" t="s">
        <v>1974</v>
      </c>
      <c r="AP501" s="28" t="str">
        <f t="shared" si="152"/>
        <v>20237</v>
      </c>
      <c r="AQ501" s="28" t="str">
        <f t="shared" si="153"/>
        <v>20237JPY</v>
      </c>
      <c r="AR501" s="206" t="str">
        <f t="shared" si="154"/>
        <v>YAMAHA_Mounter</v>
      </c>
      <c r="AS501" s="22">
        <f t="shared" si="155"/>
        <v>19</v>
      </c>
      <c r="AT501" s="24" t="str">
        <f t="shared" si="156"/>
        <v>&gt; 6 months</v>
      </c>
      <c r="AU501" s="22" t="s">
        <v>3745</v>
      </c>
    </row>
    <row r="502" spans="1:47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46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41"/>
        <v>11730565.00042478</v>
      </c>
      <c r="AJ502" s="19">
        <f t="shared" si="142"/>
        <v>1439625.5685810833</v>
      </c>
      <c r="AK502" s="20">
        <f t="shared" si="151"/>
        <v>0.12272431622253084</v>
      </c>
      <c r="AL502" s="17"/>
      <c r="AM502" s="17"/>
      <c r="AN502" s="17"/>
      <c r="AO502" s="17"/>
      <c r="AP502" s="28" t="str">
        <f t="shared" si="152"/>
        <v>202311</v>
      </c>
      <c r="AQ502" s="28" t="str">
        <f t="shared" si="153"/>
        <v>202311JPY</v>
      </c>
      <c r="AR502" s="206" t="str">
        <f t="shared" si="154"/>
        <v>YAMAHA_Non_Mounter</v>
      </c>
      <c r="AS502" s="22">
        <f t="shared" si="155"/>
        <v>9</v>
      </c>
      <c r="AT502" s="24" t="str">
        <f t="shared" si="156"/>
        <v>&gt; 6 months</v>
      </c>
      <c r="AU502" s="22" t="s">
        <v>3745</v>
      </c>
    </row>
    <row r="503" spans="1:47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46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41"/>
        <v>46600814.041769907</v>
      </c>
      <c r="AJ503" s="19">
        <f t="shared" si="142"/>
        <v>5956366.3435927071</v>
      </c>
      <c r="AK503" s="20">
        <f t="shared" si="151"/>
        <v>0.1278167874546958</v>
      </c>
      <c r="AL503" s="17"/>
      <c r="AM503" s="17"/>
      <c r="AN503" s="17"/>
      <c r="AO503" s="17"/>
      <c r="AP503" s="28" t="str">
        <f t="shared" si="152"/>
        <v>20224</v>
      </c>
      <c r="AQ503" s="28" t="str">
        <f t="shared" si="153"/>
        <v>20224JPY</v>
      </c>
      <c r="AR503" s="206" t="str">
        <f t="shared" si="154"/>
        <v>YAMAHA_Non_Mounter</v>
      </c>
      <c r="AS503" s="22">
        <f t="shared" si="155"/>
        <v>4</v>
      </c>
      <c r="AT503" s="24" t="str">
        <f t="shared" si="156"/>
        <v>4-6 months</v>
      </c>
      <c r="AU503" s="22" t="s">
        <v>3745</v>
      </c>
    </row>
    <row r="504" spans="1:47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58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45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46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41"/>
        <v>499582152.5142017</v>
      </c>
      <c r="AJ504" s="19">
        <f t="shared" si="142"/>
        <v>59520528.679470733</v>
      </c>
      <c r="AK504" s="20">
        <f t="shared" si="151"/>
        <v>0.11914062257814291</v>
      </c>
      <c r="AL504" s="17"/>
      <c r="AM504" s="17"/>
      <c r="AN504" s="17"/>
      <c r="AO504" s="17"/>
      <c r="AP504" s="28" t="str">
        <f t="shared" si="152"/>
        <v>CancelCancel</v>
      </c>
      <c r="AQ504" s="28" t="str">
        <f t="shared" si="153"/>
        <v>CancelCancelJPY</v>
      </c>
      <c r="AR504" s="206" t="str">
        <f t="shared" si="154"/>
        <v>YAMAHA_Non_Mounter</v>
      </c>
      <c r="AS504" s="22" t="str">
        <f t="shared" si="155"/>
        <v/>
      </c>
      <c r="AT504" s="24" t="str">
        <f t="shared" si="156"/>
        <v/>
      </c>
      <c r="AU504" s="22" t="s">
        <v>3240</v>
      </c>
    </row>
    <row r="505" spans="1:47" s="12" customFormat="1">
      <c r="A505" s="33" t="str">
        <f t="shared" si="143"/>
        <v>cancel</v>
      </c>
      <c r="B505" s="152"/>
      <c r="C505" s="152" t="s">
        <v>185</v>
      </c>
      <c r="D505" s="33" t="str">
        <f t="shared" si="144"/>
        <v/>
      </c>
      <c r="E505" s="33" t="str">
        <f t="shared" si="158"/>
        <v>TBA</v>
      </c>
      <c r="F505" s="152" t="s">
        <v>2584</v>
      </c>
      <c r="G505" s="152" t="s">
        <v>2584</v>
      </c>
      <c r="H505" s="155"/>
      <c r="I505" s="33" t="str">
        <f t="shared" si="145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46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41"/>
        <v>19242877.433628317</v>
      </c>
      <c r="AJ505" s="19">
        <f t="shared" si="142"/>
        <v>2240020.1770353983</v>
      </c>
      <c r="AK505" s="20">
        <f t="shared" si="151"/>
        <v>0.11640775579232249</v>
      </c>
      <c r="AL505" s="17"/>
      <c r="AM505" s="17"/>
      <c r="AN505" s="17"/>
      <c r="AO505" s="17" t="s">
        <v>3087</v>
      </c>
      <c r="AP505" s="28" t="str">
        <f t="shared" si="152"/>
        <v>TBATBA</v>
      </c>
      <c r="AQ505" s="28" t="str">
        <f t="shared" si="153"/>
        <v>TBATBAJPY</v>
      </c>
      <c r="AR505" s="206" t="str">
        <f t="shared" si="154"/>
        <v>YAMAHA_Mounter</v>
      </c>
      <c r="AS505" s="22" t="str">
        <f t="shared" si="155"/>
        <v/>
      </c>
      <c r="AT505" s="24" t="str">
        <f t="shared" si="156"/>
        <v/>
      </c>
      <c r="AU505" s="22" t="s">
        <v>3745</v>
      </c>
    </row>
    <row r="506" spans="1:47" s="12" customFormat="1">
      <c r="A506" s="33" t="str">
        <f t="shared" si="143"/>
        <v>cancel</v>
      </c>
      <c r="B506" s="152"/>
      <c r="C506" s="152" t="s">
        <v>185</v>
      </c>
      <c r="D506" s="33" t="str">
        <f t="shared" si="144"/>
        <v/>
      </c>
      <c r="E506" s="33" t="str">
        <f t="shared" si="158"/>
        <v>TBA</v>
      </c>
      <c r="F506" s="152" t="s">
        <v>2584</v>
      </c>
      <c r="G506" s="152" t="s">
        <v>2584</v>
      </c>
      <c r="H506" s="155"/>
      <c r="I506" s="33" t="str">
        <f t="shared" si="145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46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41"/>
        <v>19242877.433628317</v>
      </c>
      <c r="AJ506" s="19">
        <f t="shared" si="142"/>
        <v>2240020.1770353983</v>
      </c>
      <c r="AK506" s="20">
        <f t="shared" si="151"/>
        <v>0.11640775579232249</v>
      </c>
      <c r="AL506" s="17"/>
      <c r="AM506" s="17"/>
      <c r="AN506" s="17"/>
      <c r="AO506" s="17" t="s">
        <v>3087</v>
      </c>
      <c r="AP506" s="28" t="str">
        <f t="shared" si="152"/>
        <v>TBATBA</v>
      </c>
      <c r="AQ506" s="28" t="str">
        <f t="shared" si="153"/>
        <v>TBATBAJPY</v>
      </c>
      <c r="AR506" s="206" t="str">
        <f t="shared" si="154"/>
        <v>YAMAHA_Mounter</v>
      </c>
      <c r="AS506" s="22" t="str">
        <f t="shared" si="155"/>
        <v/>
      </c>
      <c r="AT506" s="24" t="str">
        <f t="shared" si="156"/>
        <v/>
      </c>
      <c r="AU506" s="22" t="s">
        <v>3745</v>
      </c>
    </row>
    <row r="507" spans="1:47" s="12" customFormat="1">
      <c r="A507" s="33" t="str">
        <f t="shared" si="143"/>
        <v>cancel</v>
      </c>
      <c r="B507" s="152"/>
      <c r="C507" s="152" t="s">
        <v>185</v>
      </c>
      <c r="D507" s="33" t="str">
        <f t="shared" si="144"/>
        <v/>
      </c>
      <c r="E507" s="33" t="str">
        <f t="shared" si="158"/>
        <v>TBA</v>
      </c>
      <c r="F507" s="152" t="s">
        <v>2584</v>
      </c>
      <c r="G507" s="152" t="s">
        <v>2584</v>
      </c>
      <c r="H507" s="155"/>
      <c r="I507" s="33" t="str">
        <f t="shared" si="145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46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41"/>
        <v>19242877.433628317</v>
      </c>
      <c r="AJ507" s="19">
        <f t="shared" si="142"/>
        <v>2240020.1770353983</v>
      </c>
      <c r="AK507" s="20">
        <f t="shared" si="151"/>
        <v>0.11640775579232249</v>
      </c>
      <c r="AL507" s="17"/>
      <c r="AM507" s="17"/>
      <c r="AN507" s="17"/>
      <c r="AO507" s="17" t="s">
        <v>3087</v>
      </c>
      <c r="AP507" s="28" t="str">
        <f t="shared" si="152"/>
        <v>TBATBA</v>
      </c>
      <c r="AQ507" s="28" t="str">
        <f t="shared" si="153"/>
        <v>TBATBAJPY</v>
      </c>
      <c r="AR507" s="206" t="str">
        <f t="shared" si="154"/>
        <v>YAMAHA_Mounter</v>
      </c>
      <c r="AS507" s="22" t="str">
        <f t="shared" si="155"/>
        <v/>
      </c>
      <c r="AT507" s="24" t="str">
        <f t="shared" si="156"/>
        <v/>
      </c>
      <c r="AU507" s="22" t="s">
        <v>3745</v>
      </c>
    </row>
    <row r="508" spans="1:47" s="12" customFormat="1">
      <c r="A508" s="33" t="str">
        <f t="shared" si="143"/>
        <v>cancel</v>
      </c>
      <c r="B508" s="152"/>
      <c r="C508" s="152" t="s">
        <v>185</v>
      </c>
      <c r="D508" s="33" t="str">
        <f t="shared" si="144"/>
        <v/>
      </c>
      <c r="E508" s="33" t="str">
        <f t="shared" si="158"/>
        <v>TBA</v>
      </c>
      <c r="F508" s="152" t="s">
        <v>2584</v>
      </c>
      <c r="G508" s="152" t="s">
        <v>2584</v>
      </c>
      <c r="H508" s="155"/>
      <c r="I508" s="33" t="str">
        <f t="shared" si="145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46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41"/>
        <v>19242877.433628317</v>
      </c>
      <c r="AJ508" s="19">
        <f t="shared" si="142"/>
        <v>2240020.1770353983</v>
      </c>
      <c r="AK508" s="20">
        <f t="shared" si="151"/>
        <v>0.11640775579232249</v>
      </c>
      <c r="AL508" s="17"/>
      <c r="AM508" s="17"/>
      <c r="AN508" s="17"/>
      <c r="AO508" s="17" t="s">
        <v>3087</v>
      </c>
      <c r="AP508" s="28" t="str">
        <f t="shared" si="152"/>
        <v>TBATBA</v>
      </c>
      <c r="AQ508" s="28" t="str">
        <f t="shared" si="153"/>
        <v>TBATBAJPY</v>
      </c>
      <c r="AR508" s="206" t="str">
        <f t="shared" si="154"/>
        <v>YAMAHA_Mounter</v>
      </c>
      <c r="AS508" s="22" t="str">
        <f t="shared" si="155"/>
        <v/>
      </c>
      <c r="AT508" s="24" t="str">
        <f t="shared" si="156"/>
        <v/>
      </c>
      <c r="AU508" s="22" t="s">
        <v>3745</v>
      </c>
    </row>
    <row r="509" spans="1:47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58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46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41"/>
        <v>20319282.700884953</v>
      </c>
      <c r="AJ509" s="27">
        <f t="shared" si="142"/>
        <v>2408851.9638623013</v>
      </c>
      <c r="AK509" s="28">
        <f t="shared" si="151"/>
        <v>0.11855004919821259</v>
      </c>
      <c r="AL509" s="24"/>
      <c r="AM509" s="24"/>
      <c r="AN509" s="24"/>
      <c r="AO509" s="24"/>
      <c r="AP509" s="28" t="str">
        <f t="shared" si="152"/>
        <v>20244</v>
      </c>
      <c r="AQ509" s="28" t="str">
        <f t="shared" si="153"/>
        <v>20244RMB</v>
      </c>
      <c r="AR509" s="206" t="str">
        <f t="shared" si="154"/>
        <v>YAMAHA_Mounter</v>
      </c>
      <c r="AS509" s="22">
        <f t="shared" si="155"/>
        <v>1</v>
      </c>
      <c r="AT509" s="24" t="str">
        <f t="shared" si="156"/>
        <v>0-3 months</v>
      </c>
      <c r="AU509" s="22" t="s">
        <v>3240</v>
      </c>
    </row>
    <row r="510" spans="1:47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58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46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41"/>
        <v>20319282.700884953</v>
      </c>
      <c r="AJ510" s="27">
        <f t="shared" si="142"/>
        <v>2408851.9638623013</v>
      </c>
      <c r="AK510" s="28">
        <f t="shared" si="151"/>
        <v>0.11855004919821259</v>
      </c>
      <c r="AL510" s="24"/>
      <c r="AM510" s="24"/>
      <c r="AN510" s="24"/>
      <c r="AO510" s="24"/>
      <c r="AP510" s="28" t="str">
        <f t="shared" si="152"/>
        <v>20244</v>
      </c>
      <c r="AQ510" s="28" t="str">
        <f t="shared" si="153"/>
        <v>20244RMB</v>
      </c>
      <c r="AR510" s="206" t="str">
        <f t="shared" si="154"/>
        <v>YAMAHA_Mounter</v>
      </c>
      <c r="AS510" s="22">
        <f t="shared" si="155"/>
        <v>1</v>
      </c>
      <c r="AT510" s="24" t="str">
        <f t="shared" si="156"/>
        <v>0-3 months</v>
      </c>
      <c r="AU510" s="22" t="s">
        <v>3240</v>
      </c>
    </row>
    <row r="511" spans="1:47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46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41"/>
        <v>32843736.557277881</v>
      </c>
      <c r="AJ511" s="19">
        <f t="shared" si="142"/>
        <v>3921470.6822663117</v>
      </c>
      <c r="AK511" s="20">
        <f t="shared" si="151"/>
        <v>0.11939782416131177</v>
      </c>
      <c r="AL511" s="17"/>
      <c r="AM511" s="17"/>
      <c r="AN511" s="17"/>
      <c r="AO511" s="17"/>
      <c r="AP511" s="28" t="str">
        <f t="shared" si="152"/>
        <v>20194</v>
      </c>
      <c r="AQ511" s="28" t="str">
        <f t="shared" si="153"/>
        <v>20194JPY</v>
      </c>
      <c r="AR511" s="206" t="str">
        <f t="shared" si="154"/>
        <v>YAMAHA_Mounter</v>
      </c>
      <c r="AS511" s="22">
        <f t="shared" si="155"/>
        <v>0</v>
      </c>
      <c r="AT511" s="24" t="str">
        <f t="shared" si="156"/>
        <v>0-3 months</v>
      </c>
      <c r="AU511" s="22" t="s">
        <v>3744</v>
      </c>
    </row>
    <row r="512" spans="1:47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46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41"/>
        <v>32843736.557277881</v>
      </c>
      <c r="AJ512" s="19">
        <f t="shared" si="142"/>
        <v>3921470.6822663117</v>
      </c>
      <c r="AK512" s="20">
        <f t="shared" si="151"/>
        <v>0.11939782416131177</v>
      </c>
      <c r="AL512" s="17"/>
      <c r="AM512" s="17"/>
      <c r="AN512" s="17"/>
      <c r="AO512" s="17"/>
      <c r="AP512" s="28" t="str">
        <f t="shared" si="152"/>
        <v>20194</v>
      </c>
      <c r="AQ512" s="28" t="str">
        <f t="shared" si="153"/>
        <v>20194JPY</v>
      </c>
      <c r="AR512" s="206" t="str">
        <f t="shared" si="154"/>
        <v>YAMAHA_Mounter</v>
      </c>
      <c r="AS512" s="22">
        <f t="shared" si="155"/>
        <v>0</v>
      </c>
      <c r="AT512" s="24" t="str">
        <f t="shared" si="156"/>
        <v>0-3 months</v>
      </c>
      <c r="AU512" s="22" t="s">
        <v>3744</v>
      </c>
    </row>
    <row r="513" spans="1:47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46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41"/>
        <v>32843736.557277881</v>
      </c>
      <c r="AJ513" s="19">
        <f t="shared" si="142"/>
        <v>3921470.6822663117</v>
      </c>
      <c r="AK513" s="20">
        <f t="shared" si="151"/>
        <v>0.11939782416131177</v>
      </c>
      <c r="AL513" s="17"/>
      <c r="AM513" s="17"/>
      <c r="AN513" s="17"/>
      <c r="AO513" s="17"/>
      <c r="AP513" s="28" t="str">
        <f t="shared" si="152"/>
        <v>20194</v>
      </c>
      <c r="AQ513" s="28" t="str">
        <f t="shared" si="153"/>
        <v>20194JPY</v>
      </c>
      <c r="AR513" s="206" t="str">
        <f t="shared" si="154"/>
        <v>YAMAHA_Mounter</v>
      </c>
      <c r="AS513" s="22">
        <f t="shared" si="155"/>
        <v>0</v>
      </c>
      <c r="AT513" s="24" t="str">
        <f t="shared" si="156"/>
        <v>0-3 months</v>
      </c>
      <c r="AU513" s="22" t="s">
        <v>3744</v>
      </c>
    </row>
    <row r="514" spans="1:47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46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ref="AI514:AI577" si="159">IF(P514="C66 SERVICE","",SUMIFS(AB:AB,F:F,F514,G:G,G514,E:E,E514))</f>
        <v>26147030.909862842</v>
      </c>
      <c r="AJ514" s="19">
        <f t="shared" ref="AJ514:AJ577" si="160">IF(P514="C66 SERVICE","",SUMIFS(AC:AC,F:F,F514,G:G,G514,E:E,E514))</f>
        <v>2743862.8630715334</v>
      </c>
      <c r="AK514" s="20">
        <f t="shared" si="151"/>
        <v>0.10493974908778378</v>
      </c>
      <c r="AL514" s="17"/>
      <c r="AM514" s="17"/>
      <c r="AN514" s="17"/>
      <c r="AO514" s="17"/>
      <c r="AP514" s="28" t="str">
        <f t="shared" si="152"/>
        <v>201911</v>
      </c>
      <c r="AQ514" s="28" t="str">
        <f t="shared" si="153"/>
        <v>201911JPY</v>
      </c>
      <c r="AR514" s="206" t="str">
        <f t="shared" si="154"/>
        <v>YAMAHA_Mounter</v>
      </c>
      <c r="AS514" s="22">
        <f t="shared" si="155"/>
        <v>0</v>
      </c>
      <c r="AT514" s="24" t="str">
        <f t="shared" si="156"/>
        <v>0-3 months</v>
      </c>
      <c r="AU514" s="22" t="s">
        <v>3744</v>
      </c>
    </row>
    <row r="515" spans="1:47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46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9"/>
        <v>35384300.169380538</v>
      </c>
      <c r="AJ515" s="19">
        <f t="shared" si="160"/>
        <v>5044538.8896988509</v>
      </c>
      <c r="AK515" s="20">
        <f t="shared" si="151"/>
        <v>0.14256432557804533</v>
      </c>
      <c r="AL515" s="17"/>
      <c r="AM515" s="17"/>
      <c r="AN515" s="17"/>
      <c r="AO515" s="17"/>
      <c r="AP515" s="28" t="str">
        <f t="shared" si="152"/>
        <v>20207</v>
      </c>
      <c r="AQ515" s="28" t="str">
        <f t="shared" si="153"/>
        <v>20207JPY</v>
      </c>
      <c r="AR515" s="206" t="str">
        <f t="shared" si="154"/>
        <v>YAMAHA_Mounter</v>
      </c>
      <c r="AS515" s="22">
        <f t="shared" si="155"/>
        <v>1</v>
      </c>
      <c r="AT515" s="24" t="str">
        <f t="shared" si="156"/>
        <v>0-3 months</v>
      </c>
      <c r="AU515" s="22" t="s">
        <v>3744</v>
      </c>
    </row>
    <row r="516" spans="1:47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46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9"/>
        <v>28065694.408805311</v>
      </c>
      <c r="AJ516" s="19">
        <f t="shared" si="160"/>
        <v>4157433.2906989697</v>
      </c>
      <c r="AK516" s="20">
        <f t="shared" si="151"/>
        <v>0.14813220831602228</v>
      </c>
      <c r="AL516" s="17"/>
      <c r="AM516" s="17"/>
      <c r="AN516" s="17"/>
      <c r="AO516" s="17"/>
      <c r="AP516" s="28" t="str">
        <f t="shared" si="152"/>
        <v>20205</v>
      </c>
      <c r="AQ516" s="28" t="str">
        <f t="shared" si="153"/>
        <v>20205JPY</v>
      </c>
      <c r="AR516" s="206" t="str">
        <f t="shared" si="154"/>
        <v>YAMAHA_Mounter</v>
      </c>
      <c r="AS516" s="22">
        <f t="shared" si="155"/>
        <v>2</v>
      </c>
      <c r="AT516" s="24" t="str">
        <f t="shared" si="156"/>
        <v>0-3 months</v>
      </c>
      <c r="AU516" s="22" t="s">
        <v>3744</v>
      </c>
    </row>
    <row r="517" spans="1:47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46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9"/>
        <v>17329060.066371687</v>
      </c>
      <c r="AJ517" s="19">
        <f t="shared" si="160"/>
        <v>2472600.2142256643</v>
      </c>
      <c r="AK517" s="20">
        <f t="shared" si="151"/>
        <v>0.14268518919984163</v>
      </c>
      <c r="AL517" s="17"/>
      <c r="AM517" s="17"/>
      <c r="AN517" s="17"/>
      <c r="AO517" s="17"/>
      <c r="AP517" s="28" t="str">
        <f t="shared" si="152"/>
        <v>202212</v>
      </c>
      <c r="AQ517" s="28" t="str">
        <f t="shared" si="153"/>
        <v>202212RMB</v>
      </c>
      <c r="AR517" s="206" t="str">
        <f t="shared" si="154"/>
        <v>YAMAHA_Mounter</v>
      </c>
      <c r="AS517" s="22">
        <f t="shared" si="155"/>
        <v>0</v>
      </c>
      <c r="AT517" s="24" t="str">
        <f t="shared" si="156"/>
        <v>0-3 months</v>
      </c>
      <c r="AU517" s="22" t="s">
        <v>3750</v>
      </c>
    </row>
    <row r="518" spans="1:47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si="159"/>
        <v>17329060.066371687</v>
      </c>
      <c r="AJ518" s="19">
        <f t="shared" si="160"/>
        <v>2472600.2142256643</v>
      </c>
      <c r="AK518" s="20">
        <f t="shared" ref="AK518:AK581" si="169">IF(AJ518&gt;0,AJ518/AI518,"")</f>
        <v>0.14268518919984163</v>
      </c>
      <c r="AL518" s="17"/>
      <c r="AM518" s="17"/>
      <c r="AN518" s="17"/>
      <c r="AO518" s="17"/>
      <c r="AP518" s="28" t="str">
        <f t="shared" ref="AP518:AP581" si="170">IF(F518="","",F518&amp;G518)</f>
        <v>202212</v>
      </c>
      <c r="AQ518" s="28" t="str">
        <f t="shared" ref="AQ518:AQ581" si="171">IF(W518="","",F518&amp;G518&amp;W518)</f>
        <v>202212RMB</v>
      </c>
      <c r="AR518" s="206" t="str">
        <f t="shared" ref="AR518:AR581" si="172">IFERROR(IF(AND(M518="YAMAHA", R518="C28"), "YAMAHA_Non_Mounter", IF(AND(M518="YAMAHA", R518="C49"), "YAMAHA_Mounter", M518)),"")</f>
        <v>YAMAHA_Mounter</v>
      </c>
      <c r="AS518" s="22">
        <f t="shared" ref="AS518:AS581" si="173">IFERROR(IF(OR(G518="TBA", G518=""), "", DATEDIF(DATE(B518, C518, 1), DATE(F518, G518, 1), "M")),"")</f>
        <v>0</v>
      </c>
      <c r="AT518" s="24" t="str">
        <f t="shared" ref="AT518:AT581" si="174">IF(ISNUMBER(AS518), IF(AS518&gt;=0, IF(AS518&lt;=3, "0-3 months", IF(AS518&lt;=6, "4-6 months", "&gt; 6 months"))), "")</f>
        <v>0-3 months</v>
      </c>
      <c r="AU518" s="22" t="s">
        <v>3750</v>
      </c>
    </row>
    <row r="519" spans="1:47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64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59"/>
        <v>33477255.428389374</v>
      </c>
      <c r="AJ519" s="19">
        <f t="shared" si="160"/>
        <v>4578663.362915583</v>
      </c>
      <c r="AK519" s="20">
        <f t="shared" si="169"/>
        <v>0.13676937682988152</v>
      </c>
      <c r="AL519" s="17"/>
      <c r="AM519" s="17"/>
      <c r="AN519" s="17"/>
      <c r="AO519" s="17"/>
      <c r="AP519" s="28" t="str">
        <f t="shared" si="170"/>
        <v>20204</v>
      </c>
      <c r="AQ519" s="28" t="str">
        <f t="shared" si="171"/>
        <v>20204JPY</v>
      </c>
      <c r="AR519" s="206" t="str">
        <f t="shared" si="172"/>
        <v>YAMAHA_Mounter</v>
      </c>
      <c r="AS519" s="22">
        <f t="shared" si="173"/>
        <v>3</v>
      </c>
      <c r="AT519" s="24" t="str">
        <f t="shared" si="174"/>
        <v>0-3 months</v>
      </c>
      <c r="AU519" s="22" t="s">
        <v>3744</v>
      </c>
    </row>
    <row r="520" spans="1:47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64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59"/>
        <v>33477255.428389374</v>
      </c>
      <c r="AJ520" s="19">
        <f t="shared" si="160"/>
        <v>4578663.362915583</v>
      </c>
      <c r="AK520" s="20">
        <f t="shared" si="169"/>
        <v>0.13676937682988152</v>
      </c>
      <c r="AL520" s="17"/>
      <c r="AM520" s="17"/>
      <c r="AN520" s="17"/>
      <c r="AO520" s="17"/>
      <c r="AP520" s="28" t="str">
        <f t="shared" si="170"/>
        <v>20204</v>
      </c>
      <c r="AQ520" s="28" t="str">
        <f t="shared" si="171"/>
        <v>20204JPY</v>
      </c>
      <c r="AR520" s="206" t="str">
        <f t="shared" si="172"/>
        <v>YAMAHA_Mounter</v>
      </c>
      <c r="AS520" s="22">
        <f t="shared" si="173"/>
        <v>3</v>
      </c>
      <c r="AT520" s="24" t="str">
        <f t="shared" si="174"/>
        <v>0-3 months</v>
      </c>
      <c r="AU520" s="22" t="s">
        <v>3744</v>
      </c>
    </row>
    <row r="521" spans="1:47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64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59"/>
        <v>28011162.254106201</v>
      </c>
      <c r="AJ521" s="19">
        <f t="shared" si="160"/>
        <v>3401347.1124888416</v>
      </c>
      <c r="AK521" s="20">
        <f t="shared" si="169"/>
        <v>0.12142827497242578</v>
      </c>
      <c r="AL521" s="17"/>
      <c r="AM521" s="17"/>
      <c r="AN521" s="17"/>
      <c r="AO521" s="17"/>
      <c r="AP521" s="28" t="str">
        <f t="shared" si="170"/>
        <v>202010</v>
      </c>
      <c r="AQ521" s="28" t="str">
        <f t="shared" si="171"/>
        <v>202010JPY</v>
      </c>
      <c r="AR521" s="206" t="str">
        <f t="shared" si="172"/>
        <v>YAMAHA_Mounter</v>
      </c>
      <c r="AS521" s="22">
        <f t="shared" si="173"/>
        <v>3</v>
      </c>
      <c r="AT521" s="24" t="str">
        <f t="shared" si="174"/>
        <v>0-3 months</v>
      </c>
      <c r="AU521" s="22" t="s">
        <v>3744</v>
      </c>
    </row>
    <row r="522" spans="1:47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64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59"/>
        <v>43684091.636631854</v>
      </c>
      <c r="AJ522" s="19">
        <f t="shared" si="160"/>
        <v>6483951.8242071122</v>
      </c>
      <c r="AK522" s="20">
        <f t="shared" si="169"/>
        <v>0.14842821680123736</v>
      </c>
      <c r="AL522" s="17"/>
      <c r="AM522" s="17"/>
      <c r="AN522" s="17"/>
      <c r="AO522" s="17"/>
      <c r="AP522" s="28" t="str">
        <f t="shared" si="170"/>
        <v>20214</v>
      </c>
      <c r="AQ522" s="28" t="str">
        <f t="shared" si="171"/>
        <v>20214JPY</v>
      </c>
      <c r="AR522" s="206" t="str">
        <f t="shared" si="172"/>
        <v>YAMAHA_Mounter</v>
      </c>
      <c r="AS522" s="22">
        <f t="shared" si="173"/>
        <v>4</v>
      </c>
      <c r="AT522" s="24" t="str">
        <f t="shared" si="174"/>
        <v>4-6 months</v>
      </c>
      <c r="AU522" s="22" t="s">
        <v>3744</v>
      </c>
    </row>
    <row r="523" spans="1:47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64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59"/>
        <v>46600814.041769907</v>
      </c>
      <c r="AJ523" s="19">
        <f t="shared" si="160"/>
        <v>5956366.3435927071</v>
      </c>
      <c r="AK523" s="20">
        <f t="shared" si="169"/>
        <v>0.1278167874546958</v>
      </c>
      <c r="AL523" s="17"/>
      <c r="AM523" s="17"/>
      <c r="AN523" s="17"/>
      <c r="AO523" s="17"/>
      <c r="AP523" s="28" t="str">
        <f t="shared" si="170"/>
        <v>20224</v>
      </c>
      <c r="AQ523" s="28" t="str">
        <f t="shared" si="171"/>
        <v>20224JPY</v>
      </c>
      <c r="AR523" s="206" t="str">
        <f t="shared" si="172"/>
        <v>YAMAHA_Mounter</v>
      </c>
      <c r="AS523" s="22">
        <f t="shared" si="173"/>
        <v>10</v>
      </c>
      <c r="AT523" s="24" t="str">
        <f t="shared" si="174"/>
        <v>&gt; 6 months</v>
      </c>
      <c r="AU523" s="22" t="s">
        <v>3744</v>
      </c>
    </row>
    <row r="524" spans="1:47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64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59"/>
        <v>46600814.041769907</v>
      </c>
      <c r="AJ524" s="19">
        <f t="shared" si="160"/>
        <v>5956366.3435927071</v>
      </c>
      <c r="AK524" s="20">
        <f t="shared" si="169"/>
        <v>0.1278167874546958</v>
      </c>
      <c r="AL524" s="17"/>
      <c r="AM524" s="17"/>
      <c r="AN524" s="17"/>
      <c r="AO524" s="17"/>
      <c r="AP524" s="28" t="str">
        <f t="shared" si="170"/>
        <v>20224</v>
      </c>
      <c r="AQ524" s="28" t="str">
        <f t="shared" si="171"/>
        <v>20224JPY</v>
      </c>
      <c r="AR524" s="206" t="str">
        <f t="shared" si="172"/>
        <v>YAMAHA_Mounter</v>
      </c>
      <c r="AS524" s="22">
        <f t="shared" si="173"/>
        <v>10</v>
      </c>
      <c r="AT524" s="24" t="str">
        <f t="shared" si="174"/>
        <v>&gt; 6 months</v>
      </c>
      <c r="AU524" s="22" t="s">
        <v>3744</v>
      </c>
    </row>
    <row r="525" spans="1:47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64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59"/>
        <v>17329060.066371687</v>
      </c>
      <c r="AJ525" s="19">
        <f t="shared" si="160"/>
        <v>2472600.2142256643</v>
      </c>
      <c r="AK525" s="20">
        <f t="shared" si="169"/>
        <v>0.14268518919984163</v>
      </c>
      <c r="AL525" s="17"/>
      <c r="AM525" s="17"/>
      <c r="AN525" s="17"/>
      <c r="AO525" s="17"/>
      <c r="AP525" s="28" t="str">
        <f t="shared" si="170"/>
        <v>202212</v>
      </c>
      <c r="AQ525" s="28" t="str">
        <f t="shared" si="171"/>
        <v>202212RMB</v>
      </c>
      <c r="AR525" s="206" t="str">
        <f t="shared" si="172"/>
        <v>YAMAHA_Mounter</v>
      </c>
      <c r="AS525" s="22">
        <f t="shared" si="173"/>
        <v>1</v>
      </c>
      <c r="AT525" s="24" t="str">
        <f t="shared" si="174"/>
        <v>0-3 months</v>
      </c>
      <c r="AU525" s="22" t="s">
        <v>3750</v>
      </c>
    </row>
    <row r="526" spans="1:47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64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59"/>
        <v>29288201.603076916</v>
      </c>
      <c r="AJ526" s="19">
        <f t="shared" si="160"/>
        <v>3870159.1769246152</v>
      </c>
      <c r="AK526" s="20">
        <f t="shared" si="169"/>
        <v>0.13214055370740244</v>
      </c>
      <c r="AL526" s="17"/>
      <c r="AM526" s="17"/>
      <c r="AN526" s="17"/>
      <c r="AO526" s="17"/>
      <c r="AP526" s="28" t="str">
        <f t="shared" si="170"/>
        <v>20184</v>
      </c>
      <c r="AQ526" s="28" t="str">
        <f t="shared" si="171"/>
        <v>20184RMB</v>
      </c>
      <c r="AR526" s="206" t="str">
        <f t="shared" si="172"/>
        <v>YAMAHA_Mounter</v>
      </c>
      <c r="AS526" s="22">
        <f t="shared" si="173"/>
        <v>3</v>
      </c>
      <c r="AT526" s="24" t="str">
        <f t="shared" si="174"/>
        <v>0-3 months</v>
      </c>
      <c r="AU526" s="22" t="s">
        <v>3240</v>
      </c>
    </row>
    <row r="527" spans="1:47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64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59"/>
        <v>57778307.282035396</v>
      </c>
      <c r="AJ527" s="19">
        <f t="shared" si="160"/>
        <v>7259860.7225420559</v>
      </c>
      <c r="AK527" s="20">
        <f t="shared" si="169"/>
        <v>0.12565028406083667</v>
      </c>
      <c r="AL527" s="17"/>
      <c r="AM527" s="17"/>
      <c r="AN527" s="17"/>
      <c r="AO527" s="17"/>
      <c r="AP527" s="28" t="str">
        <f t="shared" si="170"/>
        <v>20213</v>
      </c>
      <c r="AQ527" s="28" t="str">
        <f t="shared" si="171"/>
        <v>20213RMB</v>
      </c>
      <c r="AR527" s="206" t="str">
        <f t="shared" si="172"/>
        <v>YAMAHA_Mounter</v>
      </c>
      <c r="AS527" s="22">
        <f t="shared" si="173"/>
        <v>3</v>
      </c>
      <c r="AT527" s="24" t="str">
        <f t="shared" si="174"/>
        <v>0-3 months</v>
      </c>
      <c r="AU527" s="22" t="s">
        <v>3240</v>
      </c>
    </row>
    <row r="528" spans="1:47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64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59"/>
        <v>37599388.802345134</v>
      </c>
      <c r="AJ528" s="19">
        <f t="shared" si="160"/>
        <v>4866784.3630338367</v>
      </c>
      <c r="AK528" s="20">
        <f t="shared" si="169"/>
        <v>0.12943785838163113</v>
      </c>
      <c r="AL528" s="17"/>
      <c r="AM528" s="17"/>
      <c r="AN528" s="17"/>
      <c r="AO528" s="17"/>
      <c r="AP528" s="28" t="str">
        <f t="shared" si="170"/>
        <v>20199</v>
      </c>
      <c r="AQ528" s="28" t="str">
        <f t="shared" si="171"/>
        <v>20199RMB</v>
      </c>
      <c r="AR528" s="206" t="str">
        <f t="shared" si="172"/>
        <v>YAMAHA_Mounter</v>
      </c>
      <c r="AS528" s="22">
        <f t="shared" si="173"/>
        <v>3</v>
      </c>
      <c r="AT528" s="24" t="str">
        <f t="shared" si="174"/>
        <v>0-3 months</v>
      </c>
      <c r="AU528" s="22" t="s">
        <v>3240</v>
      </c>
    </row>
    <row r="529" spans="1:47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64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59"/>
        <v>37599388.802345134</v>
      </c>
      <c r="AJ529" s="19">
        <f t="shared" si="160"/>
        <v>4866784.3630338367</v>
      </c>
      <c r="AK529" s="20">
        <f t="shared" si="169"/>
        <v>0.12943785838163113</v>
      </c>
      <c r="AL529" s="17"/>
      <c r="AM529" s="17"/>
      <c r="AN529" s="17"/>
      <c r="AO529" s="17"/>
      <c r="AP529" s="28" t="str">
        <f t="shared" si="170"/>
        <v>20199</v>
      </c>
      <c r="AQ529" s="28" t="str">
        <f t="shared" si="171"/>
        <v>20199RMB</v>
      </c>
      <c r="AR529" s="206" t="str">
        <f t="shared" si="172"/>
        <v>LOCAL SUPPLIER</v>
      </c>
      <c r="AS529" s="22">
        <f t="shared" si="173"/>
        <v>3</v>
      </c>
      <c r="AT529" s="24" t="str">
        <f t="shared" si="174"/>
        <v>0-3 months</v>
      </c>
      <c r="AU529" s="22" t="s">
        <v>3240</v>
      </c>
    </row>
    <row r="530" spans="1:47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64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59"/>
        <v>37599388.802345134</v>
      </c>
      <c r="AJ530" s="19">
        <f t="shared" si="160"/>
        <v>4866784.3630338367</v>
      </c>
      <c r="AK530" s="20">
        <f t="shared" si="169"/>
        <v>0.12943785838163113</v>
      </c>
      <c r="AL530" s="17"/>
      <c r="AM530" s="17"/>
      <c r="AN530" s="17"/>
      <c r="AO530" s="17"/>
      <c r="AP530" s="28" t="str">
        <f t="shared" si="170"/>
        <v>20199</v>
      </c>
      <c r="AQ530" s="28" t="str">
        <f t="shared" si="171"/>
        <v>20199RMB</v>
      </c>
      <c r="AR530" s="206" t="str">
        <f t="shared" si="172"/>
        <v>LOCAL SUPPLIER</v>
      </c>
      <c r="AS530" s="22">
        <f t="shared" si="173"/>
        <v>3</v>
      </c>
      <c r="AT530" s="24" t="str">
        <f t="shared" si="174"/>
        <v>0-3 months</v>
      </c>
      <c r="AU530" s="22" t="s">
        <v>3240</v>
      </c>
    </row>
    <row r="531" spans="1:47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64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59"/>
        <v>37599388.802345134</v>
      </c>
      <c r="AJ531" s="19">
        <f t="shared" si="160"/>
        <v>4866784.3630338367</v>
      </c>
      <c r="AK531" s="20">
        <f t="shared" si="169"/>
        <v>0.12943785838163113</v>
      </c>
      <c r="AL531" s="17"/>
      <c r="AM531" s="17"/>
      <c r="AN531" s="17"/>
      <c r="AO531" s="17"/>
      <c r="AP531" s="28" t="str">
        <f t="shared" si="170"/>
        <v>20199</v>
      </c>
      <c r="AQ531" s="28" t="str">
        <f t="shared" si="171"/>
        <v>20199RMB</v>
      </c>
      <c r="AR531" s="206" t="str">
        <f t="shared" si="172"/>
        <v>LOCAL SUPPLIER</v>
      </c>
      <c r="AS531" s="22">
        <f t="shared" si="173"/>
        <v>3</v>
      </c>
      <c r="AT531" s="24" t="str">
        <f t="shared" si="174"/>
        <v>0-3 months</v>
      </c>
      <c r="AU531" s="22" t="s">
        <v>3240</v>
      </c>
    </row>
    <row r="532" spans="1:47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64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59"/>
        <v>37599388.802345134</v>
      </c>
      <c r="AJ532" s="19">
        <f t="shared" si="160"/>
        <v>4866784.3630338367</v>
      </c>
      <c r="AK532" s="20">
        <f t="shared" si="169"/>
        <v>0.12943785838163113</v>
      </c>
      <c r="AL532" s="17"/>
      <c r="AM532" s="17"/>
      <c r="AN532" s="17"/>
      <c r="AO532" s="17"/>
      <c r="AP532" s="28" t="str">
        <f t="shared" si="170"/>
        <v>20199</v>
      </c>
      <c r="AQ532" s="28" t="str">
        <f t="shared" si="171"/>
        <v>20199RMB</v>
      </c>
      <c r="AR532" s="206" t="str">
        <f t="shared" si="172"/>
        <v>YAMAHA_Non_Mounter</v>
      </c>
      <c r="AS532" s="22">
        <f t="shared" si="173"/>
        <v>3</v>
      </c>
      <c r="AT532" s="24" t="str">
        <f t="shared" si="174"/>
        <v>0-3 months</v>
      </c>
      <c r="AU532" s="22" t="s">
        <v>3240</v>
      </c>
    </row>
    <row r="533" spans="1:47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64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59"/>
        <v>37599388.802345134</v>
      </c>
      <c r="AJ533" s="19">
        <f t="shared" si="160"/>
        <v>4866784.3630338367</v>
      </c>
      <c r="AK533" s="20">
        <f t="shared" si="169"/>
        <v>0.12943785838163113</v>
      </c>
      <c r="AL533" s="17"/>
      <c r="AM533" s="17"/>
      <c r="AN533" s="17"/>
      <c r="AO533" s="17"/>
      <c r="AP533" s="28" t="str">
        <f t="shared" si="170"/>
        <v>20199</v>
      </c>
      <c r="AQ533" s="28" t="str">
        <f t="shared" si="171"/>
        <v>20199RMB</v>
      </c>
      <c r="AR533" s="206" t="str">
        <f t="shared" si="172"/>
        <v>HELLER</v>
      </c>
      <c r="AS533" s="22">
        <f t="shared" si="173"/>
        <v>3</v>
      </c>
      <c r="AT533" s="24" t="str">
        <f t="shared" si="174"/>
        <v>0-3 months</v>
      </c>
      <c r="AU533" s="22" t="s">
        <v>3240</v>
      </c>
    </row>
    <row r="534" spans="1:47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64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59"/>
        <v>37599388.802345134</v>
      </c>
      <c r="AJ534" s="19">
        <f t="shared" si="160"/>
        <v>4866784.3630338367</v>
      </c>
      <c r="AK534" s="20">
        <f t="shared" si="169"/>
        <v>0.12943785838163113</v>
      </c>
      <c r="AL534" s="17"/>
      <c r="AM534" s="17"/>
      <c r="AN534" s="17"/>
      <c r="AO534" s="17"/>
      <c r="AP534" s="28" t="str">
        <f t="shared" si="170"/>
        <v>20199</v>
      </c>
      <c r="AQ534" s="28" t="str">
        <f t="shared" si="171"/>
        <v>20199RMB</v>
      </c>
      <c r="AR534" s="206" t="str">
        <f t="shared" si="172"/>
        <v>YAMAHA_Non_Mounter</v>
      </c>
      <c r="AS534" s="22">
        <f t="shared" si="173"/>
        <v>3</v>
      </c>
      <c r="AT534" s="24" t="str">
        <f t="shared" si="174"/>
        <v>0-3 months</v>
      </c>
      <c r="AU534" s="22" t="s">
        <v>3240</v>
      </c>
    </row>
    <row r="535" spans="1:47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64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59"/>
        <v>30573205.452778768</v>
      </c>
      <c r="AJ535" s="19">
        <f t="shared" si="160"/>
        <v>3790930.1683151261</v>
      </c>
      <c r="AK535" s="20">
        <f t="shared" si="169"/>
        <v>0.12399518179964254</v>
      </c>
      <c r="AL535" s="17"/>
      <c r="AM535" s="17"/>
      <c r="AN535" s="17"/>
      <c r="AO535" s="17"/>
      <c r="AP535" s="28" t="str">
        <f t="shared" si="170"/>
        <v>20234</v>
      </c>
      <c r="AQ535" s="28" t="str">
        <f t="shared" si="171"/>
        <v>20234RMB</v>
      </c>
      <c r="AR535" s="206" t="str">
        <f t="shared" si="172"/>
        <v>YAMAHA_Mounter</v>
      </c>
      <c r="AS535" s="22">
        <f t="shared" si="173"/>
        <v>2</v>
      </c>
      <c r="AT535" s="24" t="str">
        <f t="shared" si="174"/>
        <v>0-3 months</v>
      </c>
      <c r="AU535" s="22" t="s">
        <v>3750</v>
      </c>
    </row>
    <row r="536" spans="1:47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64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59"/>
        <v>30573205.452778768</v>
      </c>
      <c r="AJ536" s="19">
        <f t="shared" si="160"/>
        <v>3790930.1683151261</v>
      </c>
      <c r="AK536" s="20">
        <f t="shared" si="169"/>
        <v>0.12399518179964254</v>
      </c>
      <c r="AL536" s="17"/>
      <c r="AM536" s="17"/>
      <c r="AN536" s="17"/>
      <c r="AO536" s="17"/>
      <c r="AP536" s="28" t="str">
        <f t="shared" si="170"/>
        <v>20234</v>
      </c>
      <c r="AQ536" s="28" t="str">
        <f t="shared" si="171"/>
        <v>20234RMB</v>
      </c>
      <c r="AR536" s="206" t="str">
        <f t="shared" si="172"/>
        <v>YAMAHA_Mounter</v>
      </c>
      <c r="AS536" s="22">
        <f t="shared" si="173"/>
        <v>2</v>
      </c>
      <c r="AT536" s="24" t="str">
        <f t="shared" si="174"/>
        <v>0-3 months</v>
      </c>
      <c r="AU536" s="22" t="s">
        <v>3750</v>
      </c>
    </row>
    <row r="537" spans="1:47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64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59"/>
        <v>21386017.707964607</v>
      </c>
      <c r="AJ537" s="19">
        <f t="shared" si="160"/>
        <v>2238764.3265707968</v>
      </c>
      <c r="AK537" s="20">
        <f t="shared" si="169"/>
        <v>0.10468355339185161</v>
      </c>
      <c r="AL537" s="17"/>
      <c r="AM537" s="17"/>
      <c r="AN537" s="17"/>
      <c r="AO537" s="17"/>
      <c r="AP537" s="28" t="str">
        <f t="shared" si="170"/>
        <v>20198</v>
      </c>
      <c r="AQ537" s="28" t="str">
        <f t="shared" si="171"/>
        <v>20198RMB</v>
      </c>
      <c r="AR537" s="206" t="str">
        <f t="shared" si="172"/>
        <v>YAMAHA_Mounter</v>
      </c>
      <c r="AS537" s="22">
        <f t="shared" si="173"/>
        <v>2</v>
      </c>
      <c r="AT537" s="24" t="str">
        <f t="shared" si="174"/>
        <v>0-3 months</v>
      </c>
      <c r="AU537" s="22" t="s">
        <v>3240</v>
      </c>
    </row>
    <row r="538" spans="1:47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64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59"/>
        <v>21386017.707964607</v>
      </c>
      <c r="AJ538" s="19">
        <f t="shared" si="160"/>
        <v>2238764.3265707968</v>
      </c>
      <c r="AK538" s="20">
        <f t="shared" si="169"/>
        <v>0.10468355339185161</v>
      </c>
      <c r="AL538" s="17"/>
      <c r="AM538" s="17"/>
      <c r="AN538" s="17"/>
      <c r="AO538" s="17"/>
      <c r="AP538" s="28" t="str">
        <f t="shared" si="170"/>
        <v>20198</v>
      </c>
      <c r="AQ538" s="28" t="str">
        <f t="shared" si="171"/>
        <v>20198RMB</v>
      </c>
      <c r="AR538" s="206" t="str">
        <f t="shared" si="172"/>
        <v>YAMAHA_Mounter</v>
      </c>
      <c r="AS538" s="22">
        <f t="shared" si="173"/>
        <v>2</v>
      </c>
      <c r="AT538" s="24" t="str">
        <f t="shared" si="174"/>
        <v>0-3 months</v>
      </c>
      <c r="AU538" s="22" t="s">
        <v>3240</v>
      </c>
    </row>
    <row r="539" spans="1:47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64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59"/>
        <v>21386017.707964607</v>
      </c>
      <c r="AJ539" s="19">
        <f t="shared" si="160"/>
        <v>2238764.3265707968</v>
      </c>
      <c r="AK539" s="20">
        <f t="shared" si="169"/>
        <v>0.10468355339185161</v>
      </c>
      <c r="AL539" s="17"/>
      <c r="AM539" s="17"/>
      <c r="AN539" s="17"/>
      <c r="AO539" s="17"/>
      <c r="AP539" s="28" t="str">
        <f t="shared" si="170"/>
        <v>20198</v>
      </c>
      <c r="AQ539" s="28" t="str">
        <f t="shared" si="171"/>
        <v>20198RMB</v>
      </c>
      <c r="AR539" s="206" t="str">
        <f t="shared" si="172"/>
        <v>YAMAHA_Mounter</v>
      </c>
      <c r="AS539" s="22">
        <f t="shared" si="173"/>
        <v>2</v>
      </c>
      <c r="AT539" s="24" t="str">
        <f t="shared" si="174"/>
        <v>0-3 months</v>
      </c>
      <c r="AU539" s="22" t="s">
        <v>3240</v>
      </c>
    </row>
    <row r="540" spans="1:47" s="12" customFormat="1">
      <c r="A540" s="33" t="str">
        <f t="shared" si="161"/>
        <v/>
      </c>
      <c r="B540" s="152" t="s">
        <v>2584</v>
      </c>
      <c r="C540" s="152" t="s">
        <v>2584</v>
      </c>
      <c r="D540" s="33" t="b">
        <f t="shared" si="162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63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64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59"/>
        <v>19242877.433628317</v>
      </c>
      <c r="AJ540" s="19">
        <f t="shared" si="160"/>
        <v>2240020.1770353983</v>
      </c>
      <c r="AK540" s="20">
        <f t="shared" si="169"/>
        <v>0.11640775579232249</v>
      </c>
      <c r="AL540" s="17"/>
      <c r="AM540" s="17"/>
      <c r="AN540" s="17"/>
      <c r="AO540" s="17"/>
      <c r="AP540" s="28" t="str">
        <f t="shared" si="170"/>
        <v>TBATBA</v>
      </c>
      <c r="AQ540" s="28" t="str">
        <f t="shared" si="171"/>
        <v>TBATBARMB</v>
      </c>
      <c r="AR540" s="206" t="str">
        <f t="shared" si="172"/>
        <v>YAMAHA_Mounter</v>
      </c>
      <c r="AS540" s="22" t="str">
        <f t="shared" si="173"/>
        <v/>
      </c>
      <c r="AT540" s="24" t="str">
        <f t="shared" si="174"/>
        <v/>
      </c>
      <c r="AU540" s="22" t="s">
        <v>3240</v>
      </c>
    </row>
    <row r="541" spans="1:47" s="12" customFormat="1">
      <c r="A541" s="33" t="str">
        <f t="shared" si="161"/>
        <v/>
      </c>
      <c r="B541" s="152" t="s">
        <v>2584</v>
      </c>
      <c r="C541" s="152" t="s">
        <v>2584</v>
      </c>
      <c r="D541" s="33" t="b">
        <f t="shared" si="162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63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64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59"/>
        <v>19242877.433628317</v>
      </c>
      <c r="AJ541" s="19">
        <f t="shared" si="160"/>
        <v>2240020.1770353983</v>
      </c>
      <c r="AK541" s="20">
        <f t="shared" si="169"/>
        <v>0.11640775579232249</v>
      </c>
      <c r="AL541" s="17"/>
      <c r="AM541" s="17"/>
      <c r="AN541" s="17"/>
      <c r="AO541" s="17"/>
      <c r="AP541" s="28" t="str">
        <f t="shared" si="170"/>
        <v>TBATBA</v>
      </c>
      <c r="AQ541" s="28" t="str">
        <f t="shared" si="171"/>
        <v>TBATBARMB</v>
      </c>
      <c r="AR541" s="206" t="str">
        <f t="shared" si="172"/>
        <v>YAMAHA_Mounter</v>
      </c>
      <c r="AS541" s="22" t="str">
        <f t="shared" si="173"/>
        <v/>
      </c>
      <c r="AT541" s="24" t="str">
        <f t="shared" si="174"/>
        <v/>
      </c>
      <c r="AU541" s="22" t="s">
        <v>3240</v>
      </c>
    </row>
    <row r="542" spans="1:47" s="12" customFormat="1">
      <c r="A542" s="33" t="str">
        <f t="shared" si="161"/>
        <v/>
      </c>
      <c r="B542" s="152" t="s">
        <v>2584</v>
      </c>
      <c r="C542" s="152" t="s">
        <v>2584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63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64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59"/>
        <v>19242877.433628317</v>
      </c>
      <c r="AJ542" s="19">
        <f t="shared" si="160"/>
        <v>2240020.1770353983</v>
      </c>
      <c r="AK542" s="20">
        <f t="shared" si="169"/>
        <v>0.11640775579232249</v>
      </c>
      <c r="AL542" s="17"/>
      <c r="AM542" s="17"/>
      <c r="AN542" s="17"/>
      <c r="AO542" s="17"/>
      <c r="AP542" s="28" t="str">
        <f t="shared" si="170"/>
        <v>TBATBA</v>
      </c>
      <c r="AQ542" s="28" t="str">
        <f t="shared" si="171"/>
        <v>TBATBARMB</v>
      </c>
      <c r="AR542" s="206" t="str">
        <f t="shared" si="172"/>
        <v>YAMAHA_Mounter</v>
      </c>
      <c r="AS542" s="22" t="str">
        <f t="shared" si="173"/>
        <v/>
      </c>
      <c r="AT542" s="24" t="str">
        <f t="shared" si="174"/>
        <v/>
      </c>
      <c r="AU542" s="22" t="s">
        <v>3240</v>
      </c>
    </row>
    <row r="543" spans="1:47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64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59"/>
        <v>31017966.201968137</v>
      </c>
      <c r="AJ543" s="19">
        <f t="shared" si="160"/>
        <v>4704250.3347305888</v>
      </c>
      <c r="AK543" s="20">
        <f t="shared" si="169"/>
        <v>0.15166211427595458</v>
      </c>
      <c r="AL543" s="17"/>
      <c r="AM543" s="17"/>
      <c r="AN543" s="17"/>
      <c r="AO543" s="17"/>
      <c r="AP543" s="28" t="str">
        <f t="shared" si="170"/>
        <v>202211</v>
      </c>
      <c r="AQ543" s="28" t="str">
        <f t="shared" si="171"/>
        <v>202211RMB</v>
      </c>
      <c r="AR543" s="206" t="str">
        <f t="shared" si="172"/>
        <v>HELLER</v>
      </c>
      <c r="AS543" s="22">
        <f t="shared" si="173"/>
        <v>1</v>
      </c>
      <c r="AT543" s="24" t="str">
        <f t="shared" si="174"/>
        <v>0-3 months</v>
      </c>
      <c r="AU543" s="22" t="s">
        <v>3240</v>
      </c>
    </row>
    <row r="544" spans="1:47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64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75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59"/>
        <v>63006605.696460173</v>
      </c>
      <c r="AJ544" s="19">
        <f t="shared" si="160"/>
        <v>8897485.660753984</v>
      </c>
      <c r="AK544" s="20">
        <f t="shared" si="169"/>
        <v>0.141215124388995</v>
      </c>
      <c r="AL544" s="17"/>
      <c r="AM544" s="17"/>
      <c r="AN544" s="17"/>
      <c r="AO544" s="17"/>
      <c r="AP544" s="28" t="str">
        <f t="shared" si="170"/>
        <v>20215</v>
      </c>
      <c r="AQ544" s="28" t="str">
        <f t="shared" si="171"/>
        <v>20215RMB</v>
      </c>
      <c r="AR544" s="206" t="str">
        <f t="shared" si="172"/>
        <v>YAMAHA_Mounter</v>
      </c>
      <c r="AS544" s="22">
        <f t="shared" si="173"/>
        <v>2</v>
      </c>
      <c r="AT544" s="24" t="str">
        <f t="shared" si="174"/>
        <v>0-3 months</v>
      </c>
      <c r="AU544" s="22" t="s">
        <v>3240</v>
      </c>
    </row>
    <row r="545" spans="1:47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64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75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59"/>
        <v>44014086.982070789</v>
      </c>
      <c r="AJ545" s="19">
        <f t="shared" si="160"/>
        <v>6419974.0221889298</v>
      </c>
      <c r="AK545" s="20">
        <f t="shared" si="169"/>
        <v>0.14586180158193709</v>
      </c>
      <c r="AL545" s="17"/>
      <c r="AM545" s="17"/>
      <c r="AN545" s="17"/>
      <c r="AO545" s="17"/>
      <c r="AP545" s="28" t="str">
        <f t="shared" si="170"/>
        <v>20225</v>
      </c>
      <c r="AQ545" s="28" t="str">
        <f t="shared" si="171"/>
        <v>20225RMB</v>
      </c>
      <c r="AR545" s="206" t="str">
        <f t="shared" si="172"/>
        <v>YAMAHA_Mounter</v>
      </c>
      <c r="AS545" s="22">
        <f t="shared" si="173"/>
        <v>5</v>
      </c>
      <c r="AT545" s="24" t="str">
        <f t="shared" si="174"/>
        <v>4-6 months</v>
      </c>
      <c r="AU545" s="22" t="s">
        <v>3240</v>
      </c>
    </row>
    <row r="546" spans="1:47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64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75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59"/>
        <v>48763143.537654862</v>
      </c>
      <c r="AJ546" s="19">
        <f t="shared" si="160"/>
        <v>5924029.9702154724</v>
      </c>
      <c r="AK546" s="20">
        <f t="shared" si="169"/>
        <v>0.1214858095774925</v>
      </c>
      <c r="AL546" s="17"/>
      <c r="AM546" s="17"/>
      <c r="AN546" s="17"/>
      <c r="AO546" s="17"/>
      <c r="AP546" s="28" t="str">
        <f t="shared" si="170"/>
        <v>202012</v>
      </c>
      <c r="AQ546" s="28" t="str">
        <f t="shared" si="171"/>
        <v>202012RMB</v>
      </c>
      <c r="AR546" s="206" t="str">
        <f t="shared" si="172"/>
        <v>YAMAHA_Mounter</v>
      </c>
      <c r="AS546" s="22">
        <f t="shared" si="173"/>
        <v>2</v>
      </c>
      <c r="AT546" s="24" t="str">
        <f t="shared" si="174"/>
        <v>0-3 months</v>
      </c>
      <c r="AU546" s="22" t="s">
        <v>3240</v>
      </c>
    </row>
    <row r="547" spans="1:47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64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75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59"/>
        <v>48763143.537654862</v>
      </c>
      <c r="AJ547" s="19">
        <f t="shared" si="160"/>
        <v>5924029.9702154724</v>
      </c>
      <c r="AK547" s="20">
        <f t="shared" si="169"/>
        <v>0.1214858095774925</v>
      </c>
      <c r="AL547" s="17"/>
      <c r="AM547" s="17"/>
      <c r="AN547" s="17"/>
      <c r="AO547" s="17"/>
      <c r="AP547" s="28" t="str">
        <f t="shared" si="170"/>
        <v>202012</v>
      </c>
      <c r="AQ547" s="28" t="str">
        <f t="shared" si="171"/>
        <v>202012RMB</v>
      </c>
      <c r="AR547" s="206" t="str">
        <f t="shared" si="172"/>
        <v>YAMAHA_Mounter</v>
      </c>
      <c r="AS547" s="22">
        <f t="shared" si="173"/>
        <v>2</v>
      </c>
      <c r="AT547" s="24" t="str">
        <f t="shared" si="174"/>
        <v>0-3 months</v>
      </c>
      <c r="AU547" s="22" t="s">
        <v>3240</v>
      </c>
    </row>
    <row r="548" spans="1:47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64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75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59"/>
        <v>48763143.537654862</v>
      </c>
      <c r="AJ548" s="19">
        <f t="shared" si="160"/>
        <v>5924029.9702154724</v>
      </c>
      <c r="AK548" s="20">
        <f t="shared" si="169"/>
        <v>0.1214858095774925</v>
      </c>
      <c r="AL548" s="17"/>
      <c r="AM548" s="17"/>
      <c r="AN548" s="17"/>
      <c r="AO548" s="17"/>
      <c r="AP548" s="28" t="str">
        <f t="shared" si="170"/>
        <v>202012</v>
      </c>
      <c r="AQ548" s="28" t="str">
        <f t="shared" si="171"/>
        <v>202012RMB</v>
      </c>
      <c r="AR548" s="206" t="str">
        <f t="shared" si="172"/>
        <v>YAMAHA_Mounter</v>
      </c>
      <c r="AS548" s="22">
        <f t="shared" si="173"/>
        <v>2</v>
      </c>
      <c r="AT548" s="24" t="str">
        <f t="shared" si="174"/>
        <v>0-3 months</v>
      </c>
      <c r="AU548" s="22" t="s">
        <v>3240</v>
      </c>
    </row>
    <row r="549" spans="1:47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63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64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75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59"/>
        <v>499582152.5142017</v>
      </c>
      <c r="AJ549" s="19">
        <f t="shared" si="160"/>
        <v>59520528.679470733</v>
      </c>
      <c r="AK549" s="20">
        <f t="shared" si="169"/>
        <v>0.11914062257814291</v>
      </c>
      <c r="AL549" s="17"/>
      <c r="AM549" s="17"/>
      <c r="AN549" s="17"/>
      <c r="AO549" s="17"/>
      <c r="AP549" s="28" t="str">
        <f t="shared" si="170"/>
        <v>CancelCANCEL</v>
      </c>
      <c r="AQ549" s="28" t="str">
        <f t="shared" si="171"/>
        <v>CancelCANCELRMB</v>
      </c>
      <c r="AR549" s="206" t="str">
        <f t="shared" si="172"/>
        <v>YAMAHA_Mounter</v>
      </c>
      <c r="AS549" s="22" t="str">
        <f t="shared" si="173"/>
        <v/>
      </c>
      <c r="AT549" s="24" t="str">
        <f t="shared" si="174"/>
        <v/>
      </c>
      <c r="AU549" s="22" t="s">
        <v>3240</v>
      </c>
    </row>
    <row r="550" spans="1:47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63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64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75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59"/>
        <v>499582152.5142017</v>
      </c>
      <c r="AJ550" s="19">
        <f t="shared" si="160"/>
        <v>59520528.679470733</v>
      </c>
      <c r="AK550" s="20">
        <f t="shared" si="169"/>
        <v>0.11914062257814291</v>
      </c>
      <c r="AL550" s="17"/>
      <c r="AM550" s="17"/>
      <c r="AN550" s="17"/>
      <c r="AO550" s="17"/>
      <c r="AP550" s="28" t="str">
        <f t="shared" si="170"/>
        <v>CancelCANCEL</v>
      </c>
      <c r="AQ550" s="28" t="str">
        <f t="shared" si="171"/>
        <v>CancelCANCELRMB</v>
      </c>
      <c r="AR550" s="206" t="str">
        <f t="shared" si="172"/>
        <v>YAMAHA_Mounter</v>
      </c>
      <c r="AS550" s="22" t="str">
        <f t="shared" si="173"/>
        <v/>
      </c>
      <c r="AT550" s="24" t="str">
        <f t="shared" si="174"/>
        <v/>
      </c>
      <c r="AU550" s="22" t="s">
        <v>3240</v>
      </c>
    </row>
    <row r="551" spans="1:47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64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75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59"/>
        <v>26078226.463097349</v>
      </c>
      <c r="AJ551" s="19">
        <f t="shared" si="160"/>
        <v>3137870.4427774516</v>
      </c>
      <c r="AK551" s="20">
        <f t="shared" si="169"/>
        <v>0.12032530077218917</v>
      </c>
      <c r="AL551" s="17"/>
      <c r="AM551" s="17"/>
      <c r="AN551" s="17"/>
      <c r="AO551" s="17"/>
      <c r="AP551" s="28" t="str">
        <f t="shared" si="170"/>
        <v>20239</v>
      </c>
      <c r="AQ551" s="28" t="str">
        <f t="shared" si="171"/>
        <v>20239RMB</v>
      </c>
      <c r="AR551" s="206" t="str">
        <f t="shared" si="172"/>
        <v>YAMAHA_Mounter</v>
      </c>
      <c r="AS551" s="22">
        <f t="shared" si="173"/>
        <v>1</v>
      </c>
      <c r="AT551" s="24" t="str">
        <f t="shared" si="174"/>
        <v>0-3 months</v>
      </c>
      <c r="AU551" s="22" t="s">
        <v>3240</v>
      </c>
    </row>
    <row r="552" spans="1:47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64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75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59"/>
        <v>35682787.057522126</v>
      </c>
      <c r="AJ552" s="19">
        <f t="shared" si="160"/>
        <v>5833368.3789623892</v>
      </c>
      <c r="AK552" s="20">
        <f t="shared" si="169"/>
        <v>0.16347849649632912</v>
      </c>
      <c r="AL552" s="17"/>
      <c r="AM552" s="17"/>
      <c r="AN552" s="17"/>
      <c r="AO552" s="17"/>
      <c r="AP552" s="28" t="str">
        <f t="shared" si="170"/>
        <v>20226</v>
      </c>
      <c r="AQ552" s="28" t="str">
        <f t="shared" si="171"/>
        <v>20226RMB</v>
      </c>
      <c r="AR552" s="206" t="str">
        <f t="shared" si="172"/>
        <v>YAMAHA_Mounter</v>
      </c>
      <c r="AS552" s="22">
        <f t="shared" si="173"/>
        <v>0</v>
      </c>
      <c r="AT552" s="24" t="str">
        <f t="shared" si="174"/>
        <v>0-3 months</v>
      </c>
      <c r="AU552" s="22" t="s">
        <v>3240</v>
      </c>
    </row>
    <row r="553" spans="1:47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64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59"/>
        <v>28647263.974455759</v>
      </c>
      <c r="AJ553" s="19">
        <f t="shared" si="160"/>
        <v>3219855.6912513468</v>
      </c>
      <c r="AK553" s="20">
        <f t="shared" si="169"/>
        <v>0.11239662168514358</v>
      </c>
      <c r="AL553" s="17"/>
      <c r="AM553" s="17"/>
      <c r="AN553" s="17"/>
      <c r="AO553" s="17"/>
      <c r="AP553" s="28" t="str">
        <f t="shared" si="170"/>
        <v>201910</v>
      </c>
      <c r="AQ553" s="28" t="str">
        <f t="shared" si="171"/>
        <v>201910RMB</v>
      </c>
      <c r="AR553" s="206" t="str">
        <f t="shared" si="172"/>
        <v>YAMAHA_Mounter</v>
      </c>
      <c r="AS553" s="22">
        <f t="shared" si="173"/>
        <v>0</v>
      </c>
      <c r="AT553" s="24" t="str">
        <f t="shared" si="174"/>
        <v>0-3 months</v>
      </c>
      <c r="AU553" s="22" t="s">
        <v>3240</v>
      </c>
    </row>
    <row r="554" spans="1:47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64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59"/>
        <v>28647263.974455759</v>
      </c>
      <c r="AJ554" s="19">
        <f t="shared" si="160"/>
        <v>3219855.6912513468</v>
      </c>
      <c r="AK554" s="20">
        <f t="shared" si="169"/>
        <v>0.11239662168514358</v>
      </c>
      <c r="AL554" s="17"/>
      <c r="AM554" s="17"/>
      <c r="AN554" s="17"/>
      <c r="AO554" s="17"/>
      <c r="AP554" s="28" t="str">
        <f t="shared" si="170"/>
        <v>201910</v>
      </c>
      <c r="AQ554" s="28" t="str">
        <f t="shared" si="171"/>
        <v>201910RMB</v>
      </c>
      <c r="AR554" s="206" t="str">
        <f t="shared" si="172"/>
        <v>YAMAHA_Mounter</v>
      </c>
      <c r="AS554" s="22">
        <f t="shared" si="173"/>
        <v>0</v>
      </c>
      <c r="AT554" s="24" t="str">
        <f t="shared" si="174"/>
        <v>0-3 months</v>
      </c>
      <c r="AU554" s="22" t="s">
        <v>3240</v>
      </c>
    </row>
    <row r="555" spans="1:47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64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59"/>
        <v>32843736.557277881</v>
      </c>
      <c r="AJ555" s="19">
        <f t="shared" si="160"/>
        <v>3921470.6822663117</v>
      </c>
      <c r="AK555" s="20">
        <f t="shared" si="169"/>
        <v>0.11939782416131177</v>
      </c>
      <c r="AL555" s="17"/>
      <c r="AM555" s="17"/>
      <c r="AN555" s="17"/>
      <c r="AO555" s="17"/>
      <c r="AP555" s="28" t="str">
        <f t="shared" si="170"/>
        <v>20194</v>
      </c>
      <c r="AQ555" s="28" t="str">
        <f t="shared" si="171"/>
        <v>20194RMB</v>
      </c>
      <c r="AR555" s="206" t="str">
        <f t="shared" si="172"/>
        <v>YAMAHA_Mounter</v>
      </c>
      <c r="AS555" s="22">
        <f t="shared" si="173"/>
        <v>1</v>
      </c>
      <c r="AT555" s="24" t="str">
        <f t="shared" si="174"/>
        <v>0-3 months</v>
      </c>
      <c r="AU555" s="22" t="s">
        <v>3240</v>
      </c>
    </row>
    <row r="556" spans="1:47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64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59"/>
        <v>32843736.557277881</v>
      </c>
      <c r="AJ556" s="19">
        <f t="shared" si="160"/>
        <v>3921470.6822663117</v>
      </c>
      <c r="AK556" s="20">
        <f t="shared" si="169"/>
        <v>0.11939782416131177</v>
      </c>
      <c r="AL556" s="17"/>
      <c r="AM556" s="17"/>
      <c r="AN556" s="17"/>
      <c r="AO556" s="17"/>
      <c r="AP556" s="28" t="str">
        <f t="shared" si="170"/>
        <v>20194</v>
      </c>
      <c r="AQ556" s="28" t="str">
        <f t="shared" si="171"/>
        <v>20194RMB</v>
      </c>
      <c r="AR556" s="206" t="str">
        <f t="shared" si="172"/>
        <v>YAMAHA_Mounter</v>
      </c>
      <c r="AS556" s="22">
        <f t="shared" si="173"/>
        <v>1</v>
      </c>
      <c r="AT556" s="24" t="str">
        <f t="shared" si="174"/>
        <v>0-3 months</v>
      </c>
      <c r="AU556" s="22" t="s">
        <v>3240</v>
      </c>
    </row>
    <row r="557" spans="1:47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64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59"/>
        <v>32843736.557277881</v>
      </c>
      <c r="AJ557" s="19">
        <f t="shared" si="160"/>
        <v>3921470.6822663117</v>
      </c>
      <c r="AK557" s="20">
        <f t="shared" si="169"/>
        <v>0.11939782416131177</v>
      </c>
      <c r="AL557" s="17"/>
      <c r="AM557" s="17"/>
      <c r="AN557" s="17"/>
      <c r="AO557" s="17"/>
      <c r="AP557" s="28" t="str">
        <f t="shared" si="170"/>
        <v>20194</v>
      </c>
      <c r="AQ557" s="28" t="str">
        <f t="shared" si="171"/>
        <v>20194RMB</v>
      </c>
      <c r="AR557" s="206" t="str">
        <f t="shared" si="172"/>
        <v>HELLER</v>
      </c>
      <c r="AS557" s="22">
        <f t="shared" si="173"/>
        <v>1</v>
      </c>
      <c r="AT557" s="24" t="str">
        <f t="shared" si="174"/>
        <v>0-3 months</v>
      </c>
      <c r="AU557" s="22" t="s">
        <v>3240</v>
      </c>
    </row>
    <row r="558" spans="1:47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64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76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59"/>
        <v>30573205.452778768</v>
      </c>
      <c r="AJ558" s="19">
        <f t="shared" si="160"/>
        <v>3790930.1683151261</v>
      </c>
      <c r="AK558" s="20">
        <f t="shared" si="169"/>
        <v>0.12399518179964254</v>
      </c>
      <c r="AL558" s="17"/>
      <c r="AM558" s="17"/>
      <c r="AN558" s="17"/>
      <c r="AO558" s="17"/>
      <c r="AP558" s="28" t="str">
        <f t="shared" si="170"/>
        <v>20234</v>
      </c>
      <c r="AQ558" s="28" t="str">
        <f t="shared" si="171"/>
        <v>20234RMB</v>
      </c>
      <c r="AR558" s="206" t="str">
        <f t="shared" si="172"/>
        <v>YAMAHA_Mounter</v>
      </c>
      <c r="AS558" s="22">
        <f t="shared" si="173"/>
        <v>3</v>
      </c>
      <c r="AT558" s="24" t="str">
        <f t="shared" si="174"/>
        <v>0-3 months</v>
      </c>
      <c r="AU558" s="22" t="s">
        <v>3240</v>
      </c>
    </row>
    <row r="559" spans="1:47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64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76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59"/>
        <v>13640480.497522123</v>
      </c>
      <c r="AJ559" s="19">
        <f t="shared" si="160"/>
        <v>1928605.8020906283</v>
      </c>
      <c r="AK559" s="20">
        <f t="shared" si="169"/>
        <v>0.1413884065477731</v>
      </c>
      <c r="AL559" s="17"/>
      <c r="AM559" s="17"/>
      <c r="AN559" s="17"/>
      <c r="AO559" s="17"/>
      <c r="AP559" s="28" t="str">
        <f t="shared" si="170"/>
        <v>20236</v>
      </c>
      <c r="AQ559" s="28" t="str">
        <f t="shared" si="171"/>
        <v>20236RMB</v>
      </c>
      <c r="AR559" s="206" t="str">
        <f t="shared" si="172"/>
        <v>YAMAHA_Mounter</v>
      </c>
      <c r="AS559" s="22">
        <f t="shared" si="173"/>
        <v>5</v>
      </c>
      <c r="AT559" s="24" t="str">
        <f t="shared" si="174"/>
        <v>4-6 months</v>
      </c>
      <c r="AU559" s="22" t="s">
        <v>3240</v>
      </c>
    </row>
    <row r="560" spans="1:47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64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76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59"/>
        <v>25380121.402654871</v>
      </c>
      <c r="AJ560" s="19">
        <f t="shared" si="160"/>
        <v>3850343.1237796471</v>
      </c>
      <c r="AK560" s="20">
        <f t="shared" si="169"/>
        <v>0.1517070412191521</v>
      </c>
      <c r="AL560" s="17"/>
      <c r="AM560" s="17"/>
      <c r="AN560" s="17"/>
      <c r="AO560" s="17"/>
      <c r="AP560" s="28" t="str">
        <f t="shared" si="170"/>
        <v>202112</v>
      </c>
      <c r="AQ560" s="28" t="str">
        <f t="shared" si="171"/>
        <v>202112RMB</v>
      </c>
      <c r="AR560" s="206" t="str">
        <f t="shared" si="172"/>
        <v>YAMAHA_Mounter</v>
      </c>
      <c r="AS560" s="22">
        <f t="shared" si="173"/>
        <v>6</v>
      </c>
      <c r="AT560" s="24" t="str">
        <f t="shared" si="174"/>
        <v>4-6 months</v>
      </c>
      <c r="AU560" s="22" t="s">
        <v>3240</v>
      </c>
    </row>
    <row r="561" spans="1:47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64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76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59"/>
        <v>25380121.402654871</v>
      </c>
      <c r="AJ561" s="19">
        <f t="shared" si="160"/>
        <v>3850343.1237796471</v>
      </c>
      <c r="AK561" s="20">
        <f t="shared" si="169"/>
        <v>0.1517070412191521</v>
      </c>
      <c r="AL561" s="17"/>
      <c r="AM561" s="17"/>
      <c r="AN561" s="17"/>
      <c r="AO561" s="17"/>
      <c r="AP561" s="28" t="str">
        <f t="shared" si="170"/>
        <v>202112</v>
      </c>
      <c r="AQ561" s="28" t="str">
        <f t="shared" si="171"/>
        <v>202112RMB</v>
      </c>
      <c r="AR561" s="206" t="str">
        <f t="shared" si="172"/>
        <v>YAMAHA_Mounter</v>
      </c>
      <c r="AS561" s="22">
        <f t="shared" si="173"/>
        <v>6</v>
      </c>
      <c r="AT561" s="24" t="str">
        <f t="shared" si="174"/>
        <v>4-6 months</v>
      </c>
      <c r="AU561" s="22" t="s">
        <v>3240</v>
      </c>
    </row>
    <row r="562" spans="1:47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64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76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59"/>
        <v>35682787.057522126</v>
      </c>
      <c r="AJ562" s="19">
        <f t="shared" si="160"/>
        <v>5833368.3789623892</v>
      </c>
      <c r="AK562" s="20">
        <f t="shared" si="169"/>
        <v>0.16347849649632912</v>
      </c>
      <c r="AL562" s="17"/>
      <c r="AM562" s="17"/>
      <c r="AN562" s="17"/>
      <c r="AO562" s="17"/>
      <c r="AP562" s="28" t="str">
        <f t="shared" si="170"/>
        <v>20226</v>
      </c>
      <c r="AQ562" s="28" t="str">
        <f t="shared" si="171"/>
        <v>20226RMB</v>
      </c>
      <c r="AR562" s="206" t="str">
        <f t="shared" si="172"/>
        <v>YAMAHA_Mounter</v>
      </c>
      <c r="AS562" s="22">
        <f t="shared" si="173"/>
        <v>12</v>
      </c>
      <c r="AT562" s="24" t="str">
        <f t="shared" si="174"/>
        <v>&gt; 6 months</v>
      </c>
      <c r="AU562" s="22" t="s">
        <v>3240</v>
      </c>
    </row>
    <row r="563" spans="1:47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64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76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59"/>
        <v>35682787.057522126</v>
      </c>
      <c r="AJ563" s="19">
        <f t="shared" si="160"/>
        <v>5833368.3789623892</v>
      </c>
      <c r="AK563" s="20">
        <f t="shared" si="169"/>
        <v>0.16347849649632912</v>
      </c>
      <c r="AL563" s="17"/>
      <c r="AM563" s="17"/>
      <c r="AN563" s="17"/>
      <c r="AO563" s="17"/>
      <c r="AP563" s="28" t="str">
        <f t="shared" si="170"/>
        <v>20226</v>
      </c>
      <c r="AQ563" s="28" t="str">
        <f t="shared" si="171"/>
        <v>20226RMB</v>
      </c>
      <c r="AR563" s="206" t="str">
        <f t="shared" si="172"/>
        <v>YAMAHA_Mounter</v>
      </c>
      <c r="AS563" s="22">
        <f t="shared" si="173"/>
        <v>12</v>
      </c>
      <c r="AT563" s="24" t="str">
        <f t="shared" si="174"/>
        <v>&gt; 6 months</v>
      </c>
      <c r="AU563" s="22" t="s">
        <v>3240</v>
      </c>
    </row>
    <row r="564" spans="1:47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64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76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59"/>
        <v>35682787.057522126</v>
      </c>
      <c r="AJ564" s="19">
        <f t="shared" si="160"/>
        <v>5833368.3789623892</v>
      </c>
      <c r="AK564" s="20">
        <f t="shared" si="169"/>
        <v>0.16347849649632912</v>
      </c>
      <c r="AL564" s="17"/>
      <c r="AM564" s="17"/>
      <c r="AN564" s="17"/>
      <c r="AO564" s="17"/>
      <c r="AP564" s="28" t="str">
        <f t="shared" si="170"/>
        <v>20226</v>
      </c>
      <c r="AQ564" s="28" t="str">
        <f t="shared" si="171"/>
        <v>20226RMB</v>
      </c>
      <c r="AR564" s="206" t="str">
        <f t="shared" si="172"/>
        <v>YAMAHA_Mounter</v>
      </c>
      <c r="AS564" s="22">
        <f t="shared" si="173"/>
        <v>12</v>
      </c>
      <c r="AT564" s="24" t="str">
        <f t="shared" si="174"/>
        <v>&gt; 6 months</v>
      </c>
      <c r="AU564" s="22" t="s">
        <v>3240</v>
      </c>
    </row>
    <row r="565" spans="1:47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64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76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59"/>
        <v>25380121.402654871</v>
      </c>
      <c r="AJ565" s="19">
        <f t="shared" si="160"/>
        <v>3850343.1237796471</v>
      </c>
      <c r="AK565" s="20">
        <f t="shared" si="169"/>
        <v>0.1517070412191521</v>
      </c>
      <c r="AL565" s="17"/>
      <c r="AM565" s="17"/>
      <c r="AN565" s="17"/>
      <c r="AO565" s="17"/>
      <c r="AP565" s="28" t="str">
        <f t="shared" si="170"/>
        <v>202112</v>
      </c>
      <c r="AQ565" s="28" t="str">
        <f t="shared" si="171"/>
        <v>202112RMB</v>
      </c>
      <c r="AR565" s="206" t="str">
        <f t="shared" si="172"/>
        <v>PEMTRON</v>
      </c>
      <c r="AS565" s="22">
        <f t="shared" si="173"/>
        <v>3</v>
      </c>
      <c r="AT565" s="24" t="str">
        <f t="shared" si="174"/>
        <v>0-3 months</v>
      </c>
      <c r="AU565" s="22" t="s">
        <v>3240</v>
      </c>
    </row>
    <row r="566" spans="1:47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64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76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59"/>
        <v>25380121.402654871</v>
      </c>
      <c r="AJ566" s="19">
        <f t="shared" si="160"/>
        <v>3850343.1237796471</v>
      </c>
      <c r="AK566" s="20">
        <f t="shared" si="169"/>
        <v>0.1517070412191521</v>
      </c>
      <c r="AL566" s="17"/>
      <c r="AM566" s="17"/>
      <c r="AN566" s="17"/>
      <c r="AO566" s="17"/>
      <c r="AP566" s="28" t="str">
        <f t="shared" si="170"/>
        <v>202112</v>
      </c>
      <c r="AQ566" s="28" t="str">
        <f t="shared" si="171"/>
        <v>202112RMB</v>
      </c>
      <c r="AR566" s="206" t="str">
        <f t="shared" si="172"/>
        <v>PEMTRON</v>
      </c>
      <c r="AS566" s="22">
        <f t="shared" si="173"/>
        <v>3</v>
      </c>
      <c r="AT566" s="24" t="str">
        <f t="shared" si="174"/>
        <v>0-3 months</v>
      </c>
      <c r="AU566" s="22" t="s">
        <v>3240</v>
      </c>
    </row>
    <row r="567" spans="1:47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64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59"/>
        <v>26078226.463097349</v>
      </c>
      <c r="AJ567" s="19">
        <f t="shared" si="160"/>
        <v>3137870.4427774516</v>
      </c>
      <c r="AK567" s="20">
        <f t="shared" si="169"/>
        <v>0.12032530077218917</v>
      </c>
      <c r="AL567" s="17"/>
      <c r="AM567" s="17"/>
      <c r="AN567" s="17"/>
      <c r="AO567" s="17" t="s">
        <v>2989</v>
      </c>
      <c r="AP567" s="28" t="str">
        <f t="shared" si="170"/>
        <v>20239</v>
      </c>
      <c r="AQ567" s="28" t="str">
        <f t="shared" si="171"/>
        <v>20239RMB</v>
      </c>
      <c r="AR567" s="206" t="str">
        <f t="shared" si="172"/>
        <v>PEMTRON</v>
      </c>
      <c r="AS567" s="22">
        <f t="shared" si="173"/>
        <v>24</v>
      </c>
      <c r="AT567" s="24" t="str">
        <f t="shared" si="174"/>
        <v>&gt; 6 months</v>
      </c>
      <c r="AU567" s="22" t="s">
        <v>3240</v>
      </c>
    </row>
    <row r="568" spans="1:47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64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59"/>
        <v>26078226.463097349</v>
      </c>
      <c r="AJ568" s="19">
        <f t="shared" si="160"/>
        <v>3137870.4427774516</v>
      </c>
      <c r="AK568" s="20">
        <f t="shared" si="169"/>
        <v>0.12032530077218917</v>
      </c>
      <c r="AL568" s="17"/>
      <c r="AM568" s="17"/>
      <c r="AN568" s="17"/>
      <c r="AO568" s="17" t="s">
        <v>2989</v>
      </c>
      <c r="AP568" s="28" t="str">
        <f t="shared" si="170"/>
        <v>20239</v>
      </c>
      <c r="AQ568" s="28" t="str">
        <f t="shared" si="171"/>
        <v>20239RMB</v>
      </c>
      <c r="AR568" s="206" t="str">
        <f t="shared" si="172"/>
        <v>PEMTRON</v>
      </c>
      <c r="AS568" s="22">
        <f t="shared" si="173"/>
        <v>24</v>
      </c>
      <c r="AT568" s="24" t="str">
        <f t="shared" si="174"/>
        <v>&gt; 6 months</v>
      </c>
      <c r="AU568" s="22" t="s">
        <v>3240</v>
      </c>
    </row>
    <row r="569" spans="1:47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64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59"/>
        <v>26754147.763010349</v>
      </c>
      <c r="AJ569" s="19">
        <f t="shared" si="160"/>
        <v>3429137.9965357962</v>
      </c>
      <c r="AK569" s="20">
        <f t="shared" si="169"/>
        <v>0.12817220069617921</v>
      </c>
      <c r="AL569" s="17"/>
      <c r="AM569" s="17"/>
      <c r="AN569" s="17"/>
      <c r="AO569" s="17" t="s">
        <v>388</v>
      </c>
      <c r="AP569" s="28" t="str">
        <f t="shared" si="170"/>
        <v>20188</v>
      </c>
      <c r="AQ569" s="28" t="str">
        <f t="shared" si="171"/>
        <v>20188RMB</v>
      </c>
      <c r="AR569" s="206" t="str">
        <f t="shared" si="172"/>
        <v>YAMAHA_Mounter</v>
      </c>
      <c r="AS569" s="22">
        <f t="shared" si="173"/>
        <v>2</v>
      </c>
      <c r="AT569" s="24" t="str">
        <f t="shared" si="174"/>
        <v>0-3 months</v>
      </c>
      <c r="AU569" s="22" t="s">
        <v>3240</v>
      </c>
    </row>
    <row r="570" spans="1:47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64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59"/>
        <v>26754147.763010349</v>
      </c>
      <c r="AJ570" s="19">
        <f t="shared" si="160"/>
        <v>3429137.9965357962</v>
      </c>
      <c r="AK570" s="20">
        <f t="shared" si="169"/>
        <v>0.12817220069617921</v>
      </c>
      <c r="AL570" s="17"/>
      <c r="AM570" s="17"/>
      <c r="AN570" s="17"/>
      <c r="AO570" s="17" t="s">
        <v>388</v>
      </c>
      <c r="AP570" s="28" t="str">
        <f t="shared" si="170"/>
        <v>20188</v>
      </c>
      <c r="AQ570" s="28" t="str">
        <f t="shared" si="171"/>
        <v>20188RMB</v>
      </c>
      <c r="AR570" s="206" t="str">
        <f t="shared" si="172"/>
        <v>YAMAHA_Mounter</v>
      </c>
      <c r="AS570" s="22">
        <f t="shared" si="173"/>
        <v>2</v>
      </c>
      <c r="AT570" s="24" t="str">
        <f t="shared" si="174"/>
        <v>0-3 months</v>
      </c>
      <c r="AU570" s="22" t="s">
        <v>3240</v>
      </c>
    </row>
    <row r="571" spans="1:47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64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59"/>
        <v>13250187.062905986</v>
      </c>
      <c r="AJ571" s="19">
        <f t="shared" si="160"/>
        <v>1545643.7555487182</v>
      </c>
      <c r="AK571" s="20">
        <f t="shared" si="169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70"/>
        <v>20183</v>
      </c>
      <c r="AQ571" s="28" t="str">
        <f t="shared" si="171"/>
        <v>20183RMB</v>
      </c>
      <c r="AR571" s="206" t="str">
        <f t="shared" si="172"/>
        <v>YAMAHA_Mounter</v>
      </c>
      <c r="AS571" s="22">
        <f t="shared" si="173"/>
        <v>2</v>
      </c>
      <c r="AT571" s="24" t="str">
        <f t="shared" si="174"/>
        <v>0-3 months</v>
      </c>
      <c r="AU571" s="22" t="s">
        <v>3240</v>
      </c>
    </row>
    <row r="572" spans="1:47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64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59"/>
        <v>13250187.062905986</v>
      </c>
      <c r="AJ572" s="19">
        <f t="shared" si="160"/>
        <v>1545643.7555487182</v>
      </c>
      <c r="AK572" s="20">
        <f t="shared" si="169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70"/>
        <v>20183</v>
      </c>
      <c r="AQ572" s="28" t="str">
        <f t="shared" si="171"/>
        <v>20183RMB</v>
      </c>
      <c r="AR572" s="206" t="str">
        <f t="shared" si="172"/>
        <v>YAMAHA_Mounter</v>
      </c>
      <c r="AS572" s="22">
        <f t="shared" si="173"/>
        <v>2</v>
      </c>
      <c r="AT572" s="24" t="str">
        <f t="shared" si="174"/>
        <v>0-3 months</v>
      </c>
      <c r="AU572" s="22" t="s">
        <v>3240</v>
      </c>
    </row>
    <row r="573" spans="1:47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64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59"/>
        <v>32843736.557277881</v>
      </c>
      <c r="AJ573" s="19">
        <f t="shared" si="160"/>
        <v>3921470.6822663117</v>
      </c>
      <c r="AK573" s="20">
        <f t="shared" si="169"/>
        <v>0.11939782416131177</v>
      </c>
      <c r="AL573" s="17"/>
      <c r="AM573" s="17"/>
      <c r="AN573" s="17"/>
      <c r="AO573" s="17"/>
      <c r="AP573" s="28" t="str">
        <f t="shared" si="170"/>
        <v>20194</v>
      </c>
      <c r="AQ573" s="28" t="str">
        <f t="shared" si="171"/>
        <v>20194RMB</v>
      </c>
      <c r="AR573" s="206" t="str">
        <f t="shared" si="172"/>
        <v>YAMAHA_Mounter</v>
      </c>
      <c r="AS573" s="22">
        <f t="shared" si="173"/>
        <v>0</v>
      </c>
      <c r="AT573" s="24" t="str">
        <f t="shared" si="174"/>
        <v>0-3 months</v>
      </c>
      <c r="AU573" s="22" t="s">
        <v>3240</v>
      </c>
    </row>
    <row r="574" spans="1:47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64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59"/>
        <v>32843736.557277881</v>
      </c>
      <c r="AJ574" s="19">
        <f t="shared" si="160"/>
        <v>3921470.6822663117</v>
      </c>
      <c r="AK574" s="20">
        <f t="shared" si="169"/>
        <v>0.11939782416131177</v>
      </c>
      <c r="AL574" s="17"/>
      <c r="AM574" s="17"/>
      <c r="AN574" s="17"/>
      <c r="AO574" s="17"/>
      <c r="AP574" s="28" t="str">
        <f t="shared" si="170"/>
        <v>20194</v>
      </c>
      <c r="AQ574" s="28" t="str">
        <f t="shared" si="171"/>
        <v>20194RMB</v>
      </c>
      <c r="AR574" s="206" t="str">
        <f t="shared" si="172"/>
        <v>YAMAHA_Mounter</v>
      </c>
      <c r="AS574" s="22">
        <f t="shared" si="173"/>
        <v>0</v>
      </c>
      <c r="AT574" s="24" t="str">
        <f t="shared" si="174"/>
        <v>0-3 months</v>
      </c>
      <c r="AU574" s="22" t="s">
        <v>3240</v>
      </c>
    </row>
    <row r="575" spans="1:47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64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77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59"/>
        <v>54700260.692079648</v>
      </c>
      <c r="AJ575" s="19">
        <f t="shared" si="160"/>
        <v>7482899.5749188727</v>
      </c>
      <c r="AK575" s="20">
        <f t="shared" si="169"/>
        <v>0.13679824337660537</v>
      </c>
      <c r="AL575" s="17"/>
      <c r="AM575" s="17"/>
      <c r="AN575" s="17"/>
      <c r="AO575" s="17"/>
      <c r="AP575" s="28" t="str">
        <f t="shared" si="170"/>
        <v>20216</v>
      </c>
      <c r="AQ575" s="28" t="str">
        <f t="shared" si="171"/>
        <v>20216RMB</v>
      </c>
      <c r="AR575" s="206" t="str">
        <f t="shared" si="172"/>
        <v>YAMAHA_Mounter</v>
      </c>
      <c r="AS575" s="22">
        <f t="shared" si="173"/>
        <v>1</v>
      </c>
      <c r="AT575" s="24" t="str">
        <f t="shared" si="174"/>
        <v>0-3 months</v>
      </c>
      <c r="AU575" s="22" t="s">
        <v>3240</v>
      </c>
    </row>
    <row r="576" spans="1:47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64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77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59"/>
        <v>10844605.840707963</v>
      </c>
      <c r="AJ576" s="19">
        <f t="shared" si="160"/>
        <v>1523130.9860707966</v>
      </c>
      <c r="AK576" s="20">
        <f t="shared" si="169"/>
        <v>0.14045056209911663</v>
      </c>
      <c r="AL576" s="17"/>
      <c r="AM576" s="17"/>
      <c r="AN576" s="17"/>
      <c r="AO576" s="17"/>
      <c r="AP576" s="28" t="str">
        <f t="shared" si="170"/>
        <v>20219</v>
      </c>
      <c r="AQ576" s="28" t="str">
        <f t="shared" si="171"/>
        <v>20219RMB</v>
      </c>
      <c r="AR576" s="206" t="str">
        <f t="shared" si="172"/>
        <v>YAMAHA_Mounter</v>
      </c>
      <c r="AS576" s="22">
        <f t="shared" si="173"/>
        <v>4</v>
      </c>
      <c r="AT576" s="24" t="str">
        <f t="shared" si="174"/>
        <v>4-6 months</v>
      </c>
      <c r="AU576" s="22" t="s">
        <v>3240</v>
      </c>
    </row>
    <row r="577" spans="1:47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64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77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59"/>
        <v>31750699.113741599</v>
      </c>
      <c r="AJ577" s="19">
        <f t="shared" si="160"/>
        <v>4396077.3195289988</v>
      </c>
      <c r="AK577" s="20">
        <f t="shared" si="169"/>
        <v>0.13845607946397598</v>
      </c>
      <c r="AL577" s="17"/>
      <c r="AM577" s="17"/>
      <c r="AN577" s="17"/>
      <c r="AO577" s="17"/>
      <c r="AP577" s="28" t="str">
        <f t="shared" si="170"/>
        <v>20222</v>
      </c>
      <c r="AQ577" s="28" t="str">
        <f t="shared" si="171"/>
        <v>20222RMB</v>
      </c>
      <c r="AR577" s="206" t="str">
        <f t="shared" si="172"/>
        <v>YAMAHA_Mounter</v>
      </c>
      <c r="AS577" s="22">
        <f t="shared" si="173"/>
        <v>9</v>
      </c>
      <c r="AT577" s="24" t="str">
        <f t="shared" si="174"/>
        <v>&gt; 6 months</v>
      </c>
      <c r="AU577" s="22" t="s">
        <v>3240</v>
      </c>
    </row>
    <row r="578" spans="1:47" s="12" customFormat="1">
      <c r="A578" s="33" t="str">
        <f t="shared" si="161"/>
        <v>cancel</v>
      </c>
      <c r="B578" s="152"/>
      <c r="C578" s="152" t="s">
        <v>185</v>
      </c>
      <c r="D578" s="33" t="str">
        <f t="shared" si="162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63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64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77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ref="AI578:AI641" si="178">IF(P578="C66 SERVICE","",SUMIFS(AB:AB,F:F,F578,G:G,G578,E:E,E578))</f>
        <v>499582152.5142017</v>
      </c>
      <c r="AJ578" s="19">
        <f t="shared" ref="AJ578:AJ641" si="179">IF(P578="C66 SERVICE","",SUMIFS(AC:AC,F:F,F578,G:G,G578,E:E,E578))</f>
        <v>59520528.679470733</v>
      </c>
      <c r="AK578" s="20">
        <f t="shared" si="169"/>
        <v>0.11914062257814291</v>
      </c>
      <c r="AL578" s="17"/>
      <c r="AM578" s="17"/>
      <c r="AN578" s="17"/>
      <c r="AO578" s="17"/>
      <c r="AP578" s="28" t="str">
        <f t="shared" si="170"/>
        <v>CancelCANCEL</v>
      </c>
      <c r="AQ578" s="28" t="str">
        <f t="shared" si="171"/>
        <v>CancelCANCELRMB</v>
      </c>
      <c r="AR578" s="206" t="str">
        <f t="shared" si="172"/>
        <v>YAMAHA_Mounter</v>
      </c>
      <c r="AS578" s="22" t="str">
        <f t="shared" si="173"/>
        <v/>
      </c>
      <c r="AT578" s="24" t="str">
        <f t="shared" si="174"/>
        <v/>
      </c>
      <c r="AU578" s="22" t="s">
        <v>3240</v>
      </c>
    </row>
    <row r="579" spans="1:47" s="12" customFormat="1">
      <c r="A579" s="33" t="str">
        <f t="shared" si="161"/>
        <v>cancel</v>
      </c>
      <c r="B579" s="152"/>
      <c r="C579" s="152" t="s">
        <v>185</v>
      </c>
      <c r="D579" s="33" t="str">
        <f t="shared" si="162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63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64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77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78"/>
        <v>499582152.5142017</v>
      </c>
      <c r="AJ579" s="19">
        <f t="shared" si="179"/>
        <v>59520528.679470733</v>
      </c>
      <c r="AK579" s="20">
        <f t="shared" si="169"/>
        <v>0.11914062257814291</v>
      </c>
      <c r="AL579" s="17"/>
      <c r="AM579" s="17"/>
      <c r="AN579" s="17"/>
      <c r="AO579" s="17"/>
      <c r="AP579" s="28" t="str">
        <f t="shared" si="170"/>
        <v>CancelCANCEL</v>
      </c>
      <c r="AQ579" s="28" t="str">
        <f t="shared" si="171"/>
        <v>CancelCANCELRMB</v>
      </c>
      <c r="AR579" s="206" t="str">
        <f t="shared" si="172"/>
        <v>YAMAHA_Mounter</v>
      </c>
      <c r="AS579" s="22" t="str">
        <f t="shared" si="173"/>
        <v/>
      </c>
      <c r="AT579" s="24" t="str">
        <f t="shared" si="174"/>
        <v/>
      </c>
      <c r="AU579" s="22" t="s">
        <v>3240</v>
      </c>
    </row>
    <row r="580" spans="1:47" s="12" customFormat="1">
      <c r="A580" s="33" t="str">
        <f t="shared" si="161"/>
        <v>cancel</v>
      </c>
      <c r="B580" s="152"/>
      <c r="C580" s="152" t="s">
        <v>185</v>
      </c>
      <c r="D580" s="33" t="str">
        <f t="shared" si="162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63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64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77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78"/>
        <v>499582152.5142017</v>
      </c>
      <c r="AJ580" s="19">
        <f t="shared" si="179"/>
        <v>59520528.679470733</v>
      </c>
      <c r="AK580" s="20">
        <f t="shared" si="169"/>
        <v>0.11914062257814291</v>
      </c>
      <c r="AL580" s="17"/>
      <c r="AM580" s="17"/>
      <c r="AN580" s="17"/>
      <c r="AO580" s="17"/>
      <c r="AP580" s="28" t="str">
        <f t="shared" si="170"/>
        <v>CancelCANCEL</v>
      </c>
      <c r="AQ580" s="28" t="str">
        <f t="shared" si="171"/>
        <v>CancelCANCELRMB</v>
      </c>
      <c r="AR580" s="206" t="str">
        <f t="shared" si="172"/>
        <v>YAMAHA_Mounter</v>
      </c>
      <c r="AS580" s="22" t="str">
        <f t="shared" si="173"/>
        <v/>
      </c>
      <c r="AT580" s="24" t="str">
        <f t="shared" si="174"/>
        <v/>
      </c>
      <c r="AU580" s="22" t="s">
        <v>3240</v>
      </c>
    </row>
    <row r="581" spans="1:47" s="12" customFormat="1">
      <c r="A581" s="33" t="str">
        <f t="shared" si="161"/>
        <v>cancel</v>
      </c>
      <c r="B581" s="152"/>
      <c r="C581" s="152" t="s">
        <v>185</v>
      </c>
      <c r="D581" s="33" t="str">
        <f t="shared" si="162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63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64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77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78"/>
        <v>499582152.5142017</v>
      </c>
      <c r="AJ581" s="19">
        <f t="shared" si="179"/>
        <v>59520528.679470733</v>
      </c>
      <c r="AK581" s="20">
        <f t="shared" si="169"/>
        <v>0.11914062257814291</v>
      </c>
      <c r="AL581" s="17"/>
      <c r="AM581" s="17"/>
      <c r="AN581" s="17"/>
      <c r="AO581" s="17"/>
      <c r="AP581" s="28" t="str">
        <f t="shared" si="170"/>
        <v>CancelCANCEL</v>
      </c>
      <c r="AQ581" s="28" t="str">
        <f t="shared" si="171"/>
        <v>CancelCANCELRMB</v>
      </c>
      <c r="AR581" s="206" t="str">
        <f t="shared" si="172"/>
        <v>YAMAHA_Mounter</v>
      </c>
      <c r="AS581" s="22" t="str">
        <f t="shared" si="173"/>
        <v/>
      </c>
      <c r="AT581" s="24" t="str">
        <f t="shared" si="174"/>
        <v/>
      </c>
      <c r="AU581" s="22" t="s">
        <v>3240</v>
      </c>
    </row>
    <row r="582" spans="1:47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si="178"/>
        <v>16455710.386637932</v>
      </c>
      <c r="AJ582" s="19">
        <f t="shared" si="179"/>
        <v>2150644.6466930606</v>
      </c>
      <c r="AK582" s="20">
        <f t="shared" ref="AK582:AK645" si="188">IF(AJ582&gt;0,AJ582/AI582,"")</f>
        <v>0.13069290818580451</v>
      </c>
      <c r="AL582" s="17"/>
      <c r="AM582" s="17"/>
      <c r="AN582" s="17"/>
      <c r="AO582" s="17"/>
      <c r="AP582" s="28" t="str">
        <f t="shared" ref="AP582:AP645" si="189">IF(F582="","",F582&amp;G582)</f>
        <v>20192</v>
      </c>
      <c r="AQ582" s="28" t="str">
        <f t="shared" ref="AQ582:AQ645" si="190">IF(W582="","",F582&amp;G582&amp;W582)</f>
        <v>20192RMB</v>
      </c>
      <c r="AR582" s="206" t="str">
        <f t="shared" ref="AR582:AR645" si="191">IFERROR(IF(AND(M582="YAMAHA", R582="C28"), "YAMAHA_Non_Mounter", IF(AND(M582="YAMAHA", R582="C49"), "YAMAHA_Mounter", M582)),"")</f>
        <v>YAMAHA_Mounter</v>
      </c>
      <c r="AS582" s="22">
        <f t="shared" ref="AS582:AS645" si="192">IFERROR(IF(OR(G582="TBA", G582=""), "", DATEDIF(DATE(B582, C582, 1), DATE(F582, G582, 1), "M")),"")</f>
        <v>1</v>
      </c>
      <c r="AT582" s="24" t="str">
        <f t="shared" ref="AT582:AT645" si="193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8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78"/>
        <v>44078731.611185849</v>
      </c>
      <c r="AJ583" s="19">
        <f t="shared" si="179"/>
        <v>5508173.2163771465</v>
      </c>
      <c r="AK583" s="20">
        <f t="shared" si="188"/>
        <v>0.12496215328889679</v>
      </c>
      <c r="AL583" s="17"/>
      <c r="AM583" s="17"/>
      <c r="AN583" s="17"/>
      <c r="AO583" s="17"/>
      <c r="AP583" s="28" t="str">
        <f t="shared" si="189"/>
        <v>202011</v>
      </c>
      <c r="AQ583" s="28" t="str">
        <f t="shared" si="190"/>
        <v>202011RMB</v>
      </c>
      <c r="AR583" s="206" t="str">
        <f t="shared" si="191"/>
        <v>HELLER</v>
      </c>
      <c r="AS583" s="22">
        <f t="shared" si="192"/>
        <v>1</v>
      </c>
      <c r="AT583" s="24" t="str">
        <f t="shared" si="193"/>
        <v>0-3 months</v>
      </c>
      <c r="AU583" s="22" t="s">
        <v>3240</v>
      </c>
    </row>
    <row r="584" spans="1:47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8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78"/>
        <v>47416008.333399981</v>
      </c>
      <c r="AJ584" s="19">
        <f t="shared" si="179"/>
        <v>6981738.4465290187</v>
      </c>
      <c r="AK584" s="20">
        <f t="shared" si="188"/>
        <v>0.14724433143839863</v>
      </c>
      <c r="AL584" s="17"/>
      <c r="AM584" s="17"/>
      <c r="AN584" s="17"/>
      <c r="AO584" s="17"/>
      <c r="AP584" s="28" t="str">
        <f t="shared" si="189"/>
        <v>20193</v>
      </c>
      <c r="AQ584" s="28" t="str">
        <f t="shared" si="190"/>
        <v>20193RMB</v>
      </c>
      <c r="AR584" s="206" t="str">
        <f t="shared" si="191"/>
        <v>HELLER</v>
      </c>
      <c r="AS584" s="22">
        <f t="shared" si="192"/>
        <v>2</v>
      </c>
      <c r="AT584" s="24" t="str">
        <f t="shared" si="193"/>
        <v>0-3 months</v>
      </c>
      <c r="AU584" s="22" t="s">
        <v>3240</v>
      </c>
    </row>
    <row r="585" spans="1:47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8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78"/>
        <v>28177779.013274338</v>
      </c>
      <c r="AJ585" s="19">
        <f t="shared" si="179"/>
        <v>4727216.6376190251</v>
      </c>
      <c r="AK585" s="20">
        <f t="shared" si="188"/>
        <v>0.1677639900359808</v>
      </c>
      <c r="AL585" s="17"/>
      <c r="AM585" s="17"/>
      <c r="AN585" s="17"/>
      <c r="AO585" s="17"/>
      <c r="AP585" s="28" t="str">
        <f t="shared" si="189"/>
        <v>20235</v>
      </c>
      <c r="AQ585" s="28" t="str">
        <f t="shared" si="190"/>
        <v>20235RMB</v>
      </c>
      <c r="AR585" s="206" t="str">
        <f t="shared" si="191"/>
        <v>HELLER</v>
      </c>
      <c r="AS585" s="22">
        <f t="shared" si="192"/>
        <v>2</v>
      </c>
      <c r="AT585" s="24" t="str">
        <f t="shared" si="193"/>
        <v>0-3 months</v>
      </c>
      <c r="AU585" s="22" t="s">
        <v>3240</v>
      </c>
    </row>
    <row r="586" spans="1:47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8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94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78"/>
        <v>7502645.9971681423</v>
      </c>
      <c r="AJ586" s="19">
        <f t="shared" si="179"/>
        <v>664841.72044240718</v>
      </c>
      <c r="AK586" s="20">
        <f t="shared" si="188"/>
        <v>8.861429963420242E-2</v>
      </c>
      <c r="AL586" s="17"/>
      <c r="AM586" s="17"/>
      <c r="AN586" s="17"/>
      <c r="AO586" s="17"/>
      <c r="AP586" s="28" t="str">
        <f t="shared" si="189"/>
        <v>20231</v>
      </c>
      <c r="AQ586" s="28" t="str">
        <f t="shared" si="190"/>
        <v>20231RMB</v>
      </c>
      <c r="AR586" s="206" t="str">
        <f t="shared" si="191"/>
        <v>YAMAHA_Mounter</v>
      </c>
      <c r="AS586" s="22">
        <f t="shared" si="192"/>
        <v>0</v>
      </c>
      <c r="AT586" s="24" t="str">
        <f t="shared" si="193"/>
        <v>0-3 months</v>
      </c>
      <c r="AU586" s="22" t="s">
        <v>3240</v>
      </c>
    </row>
    <row r="587" spans="1:47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8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94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78"/>
        <v>35682787.057522126</v>
      </c>
      <c r="AJ587" s="19">
        <f t="shared" si="179"/>
        <v>5833368.3789623892</v>
      </c>
      <c r="AK587" s="20">
        <f t="shared" si="188"/>
        <v>0.16347849649632912</v>
      </c>
      <c r="AL587" s="17"/>
      <c r="AM587" s="17"/>
      <c r="AN587" s="17"/>
      <c r="AO587" s="17"/>
      <c r="AP587" s="28" t="str">
        <f t="shared" si="189"/>
        <v>20226</v>
      </c>
      <c r="AQ587" s="28" t="str">
        <f t="shared" si="190"/>
        <v>20226RMB</v>
      </c>
      <c r="AR587" s="206" t="str">
        <f t="shared" si="191"/>
        <v>PEMTRON</v>
      </c>
      <c r="AS587" s="22">
        <f t="shared" si="192"/>
        <v>3</v>
      </c>
      <c r="AT587" s="24" t="str">
        <f t="shared" si="193"/>
        <v>0-3 months</v>
      </c>
      <c r="AU587" s="22" t="s">
        <v>3240</v>
      </c>
    </row>
    <row r="588" spans="1:47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8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94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78"/>
        <v>35682787.057522126</v>
      </c>
      <c r="AJ588" s="19">
        <f t="shared" si="179"/>
        <v>5833368.3789623892</v>
      </c>
      <c r="AK588" s="20">
        <f t="shared" si="188"/>
        <v>0.16347849649632912</v>
      </c>
      <c r="AL588" s="17"/>
      <c r="AM588" s="17"/>
      <c r="AN588" s="17"/>
      <c r="AO588" s="17"/>
      <c r="AP588" s="28" t="str">
        <f t="shared" si="189"/>
        <v>20226</v>
      </c>
      <c r="AQ588" s="28" t="str">
        <f t="shared" si="190"/>
        <v>20226RMB</v>
      </c>
      <c r="AR588" s="206" t="str">
        <f t="shared" si="191"/>
        <v>PEMTRON</v>
      </c>
      <c r="AS588" s="22">
        <f t="shared" si="192"/>
        <v>3</v>
      </c>
      <c r="AT588" s="24" t="str">
        <f t="shared" si="193"/>
        <v>0-3 months</v>
      </c>
      <c r="AU588" s="22" t="s">
        <v>3240</v>
      </c>
    </row>
    <row r="589" spans="1:47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8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94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78"/>
        <v>35682787.057522126</v>
      </c>
      <c r="AJ589" s="19">
        <f t="shared" si="179"/>
        <v>5833368.3789623892</v>
      </c>
      <c r="AK589" s="20">
        <f t="shared" si="188"/>
        <v>0.16347849649632912</v>
      </c>
      <c r="AL589" s="17"/>
      <c r="AM589" s="17"/>
      <c r="AN589" s="17"/>
      <c r="AO589" s="17"/>
      <c r="AP589" s="28" t="str">
        <f t="shared" si="189"/>
        <v>20226</v>
      </c>
      <c r="AQ589" s="28" t="str">
        <f t="shared" si="190"/>
        <v>20226RMB</v>
      </c>
      <c r="AR589" s="206" t="str">
        <f t="shared" si="191"/>
        <v>LOCAL SUPPLIER</v>
      </c>
      <c r="AS589" s="22">
        <f t="shared" si="192"/>
        <v>2</v>
      </c>
      <c r="AT589" s="24" t="str">
        <f t="shared" si="193"/>
        <v>0-3 months</v>
      </c>
      <c r="AU589" s="22" t="s">
        <v>3240</v>
      </c>
    </row>
    <row r="590" spans="1:47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8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94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78"/>
        <v>36480247.665929198</v>
      </c>
      <c r="AJ590" s="19">
        <f t="shared" si="179"/>
        <v>5330996.6372757526</v>
      </c>
      <c r="AK590" s="20">
        <f t="shared" si="188"/>
        <v>0.14613378412599562</v>
      </c>
      <c r="AL590" s="17"/>
      <c r="AM590" s="17"/>
      <c r="AN590" s="17"/>
      <c r="AO590" s="17"/>
      <c r="AP590" s="28" t="str">
        <f t="shared" si="189"/>
        <v>20227</v>
      </c>
      <c r="AQ590" s="28" t="str">
        <f t="shared" si="190"/>
        <v>20227RMB</v>
      </c>
      <c r="AR590" s="206" t="str">
        <f t="shared" si="191"/>
        <v>HELLER</v>
      </c>
      <c r="AS590" s="22">
        <f t="shared" si="192"/>
        <v>4</v>
      </c>
      <c r="AT590" s="24" t="str">
        <f t="shared" si="193"/>
        <v>4-6 months</v>
      </c>
      <c r="AU590" s="22" t="s">
        <v>3240</v>
      </c>
    </row>
    <row r="591" spans="1:47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8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94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78"/>
        <v>36480247.665929198</v>
      </c>
      <c r="AJ591" s="19">
        <f t="shared" si="179"/>
        <v>5330996.6372757526</v>
      </c>
      <c r="AK591" s="20">
        <f t="shared" si="188"/>
        <v>0.14613378412599562</v>
      </c>
      <c r="AL591" s="17"/>
      <c r="AM591" s="17"/>
      <c r="AN591" s="17"/>
      <c r="AO591" s="17"/>
      <c r="AP591" s="28" t="str">
        <f t="shared" si="189"/>
        <v>20227</v>
      </c>
      <c r="AQ591" s="28" t="str">
        <f t="shared" si="190"/>
        <v>20227RMB</v>
      </c>
      <c r="AR591" s="206" t="str">
        <f t="shared" si="191"/>
        <v>LOCAL SUPPLIER</v>
      </c>
      <c r="AS591" s="22">
        <f t="shared" si="192"/>
        <v>4</v>
      </c>
      <c r="AT591" s="24" t="str">
        <f t="shared" si="193"/>
        <v>4-6 months</v>
      </c>
      <c r="AU591" s="22" t="s">
        <v>3240</v>
      </c>
    </row>
    <row r="592" spans="1:47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8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94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78"/>
        <v>45803245.025628321</v>
      </c>
      <c r="AJ592" s="19">
        <f t="shared" si="179"/>
        <v>5664636.2584379362</v>
      </c>
      <c r="AK592" s="20">
        <f t="shared" si="188"/>
        <v>0.12367325186825515</v>
      </c>
      <c r="AL592" s="17"/>
      <c r="AM592" s="17"/>
      <c r="AN592" s="17"/>
      <c r="AO592" s="17"/>
      <c r="AP592" s="28" t="str">
        <f t="shared" si="189"/>
        <v>20211</v>
      </c>
      <c r="AQ592" s="28" t="str">
        <f t="shared" si="190"/>
        <v>20211RMB</v>
      </c>
      <c r="AR592" s="206" t="str">
        <f t="shared" si="191"/>
        <v>YAMAHA_Mounter</v>
      </c>
      <c r="AS592" s="22">
        <f t="shared" si="192"/>
        <v>1</v>
      </c>
      <c r="AT592" s="24" t="str">
        <f t="shared" si="193"/>
        <v>0-3 months</v>
      </c>
      <c r="AU592" s="22" t="s">
        <v>3240</v>
      </c>
    </row>
    <row r="593" spans="1:47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8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94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78"/>
        <v>45803245.025628321</v>
      </c>
      <c r="AJ593" s="19">
        <f t="shared" si="179"/>
        <v>5664636.2584379362</v>
      </c>
      <c r="AK593" s="20">
        <f t="shared" si="188"/>
        <v>0.12367325186825515</v>
      </c>
      <c r="AL593" s="17"/>
      <c r="AM593" s="17"/>
      <c r="AN593" s="17"/>
      <c r="AO593" s="17"/>
      <c r="AP593" s="28" t="str">
        <f t="shared" si="189"/>
        <v>20211</v>
      </c>
      <c r="AQ593" s="28" t="str">
        <f t="shared" si="190"/>
        <v>20211RMB</v>
      </c>
      <c r="AR593" s="206" t="str">
        <f t="shared" si="191"/>
        <v>YAMAHA_Mounter</v>
      </c>
      <c r="AS593" s="22">
        <f t="shared" si="192"/>
        <v>1</v>
      </c>
      <c r="AT593" s="24" t="str">
        <f t="shared" si="193"/>
        <v>0-3 months</v>
      </c>
      <c r="AU593" s="22" t="s">
        <v>3240</v>
      </c>
    </row>
    <row r="594" spans="1:47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8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94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78"/>
        <v>31017966.201968137</v>
      </c>
      <c r="AJ594" s="19">
        <f t="shared" si="179"/>
        <v>4704250.3347305888</v>
      </c>
      <c r="AK594" s="20">
        <f t="shared" si="188"/>
        <v>0.15166211427595458</v>
      </c>
      <c r="AL594" s="17"/>
      <c r="AM594" s="17"/>
      <c r="AN594" s="17"/>
      <c r="AO594" s="17"/>
      <c r="AP594" s="28" t="str">
        <f t="shared" si="189"/>
        <v>202211</v>
      </c>
      <c r="AQ594" s="28" t="str">
        <f t="shared" si="190"/>
        <v>202211RMB</v>
      </c>
      <c r="AR594" s="206" t="str">
        <f t="shared" si="191"/>
        <v>YAMAHA_Mounter</v>
      </c>
      <c r="AS594" s="22">
        <f t="shared" si="192"/>
        <v>0</v>
      </c>
      <c r="AT594" s="24" t="str">
        <f t="shared" si="193"/>
        <v>0-3 months</v>
      </c>
      <c r="AU594" s="22" t="s">
        <v>3240</v>
      </c>
    </row>
    <row r="595" spans="1:47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8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94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78"/>
        <v>31017966.201968137</v>
      </c>
      <c r="AJ595" s="19">
        <f t="shared" si="179"/>
        <v>4704250.3347305888</v>
      </c>
      <c r="AK595" s="20">
        <f t="shared" si="188"/>
        <v>0.15166211427595458</v>
      </c>
      <c r="AL595" s="17"/>
      <c r="AM595" s="17"/>
      <c r="AN595" s="17"/>
      <c r="AO595" s="17"/>
      <c r="AP595" s="28" t="str">
        <f t="shared" si="189"/>
        <v>202211</v>
      </c>
      <c r="AQ595" s="28" t="str">
        <f t="shared" si="190"/>
        <v>202211RMB</v>
      </c>
      <c r="AR595" s="206" t="str">
        <f t="shared" si="191"/>
        <v>YAMAHA_Mounter</v>
      </c>
      <c r="AS595" s="22">
        <f t="shared" si="192"/>
        <v>0</v>
      </c>
      <c r="AT595" s="24" t="str">
        <f t="shared" si="193"/>
        <v>0-3 months</v>
      </c>
      <c r="AU595" s="22" t="s">
        <v>3240</v>
      </c>
    </row>
    <row r="596" spans="1:47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8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78"/>
        <v>28647263.974455759</v>
      </c>
      <c r="AJ596" s="19">
        <f t="shared" si="179"/>
        <v>3219855.6912513468</v>
      </c>
      <c r="AK596" s="20">
        <f t="shared" si="188"/>
        <v>0.11239662168514358</v>
      </c>
      <c r="AL596" s="17"/>
      <c r="AM596" s="17"/>
      <c r="AN596" s="17"/>
      <c r="AO596" s="17"/>
      <c r="AP596" s="28" t="str">
        <f t="shared" si="189"/>
        <v>201910</v>
      </c>
      <c r="AQ596" s="28" t="str">
        <f t="shared" si="190"/>
        <v>201910RMB</v>
      </c>
      <c r="AR596" s="206" t="str">
        <f t="shared" si="191"/>
        <v>YAMAHA_Mounter</v>
      </c>
      <c r="AS596" s="22">
        <f t="shared" si="192"/>
        <v>1</v>
      </c>
      <c r="AT596" s="24" t="str">
        <f t="shared" si="193"/>
        <v>0-3 months</v>
      </c>
      <c r="AU596" s="22" t="s">
        <v>3240</v>
      </c>
    </row>
    <row r="597" spans="1:47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8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78"/>
        <v>54700260.692079648</v>
      </c>
      <c r="AJ597" s="19">
        <f t="shared" si="179"/>
        <v>7482899.5749188727</v>
      </c>
      <c r="AK597" s="20">
        <f t="shared" si="188"/>
        <v>0.13679824337660537</v>
      </c>
      <c r="AL597" s="17"/>
      <c r="AM597" s="17"/>
      <c r="AN597" s="17"/>
      <c r="AO597" s="17"/>
      <c r="AP597" s="28" t="str">
        <f t="shared" si="189"/>
        <v>20216</v>
      </c>
      <c r="AQ597" s="28" t="str">
        <f t="shared" si="190"/>
        <v>20216RMB</v>
      </c>
      <c r="AR597" s="206" t="str">
        <f t="shared" si="191"/>
        <v>YAMAHA_Mounter</v>
      </c>
      <c r="AS597" s="22">
        <f t="shared" si="192"/>
        <v>2</v>
      </c>
      <c r="AT597" s="24" t="str">
        <f t="shared" si="193"/>
        <v>0-3 months</v>
      </c>
      <c r="AU597" s="22" t="s">
        <v>3240</v>
      </c>
    </row>
    <row r="598" spans="1:47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8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78"/>
        <v>30573205.452778768</v>
      </c>
      <c r="AJ598" s="19">
        <f t="shared" si="179"/>
        <v>3790930.1683151261</v>
      </c>
      <c r="AK598" s="20">
        <f t="shared" si="188"/>
        <v>0.12399518179964254</v>
      </c>
      <c r="AL598" s="17"/>
      <c r="AM598" s="17"/>
      <c r="AN598" s="17"/>
      <c r="AO598" s="17"/>
      <c r="AP598" s="28" t="str">
        <f t="shared" si="189"/>
        <v>20234</v>
      </c>
      <c r="AQ598" s="28" t="str">
        <f t="shared" si="190"/>
        <v>20234RMB</v>
      </c>
      <c r="AR598" s="206" t="str">
        <f t="shared" si="191"/>
        <v>YAMAHA_Mounter</v>
      </c>
      <c r="AS598" s="22">
        <f t="shared" si="192"/>
        <v>5</v>
      </c>
      <c r="AT598" s="24" t="str">
        <f t="shared" si="193"/>
        <v>4-6 months</v>
      </c>
      <c r="AU598" s="22" t="s">
        <v>3240</v>
      </c>
    </row>
    <row r="599" spans="1:47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8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78"/>
        <v>30573205.452778768</v>
      </c>
      <c r="AJ599" s="19">
        <f t="shared" si="179"/>
        <v>3790930.1683151261</v>
      </c>
      <c r="AK599" s="20">
        <f t="shared" si="188"/>
        <v>0.12399518179964254</v>
      </c>
      <c r="AL599" s="17"/>
      <c r="AM599" s="17"/>
      <c r="AN599" s="17"/>
      <c r="AO599" s="17"/>
      <c r="AP599" s="28" t="str">
        <f t="shared" si="189"/>
        <v>20234</v>
      </c>
      <c r="AQ599" s="28" t="str">
        <f t="shared" si="190"/>
        <v>20234RMB</v>
      </c>
      <c r="AR599" s="206" t="str">
        <f t="shared" si="191"/>
        <v>YAMAHA_Mounter</v>
      </c>
      <c r="AS599" s="22">
        <f t="shared" si="192"/>
        <v>5</v>
      </c>
      <c r="AT599" s="24" t="str">
        <f t="shared" si="193"/>
        <v>4-6 months</v>
      </c>
      <c r="AU599" s="22" t="s">
        <v>3240</v>
      </c>
    </row>
    <row r="600" spans="1:47" s="12" customFormat="1">
      <c r="A600" s="33" t="str">
        <f t="shared" si="180"/>
        <v>cancel</v>
      </c>
      <c r="B600" s="152"/>
      <c r="C600" s="152" t="s">
        <v>185</v>
      </c>
      <c r="D600" s="33" t="str">
        <f t="shared" si="18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8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8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78"/>
        <v>499582152.5142017</v>
      </c>
      <c r="AJ600" s="19">
        <f t="shared" si="179"/>
        <v>59520528.679470733</v>
      </c>
      <c r="AK600" s="20">
        <f t="shared" si="188"/>
        <v>0.11914062257814291</v>
      </c>
      <c r="AL600" s="17"/>
      <c r="AM600" s="17"/>
      <c r="AN600" s="17"/>
      <c r="AO600" s="17"/>
      <c r="AP600" s="28" t="str">
        <f t="shared" si="189"/>
        <v>CancelCancel</v>
      </c>
      <c r="AQ600" s="28" t="str">
        <f t="shared" si="190"/>
        <v>CancelCancelRMB</v>
      </c>
      <c r="AR600" s="206" t="str">
        <f t="shared" si="191"/>
        <v>YAMAHA_Mounter</v>
      </c>
      <c r="AS600" s="22" t="str">
        <f t="shared" si="192"/>
        <v/>
      </c>
      <c r="AT600" s="24" t="str">
        <f t="shared" si="193"/>
        <v/>
      </c>
      <c r="AU600" s="22" t="s">
        <v>3240</v>
      </c>
    </row>
    <row r="601" spans="1:47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8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78"/>
        <v>20319282.700884953</v>
      </c>
      <c r="AJ601" s="27">
        <f t="shared" si="179"/>
        <v>2408851.9638623013</v>
      </c>
      <c r="AK601" s="28">
        <f t="shared" si="188"/>
        <v>0.11855004919821259</v>
      </c>
      <c r="AL601" s="24"/>
      <c r="AM601" s="24"/>
      <c r="AN601" s="24"/>
      <c r="AO601" s="24"/>
      <c r="AP601" s="28" t="str">
        <f t="shared" si="189"/>
        <v>20244</v>
      </c>
      <c r="AQ601" s="28" t="str">
        <f t="shared" si="190"/>
        <v>20244RMB</v>
      </c>
      <c r="AR601" s="206" t="str">
        <f t="shared" si="191"/>
        <v>YAMAHA_Mounter</v>
      </c>
      <c r="AS601" s="22">
        <f t="shared" si="192"/>
        <v>1</v>
      </c>
      <c r="AT601" s="24" t="str">
        <f t="shared" si="193"/>
        <v>0-3 months</v>
      </c>
      <c r="AU601" s="22" t="s">
        <v>3750</v>
      </c>
    </row>
    <row r="602" spans="1:47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8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78"/>
        <v>20319282.700884953</v>
      </c>
      <c r="AJ602" s="27">
        <f t="shared" si="179"/>
        <v>2408851.9638623013</v>
      </c>
      <c r="AK602" s="28">
        <f t="shared" si="188"/>
        <v>0.11855004919821259</v>
      </c>
      <c r="AL602" s="24"/>
      <c r="AM602" s="24"/>
      <c r="AN602" s="24"/>
      <c r="AO602" s="24"/>
      <c r="AP602" s="28" t="str">
        <f t="shared" si="189"/>
        <v>20244</v>
      </c>
      <c r="AQ602" s="28" t="str">
        <f t="shared" si="190"/>
        <v>20244RMB</v>
      </c>
      <c r="AR602" s="206" t="str">
        <f t="shared" si="191"/>
        <v>YAMAHA_Mounter</v>
      </c>
      <c r="AS602" s="22">
        <f t="shared" si="192"/>
        <v>1</v>
      </c>
      <c r="AT602" s="24" t="str">
        <f t="shared" si="193"/>
        <v>0-3 months</v>
      </c>
      <c r="AU602" s="22" t="s">
        <v>3750</v>
      </c>
    </row>
    <row r="603" spans="1:47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8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78"/>
        <v>28647263.974455759</v>
      </c>
      <c r="AJ603" s="19">
        <f t="shared" si="179"/>
        <v>3219855.6912513468</v>
      </c>
      <c r="AK603" s="20">
        <f t="shared" si="188"/>
        <v>0.11239662168514358</v>
      </c>
      <c r="AL603" s="17"/>
      <c r="AM603" s="17"/>
      <c r="AN603" s="17"/>
      <c r="AO603" s="17"/>
      <c r="AP603" s="28" t="str">
        <f t="shared" si="189"/>
        <v>201910</v>
      </c>
      <c r="AQ603" s="28" t="str">
        <f t="shared" si="190"/>
        <v>201910RMB</v>
      </c>
      <c r="AR603" s="206" t="str">
        <f t="shared" si="191"/>
        <v>YAMAHA_Mounter</v>
      </c>
      <c r="AS603" s="22">
        <f t="shared" si="192"/>
        <v>1</v>
      </c>
      <c r="AT603" s="24" t="str">
        <f t="shared" si="193"/>
        <v>0-3 months</v>
      </c>
      <c r="AU603" s="22" t="s">
        <v>3240</v>
      </c>
    </row>
    <row r="604" spans="1:47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8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78"/>
        <v>44078731.611185849</v>
      </c>
      <c r="AJ604" s="19">
        <f t="shared" si="179"/>
        <v>5508173.2163771465</v>
      </c>
      <c r="AK604" s="20">
        <f t="shared" si="188"/>
        <v>0.12496215328889679</v>
      </c>
      <c r="AL604" s="17"/>
      <c r="AM604" s="17"/>
      <c r="AN604" s="17"/>
      <c r="AO604" s="17"/>
      <c r="AP604" s="28" t="str">
        <f t="shared" si="189"/>
        <v>202011</v>
      </c>
      <c r="AQ604" s="28" t="str">
        <f t="shared" si="190"/>
        <v>202011RMB</v>
      </c>
      <c r="AR604" s="206" t="str">
        <f t="shared" si="191"/>
        <v>YAMAHA_Mounter</v>
      </c>
      <c r="AS604" s="22">
        <f t="shared" si="192"/>
        <v>3</v>
      </c>
      <c r="AT604" s="24" t="str">
        <f t="shared" si="193"/>
        <v>0-3 months</v>
      </c>
      <c r="AU604" s="22" t="s">
        <v>3240</v>
      </c>
    </row>
    <row r="605" spans="1:47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8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95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78"/>
        <v>47907808.356810622</v>
      </c>
      <c r="AJ605" s="19">
        <f t="shared" si="179"/>
        <v>6027384.8806384448</v>
      </c>
      <c r="AK605" s="20">
        <f t="shared" si="188"/>
        <v>0.12581216063459488</v>
      </c>
      <c r="AL605" s="17"/>
      <c r="AM605" s="17"/>
      <c r="AN605" s="17"/>
      <c r="AO605" s="17"/>
      <c r="AP605" s="28" t="str">
        <f t="shared" si="189"/>
        <v>20209</v>
      </c>
      <c r="AQ605" s="28" t="str">
        <f t="shared" si="190"/>
        <v>20209RMB</v>
      </c>
      <c r="AR605" s="206" t="str">
        <f t="shared" si="191"/>
        <v>YAMAHA_Non_Mounter</v>
      </c>
      <c r="AS605" s="22">
        <f t="shared" si="192"/>
        <v>12</v>
      </c>
      <c r="AT605" s="24" t="str">
        <f t="shared" si="193"/>
        <v>&gt; 6 months</v>
      </c>
      <c r="AU605" s="22" t="s">
        <v>3240</v>
      </c>
    </row>
    <row r="606" spans="1:47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8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95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78"/>
        <v>44014086.982070789</v>
      </c>
      <c r="AJ606" s="19">
        <f t="shared" si="179"/>
        <v>6419974.0221889298</v>
      </c>
      <c r="AK606" s="20">
        <f t="shared" si="188"/>
        <v>0.14586180158193709</v>
      </c>
      <c r="AL606" s="17"/>
      <c r="AM606" s="17"/>
      <c r="AN606" s="17"/>
      <c r="AO606" s="17"/>
      <c r="AP606" s="28" t="str">
        <f t="shared" si="189"/>
        <v>20225</v>
      </c>
      <c r="AQ606" s="28" t="str">
        <f t="shared" si="190"/>
        <v>20225RMB</v>
      </c>
      <c r="AR606" s="206" t="str">
        <f t="shared" si="191"/>
        <v>YAMAHA_Mounter</v>
      </c>
      <c r="AS606" s="22">
        <f t="shared" si="192"/>
        <v>2</v>
      </c>
      <c r="AT606" s="24" t="str">
        <f t="shared" si="193"/>
        <v>0-3 months</v>
      </c>
      <c r="AU606" s="22" t="s">
        <v>3240</v>
      </c>
    </row>
    <row r="607" spans="1:47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8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95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78"/>
        <v>22717528.991150443</v>
      </c>
      <c r="AJ607" s="19">
        <f t="shared" si="179"/>
        <v>3947747.192555753</v>
      </c>
      <c r="AK607" s="20">
        <f t="shared" si="188"/>
        <v>0.1737753782153679</v>
      </c>
      <c r="AL607" s="17"/>
      <c r="AM607" s="17"/>
      <c r="AN607" s="17"/>
      <c r="AO607" s="17"/>
      <c r="AP607" s="28" t="str">
        <f t="shared" si="189"/>
        <v>202210</v>
      </c>
      <c r="AQ607" s="28" t="str">
        <f t="shared" si="190"/>
        <v>202210RMB</v>
      </c>
      <c r="AR607" s="206" t="str">
        <f t="shared" si="191"/>
        <v>YAMAHA_Mounter</v>
      </c>
      <c r="AS607" s="22">
        <f t="shared" si="192"/>
        <v>0</v>
      </c>
      <c r="AT607" s="24" t="str">
        <f t="shared" si="193"/>
        <v>0-3 months</v>
      </c>
      <c r="AU607" s="22" t="s">
        <v>3240</v>
      </c>
    </row>
    <row r="608" spans="1:47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8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8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95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78"/>
        <v>499582152.5142017</v>
      </c>
      <c r="AJ608" s="19">
        <f t="shared" si="179"/>
        <v>59520528.679470733</v>
      </c>
      <c r="AK608" s="20">
        <f t="shared" si="188"/>
        <v>0.11914062257814291</v>
      </c>
      <c r="AL608" s="17"/>
      <c r="AM608" s="17"/>
      <c r="AN608" s="17"/>
      <c r="AO608" s="17"/>
      <c r="AP608" s="28" t="str">
        <f t="shared" si="189"/>
        <v>CancelCANCEL</v>
      </c>
      <c r="AQ608" s="28" t="str">
        <f t="shared" si="190"/>
        <v>CancelCANCELRMB</v>
      </c>
      <c r="AR608" s="206" t="str">
        <f t="shared" si="191"/>
        <v>YAMAHA_Mounter</v>
      </c>
      <c r="AS608" s="22" t="str">
        <f t="shared" si="192"/>
        <v/>
      </c>
      <c r="AT608" s="24" t="str">
        <f t="shared" si="193"/>
        <v/>
      </c>
      <c r="AU608" s="22" t="s">
        <v>3240</v>
      </c>
    </row>
    <row r="609" spans="1:47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8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8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95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78"/>
        <v>499582152.5142017</v>
      </c>
      <c r="AJ609" s="19">
        <f t="shared" si="179"/>
        <v>59520528.679470733</v>
      </c>
      <c r="AK609" s="20">
        <f t="shared" si="188"/>
        <v>0.11914062257814291</v>
      </c>
      <c r="AL609" s="17"/>
      <c r="AM609" s="17"/>
      <c r="AN609" s="17"/>
      <c r="AO609" s="17"/>
      <c r="AP609" s="28" t="str">
        <f t="shared" si="189"/>
        <v>CancelCANCEL</v>
      </c>
      <c r="AQ609" s="28" t="str">
        <f t="shared" si="190"/>
        <v>CancelCANCELRMB</v>
      </c>
      <c r="AR609" s="206" t="str">
        <f t="shared" si="191"/>
        <v>YAMAHA_Mounter</v>
      </c>
      <c r="AS609" s="22" t="str">
        <f t="shared" si="192"/>
        <v/>
      </c>
      <c r="AT609" s="24" t="str">
        <f t="shared" si="193"/>
        <v/>
      </c>
      <c r="AU609" s="22" t="s">
        <v>3240</v>
      </c>
    </row>
    <row r="610" spans="1:47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8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95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78"/>
        <v>30573205.452778768</v>
      </c>
      <c r="AJ610" s="19">
        <f t="shared" si="179"/>
        <v>3790930.1683151261</v>
      </c>
      <c r="AK610" s="20">
        <f t="shared" si="188"/>
        <v>0.12399518179964254</v>
      </c>
      <c r="AL610" s="17"/>
      <c r="AM610" s="17"/>
      <c r="AN610" s="17"/>
      <c r="AO610" s="17"/>
      <c r="AP610" s="28" t="str">
        <f t="shared" si="189"/>
        <v>20234</v>
      </c>
      <c r="AQ610" s="28" t="str">
        <f t="shared" si="190"/>
        <v>20234RMB</v>
      </c>
      <c r="AR610" s="206" t="str">
        <f t="shared" si="191"/>
        <v>YAMAHA_Mounter</v>
      </c>
      <c r="AS610" s="22">
        <f t="shared" si="192"/>
        <v>1</v>
      </c>
      <c r="AT610" s="24" t="str">
        <f t="shared" si="193"/>
        <v>0-3 months</v>
      </c>
      <c r="AU610" s="22" t="s">
        <v>3240</v>
      </c>
    </row>
    <row r="611" spans="1:47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8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95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78"/>
        <v>13640480.497522123</v>
      </c>
      <c r="AJ611" s="19">
        <f t="shared" si="179"/>
        <v>1928605.8020906283</v>
      </c>
      <c r="AK611" s="20">
        <f t="shared" si="188"/>
        <v>0.1413884065477731</v>
      </c>
      <c r="AL611" s="17"/>
      <c r="AM611" s="17"/>
      <c r="AN611" s="17"/>
      <c r="AO611" s="17"/>
      <c r="AP611" s="28" t="str">
        <f t="shared" si="189"/>
        <v>20236</v>
      </c>
      <c r="AQ611" s="28" t="str">
        <f t="shared" si="190"/>
        <v>20236RMB</v>
      </c>
      <c r="AR611" s="206" t="str">
        <f t="shared" si="191"/>
        <v>YAMAHA_Mounter</v>
      </c>
      <c r="AS611" s="22">
        <f t="shared" si="192"/>
        <v>3</v>
      </c>
      <c r="AT611" s="24" t="str">
        <f t="shared" si="193"/>
        <v>0-3 months</v>
      </c>
      <c r="AU611" s="22" t="s">
        <v>3240</v>
      </c>
    </row>
    <row r="612" spans="1:47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8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8"/>
        <v>21241742.157380536</v>
      </c>
      <c r="AJ612" s="27">
        <f t="shared" si="179"/>
        <v>2987081.1613773629</v>
      </c>
      <c r="AK612" s="28">
        <f t="shared" si="188"/>
        <v>0.14062317201884914</v>
      </c>
      <c r="AL612" s="24"/>
      <c r="AM612" s="24"/>
      <c r="AN612" s="24"/>
      <c r="AO612" s="24"/>
      <c r="AP612" s="28" t="str">
        <f t="shared" si="189"/>
        <v>20243</v>
      </c>
      <c r="AQ612" s="28" t="str">
        <f t="shared" si="190"/>
        <v>20243RMB</v>
      </c>
      <c r="AR612" s="206" t="str">
        <f t="shared" si="191"/>
        <v>YAMAHA_Non_Mounter</v>
      </c>
      <c r="AS612" s="22">
        <f t="shared" si="192"/>
        <v>0</v>
      </c>
      <c r="AT612" s="24" t="str">
        <f t="shared" si="193"/>
        <v>0-3 months</v>
      </c>
      <c r="AU612" s="22" t="s">
        <v>3240</v>
      </c>
    </row>
    <row r="613" spans="1:47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8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96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78"/>
        <v>44078731.611185849</v>
      </c>
      <c r="AJ613" s="19">
        <f t="shared" si="179"/>
        <v>5508173.2163771465</v>
      </c>
      <c r="AK613" s="20">
        <f t="shared" si="188"/>
        <v>0.12496215328889679</v>
      </c>
      <c r="AL613" s="17"/>
      <c r="AM613" s="17"/>
      <c r="AN613" s="17"/>
      <c r="AO613" s="17"/>
      <c r="AP613" s="28" t="str">
        <f t="shared" si="189"/>
        <v>202011</v>
      </c>
      <c r="AQ613" s="28" t="str">
        <f t="shared" si="190"/>
        <v>202011RMB</v>
      </c>
      <c r="AR613" s="206" t="str">
        <f t="shared" si="191"/>
        <v>YAMAHA_Mounter</v>
      </c>
      <c r="AS613" s="22">
        <f t="shared" si="192"/>
        <v>1</v>
      </c>
      <c r="AT613" s="24" t="str">
        <f t="shared" si="193"/>
        <v>0-3 months</v>
      </c>
      <c r="AU613" s="22" t="s">
        <v>3240</v>
      </c>
    </row>
    <row r="614" spans="1:47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8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96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78"/>
        <v>44078731.611185849</v>
      </c>
      <c r="AJ614" s="19">
        <f t="shared" si="179"/>
        <v>5508173.2163771465</v>
      </c>
      <c r="AK614" s="20">
        <f t="shared" si="188"/>
        <v>0.12496215328889679</v>
      </c>
      <c r="AL614" s="17"/>
      <c r="AM614" s="17"/>
      <c r="AN614" s="17"/>
      <c r="AO614" s="17"/>
      <c r="AP614" s="28" t="str">
        <f t="shared" si="189"/>
        <v>202011</v>
      </c>
      <c r="AQ614" s="28" t="str">
        <f t="shared" si="190"/>
        <v>202011RMB</v>
      </c>
      <c r="AR614" s="206" t="str">
        <f t="shared" si="191"/>
        <v>YAMAHA_Mounter</v>
      </c>
      <c r="AS614" s="22">
        <f t="shared" si="192"/>
        <v>1</v>
      </c>
      <c r="AT614" s="24" t="str">
        <f t="shared" si="193"/>
        <v>0-3 months</v>
      </c>
      <c r="AU614" s="22" t="s">
        <v>3240</v>
      </c>
    </row>
    <row r="615" spans="1:47" s="12" customFormat="1">
      <c r="A615" s="33" t="str">
        <f t="shared" si="180"/>
        <v>cancel</v>
      </c>
      <c r="B615" s="152" t="s">
        <v>185</v>
      </c>
      <c r="C615" s="152" t="s">
        <v>185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8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8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96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78"/>
        <v>499582152.5142017</v>
      </c>
      <c r="AJ615" s="19">
        <f t="shared" si="179"/>
        <v>59520528.679470733</v>
      </c>
      <c r="AK615" s="20">
        <f t="shared" si="188"/>
        <v>0.11914062257814291</v>
      </c>
      <c r="AL615" s="17"/>
      <c r="AM615" s="17"/>
      <c r="AN615" s="17"/>
      <c r="AO615" s="17"/>
      <c r="AP615" s="28" t="str">
        <f t="shared" si="189"/>
        <v>CancelCANCEL</v>
      </c>
      <c r="AQ615" s="28" t="str">
        <f t="shared" si="190"/>
        <v>CancelCANCELRMB</v>
      </c>
      <c r="AR615" s="206" t="str">
        <f t="shared" si="191"/>
        <v>YAMAHA_Mounter</v>
      </c>
      <c r="AS615" s="22" t="str">
        <f t="shared" si="192"/>
        <v/>
      </c>
      <c r="AT615" s="24" t="str">
        <f t="shared" si="193"/>
        <v/>
      </c>
      <c r="AU615" s="22" t="s">
        <v>3240</v>
      </c>
    </row>
    <row r="616" spans="1:47" s="12" customFormat="1">
      <c r="A616" s="33" t="str">
        <f t="shared" si="180"/>
        <v>cancel</v>
      </c>
      <c r="B616" s="152" t="s">
        <v>185</v>
      </c>
      <c r="C616" s="152" t="s">
        <v>185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8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8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96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78"/>
        <v>499582152.5142017</v>
      </c>
      <c r="AJ616" s="19">
        <f t="shared" si="179"/>
        <v>59520528.679470733</v>
      </c>
      <c r="AK616" s="20">
        <f t="shared" si="188"/>
        <v>0.11914062257814291</v>
      </c>
      <c r="AL616" s="17"/>
      <c r="AM616" s="17"/>
      <c r="AN616" s="17"/>
      <c r="AO616" s="17"/>
      <c r="AP616" s="28" t="str">
        <f t="shared" si="189"/>
        <v>CancelCANCEL</v>
      </c>
      <c r="AQ616" s="28" t="str">
        <f t="shared" si="190"/>
        <v>CancelCANCELRMB</v>
      </c>
      <c r="AR616" s="206" t="str">
        <f t="shared" si="191"/>
        <v>YAMAHA_Mounter</v>
      </c>
      <c r="AS616" s="22" t="str">
        <f t="shared" si="192"/>
        <v/>
      </c>
      <c r="AT616" s="24" t="str">
        <f t="shared" si="193"/>
        <v/>
      </c>
      <c r="AU616" s="22" t="s">
        <v>3240</v>
      </c>
    </row>
    <row r="617" spans="1:47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8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96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78"/>
        <v>7502645.9971681423</v>
      </c>
      <c r="AJ617" s="19">
        <f t="shared" si="179"/>
        <v>664841.72044240718</v>
      </c>
      <c r="AK617" s="20">
        <f t="shared" si="188"/>
        <v>8.861429963420242E-2</v>
      </c>
      <c r="AL617" s="17"/>
      <c r="AM617" s="17"/>
      <c r="AN617" s="17"/>
      <c r="AO617" s="17"/>
      <c r="AP617" s="28" t="str">
        <f t="shared" si="189"/>
        <v>20231</v>
      </c>
      <c r="AQ617" s="28" t="str">
        <f t="shared" si="190"/>
        <v>20231RMB</v>
      </c>
      <c r="AR617" s="206" t="str">
        <f t="shared" si="191"/>
        <v>YAMAHA_Mounter</v>
      </c>
      <c r="AS617" s="22">
        <f t="shared" si="192"/>
        <v>3</v>
      </c>
      <c r="AT617" s="24" t="str">
        <f t="shared" si="193"/>
        <v>0-3 months</v>
      </c>
      <c r="AU617" s="22" t="s">
        <v>3240</v>
      </c>
    </row>
    <row r="618" spans="1:47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8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96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78"/>
        <v>28011162.254106201</v>
      </c>
      <c r="AJ618" s="19">
        <f t="shared" si="179"/>
        <v>3401347.1124888416</v>
      </c>
      <c r="AK618" s="20">
        <f t="shared" si="188"/>
        <v>0.12142827497242578</v>
      </c>
      <c r="AL618" s="17"/>
      <c r="AM618" s="17"/>
      <c r="AN618" s="17"/>
      <c r="AO618" s="17"/>
      <c r="AP618" s="28" t="str">
        <f t="shared" si="189"/>
        <v>202010</v>
      </c>
      <c r="AQ618" s="28" t="str">
        <f t="shared" si="190"/>
        <v>202010RMB</v>
      </c>
      <c r="AR618" s="206" t="str">
        <f t="shared" si="191"/>
        <v>SOLDERSTAR</v>
      </c>
      <c r="AS618" s="22">
        <f t="shared" si="192"/>
        <v>3</v>
      </c>
      <c r="AT618" s="24" t="str">
        <f t="shared" si="193"/>
        <v>0-3 months</v>
      </c>
      <c r="AU618" s="22" t="s">
        <v>3240</v>
      </c>
    </row>
    <row r="619" spans="1:47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8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8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78"/>
        <v>499582152.5142017</v>
      </c>
      <c r="AJ619" s="19">
        <f t="shared" si="179"/>
        <v>59520528.679470733</v>
      </c>
      <c r="AK619" s="20">
        <f t="shared" si="188"/>
        <v>0.11914062257814291</v>
      </c>
      <c r="AL619" s="17"/>
      <c r="AM619" s="17"/>
      <c r="AN619" s="17"/>
      <c r="AO619" s="17" t="s">
        <v>587</v>
      </c>
      <c r="AP619" s="28" t="str">
        <f t="shared" si="189"/>
        <v>CancelCancel</v>
      </c>
      <c r="AQ619" s="28" t="str">
        <f t="shared" si="190"/>
        <v>CancelCancelRMB</v>
      </c>
      <c r="AR619" s="206" t="str">
        <f t="shared" si="191"/>
        <v>YAMAHA_Mounter</v>
      </c>
      <c r="AS619" s="22" t="str">
        <f t="shared" si="192"/>
        <v/>
      </c>
      <c r="AT619" s="24" t="str">
        <f t="shared" si="193"/>
        <v/>
      </c>
      <c r="AU619" s="22" t="s">
        <v>3240</v>
      </c>
    </row>
    <row r="620" spans="1:47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8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78"/>
        <v>29840797.698275864</v>
      </c>
      <c r="AJ620" s="19">
        <f t="shared" si="179"/>
        <v>3940167.6555448272</v>
      </c>
      <c r="AK620" s="20">
        <f t="shared" si="188"/>
        <v>0.13203962224416277</v>
      </c>
      <c r="AL620" s="17"/>
      <c r="AM620" s="17"/>
      <c r="AN620" s="17"/>
      <c r="AO620" s="17"/>
      <c r="AP620" s="28" t="str">
        <f t="shared" si="189"/>
        <v>201812</v>
      </c>
      <c r="AQ620" s="28" t="str">
        <f t="shared" si="190"/>
        <v>201812RMB</v>
      </c>
      <c r="AR620" s="206" t="str">
        <f t="shared" si="191"/>
        <v>YAMAHA_Mounter</v>
      </c>
      <c r="AS620" s="22">
        <f t="shared" si="192"/>
        <v>7</v>
      </c>
      <c r="AT620" s="24" t="str">
        <f t="shared" si="193"/>
        <v>&gt; 6 months</v>
      </c>
      <c r="AU620" s="22" t="s">
        <v>3240</v>
      </c>
    </row>
    <row r="621" spans="1:47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8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78"/>
        <v>29840797.698275864</v>
      </c>
      <c r="AJ621" s="19">
        <f t="shared" si="179"/>
        <v>3940167.6555448272</v>
      </c>
      <c r="AK621" s="20">
        <f t="shared" si="188"/>
        <v>0.13203962224416277</v>
      </c>
      <c r="AL621" s="17"/>
      <c r="AM621" s="17"/>
      <c r="AN621" s="17"/>
      <c r="AO621" s="17"/>
      <c r="AP621" s="28" t="str">
        <f t="shared" si="189"/>
        <v>201812</v>
      </c>
      <c r="AQ621" s="28" t="str">
        <f t="shared" si="190"/>
        <v>201812RMB</v>
      </c>
      <c r="AR621" s="206" t="str">
        <f t="shared" si="191"/>
        <v>YAMAHA_Mounter</v>
      </c>
      <c r="AS621" s="22">
        <f t="shared" si="192"/>
        <v>7</v>
      </c>
      <c r="AT621" s="24" t="str">
        <f t="shared" si="193"/>
        <v>&gt; 6 months</v>
      </c>
      <c r="AU621" s="22" t="s">
        <v>3240</v>
      </c>
    </row>
    <row r="622" spans="1:47" s="12" customFormat="1">
      <c r="A622" s="33" t="str">
        <f t="shared" si="180"/>
        <v/>
      </c>
      <c r="B622" s="152" t="s">
        <v>2584</v>
      </c>
      <c r="C622" s="152" t="s">
        <v>2584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8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8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78"/>
        <v>19242877.433628317</v>
      </c>
      <c r="AJ622" s="19">
        <f t="shared" si="179"/>
        <v>2240020.1770353983</v>
      </c>
      <c r="AK622" s="20">
        <f t="shared" si="188"/>
        <v>0.11640775579232249</v>
      </c>
      <c r="AL622" s="17"/>
      <c r="AM622" s="17"/>
      <c r="AN622" s="17"/>
      <c r="AO622" s="17"/>
      <c r="AP622" s="28" t="str">
        <f t="shared" si="189"/>
        <v>TBATBA</v>
      </c>
      <c r="AQ622" s="28" t="str">
        <f t="shared" si="190"/>
        <v>TBATBARMB</v>
      </c>
      <c r="AR622" s="206" t="str">
        <f t="shared" si="191"/>
        <v>HELLER</v>
      </c>
      <c r="AS622" s="22" t="str">
        <f t="shared" si="192"/>
        <v/>
      </c>
      <c r="AT622" s="24" t="str">
        <f t="shared" si="193"/>
        <v/>
      </c>
      <c r="AU622" s="22" t="s">
        <v>3240</v>
      </c>
    </row>
    <row r="623" spans="1:47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8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78"/>
        <v>15948576.102654871</v>
      </c>
      <c r="AJ623" s="19">
        <f t="shared" si="179"/>
        <v>2739848.7004853105</v>
      </c>
      <c r="AK623" s="20">
        <f t="shared" si="188"/>
        <v>0.17179268436567344</v>
      </c>
      <c r="AL623" s="17"/>
      <c r="AM623" s="17"/>
      <c r="AN623" s="17"/>
      <c r="AO623" s="17"/>
      <c r="AP623" s="28" t="str">
        <f t="shared" si="189"/>
        <v>20229</v>
      </c>
      <c r="AQ623" s="28" t="str">
        <f t="shared" si="190"/>
        <v>20229RMB</v>
      </c>
      <c r="AR623" s="206" t="str">
        <f t="shared" si="191"/>
        <v>YAMAHA_Mounter</v>
      </c>
      <c r="AS623" s="22">
        <f t="shared" si="192"/>
        <v>3</v>
      </c>
      <c r="AT623" s="24" t="str">
        <f t="shared" si="193"/>
        <v>0-3 months</v>
      </c>
      <c r="AU623" s="22" t="s">
        <v>3240</v>
      </c>
    </row>
    <row r="624" spans="1:47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8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78"/>
        <v>15948576.102654871</v>
      </c>
      <c r="AJ624" s="19">
        <f t="shared" si="179"/>
        <v>2739848.7004853105</v>
      </c>
      <c r="AK624" s="20">
        <f t="shared" si="188"/>
        <v>0.17179268436567344</v>
      </c>
      <c r="AL624" s="17"/>
      <c r="AM624" s="17"/>
      <c r="AN624" s="17"/>
      <c r="AO624" s="17"/>
      <c r="AP624" s="28" t="str">
        <f t="shared" si="189"/>
        <v>20229</v>
      </c>
      <c r="AQ624" s="28" t="str">
        <f t="shared" si="190"/>
        <v>20229RMB</v>
      </c>
      <c r="AR624" s="206" t="str">
        <f t="shared" si="191"/>
        <v>YAMAHA_Mounter</v>
      </c>
      <c r="AS624" s="22">
        <f t="shared" si="192"/>
        <v>3</v>
      </c>
      <c r="AT624" s="24" t="str">
        <f t="shared" si="193"/>
        <v>0-3 months</v>
      </c>
      <c r="AU624" s="22" t="s">
        <v>3240</v>
      </c>
    </row>
    <row r="625" spans="1:47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8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78"/>
        <v>31017966.201968137</v>
      </c>
      <c r="AJ625" s="19">
        <f t="shared" si="179"/>
        <v>4704250.3347305888</v>
      </c>
      <c r="AK625" s="20">
        <f t="shared" si="188"/>
        <v>0.15166211427595458</v>
      </c>
      <c r="AL625" s="17"/>
      <c r="AM625" s="17"/>
      <c r="AN625" s="17"/>
      <c r="AO625" s="17"/>
      <c r="AP625" s="28" t="str">
        <f t="shared" si="189"/>
        <v>202211</v>
      </c>
      <c r="AQ625" s="28" t="str">
        <f t="shared" si="190"/>
        <v>202211RMB</v>
      </c>
      <c r="AR625" s="206" t="str">
        <f t="shared" si="191"/>
        <v>YAMAHA_Mounter</v>
      </c>
      <c r="AS625" s="22">
        <f t="shared" si="192"/>
        <v>1</v>
      </c>
      <c r="AT625" s="24" t="str">
        <f t="shared" si="193"/>
        <v>0-3 months</v>
      </c>
      <c r="AU625" s="22" t="s">
        <v>3240</v>
      </c>
    </row>
    <row r="626" spans="1:47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8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78"/>
        <v>31017966.201968137</v>
      </c>
      <c r="AJ626" s="19">
        <f t="shared" si="179"/>
        <v>4704250.3347305888</v>
      </c>
      <c r="AK626" s="20">
        <f t="shared" si="188"/>
        <v>0.15166211427595458</v>
      </c>
      <c r="AL626" s="17"/>
      <c r="AM626" s="17"/>
      <c r="AN626" s="17"/>
      <c r="AO626" s="17"/>
      <c r="AP626" s="28" t="str">
        <f t="shared" si="189"/>
        <v>202211</v>
      </c>
      <c r="AQ626" s="28" t="str">
        <f t="shared" si="190"/>
        <v>202211RMB</v>
      </c>
      <c r="AR626" s="206" t="str">
        <f t="shared" si="191"/>
        <v>YAMAHA_Mounter</v>
      </c>
      <c r="AS626" s="22">
        <f t="shared" si="192"/>
        <v>1</v>
      </c>
      <c r="AT626" s="24" t="str">
        <f t="shared" si="193"/>
        <v>0-3 months</v>
      </c>
      <c r="AU626" s="22" t="s">
        <v>3240</v>
      </c>
    </row>
    <row r="627" spans="1:47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8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78"/>
        <v>23237072.69172414</v>
      </c>
      <c r="AJ627" s="19">
        <f t="shared" si="179"/>
        <v>2402195.7372206897</v>
      </c>
      <c r="AK627" s="20">
        <f t="shared" si="188"/>
        <v>0.10337772614862238</v>
      </c>
      <c r="AL627" s="17"/>
      <c r="AM627" s="17"/>
      <c r="AN627" s="17"/>
      <c r="AO627" s="17" t="s">
        <v>61</v>
      </c>
      <c r="AP627" s="28" t="str">
        <f t="shared" si="189"/>
        <v>20191</v>
      </c>
      <c r="AQ627" s="28" t="str">
        <f t="shared" si="190"/>
        <v>20191RMB</v>
      </c>
      <c r="AR627" s="206" t="str">
        <f t="shared" si="191"/>
        <v>YAMAHA_Mounter</v>
      </c>
      <c r="AS627" s="22">
        <f t="shared" si="192"/>
        <v>6</v>
      </c>
      <c r="AT627" s="24" t="str">
        <f t="shared" si="193"/>
        <v>4-6 months</v>
      </c>
      <c r="AU627" s="22" t="s">
        <v>3240</v>
      </c>
    </row>
    <row r="628" spans="1:47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8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78"/>
        <v>23237072.69172414</v>
      </c>
      <c r="AJ628" s="19">
        <f t="shared" si="179"/>
        <v>2402195.7372206897</v>
      </c>
      <c r="AK628" s="20">
        <f t="shared" si="188"/>
        <v>0.10337772614862238</v>
      </c>
      <c r="AL628" s="17"/>
      <c r="AM628" s="17"/>
      <c r="AN628" s="17"/>
      <c r="AO628" s="17" t="s">
        <v>61</v>
      </c>
      <c r="AP628" s="28" t="str">
        <f t="shared" si="189"/>
        <v>20191</v>
      </c>
      <c r="AQ628" s="28" t="str">
        <f t="shared" si="190"/>
        <v>20191RMB</v>
      </c>
      <c r="AR628" s="206" t="str">
        <f t="shared" si="191"/>
        <v>YAMAHA_Mounter</v>
      </c>
      <c r="AS628" s="22">
        <f t="shared" si="192"/>
        <v>6</v>
      </c>
      <c r="AT628" s="24" t="str">
        <f t="shared" si="193"/>
        <v>4-6 months</v>
      </c>
      <c r="AU628" s="22" t="s">
        <v>3240</v>
      </c>
    </row>
    <row r="629" spans="1:47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8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78"/>
        <v>26147030.909862842</v>
      </c>
      <c r="AJ629" s="19">
        <f t="shared" si="179"/>
        <v>2743862.8630715334</v>
      </c>
      <c r="AK629" s="20">
        <f t="shared" si="188"/>
        <v>0.10493974908778378</v>
      </c>
      <c r="AL629" s="17"/>
      <c r="AM629" s="17"/>
      <c r="AN629" s="17"/>
      <c r="AO629" s="17"/>
      <c r="AP629" s="28" t="str">
        <f t="shared" si="189"/>
        <v>201911</v>
      </c>
      <c r="AQ629" s="28" t="str">
        <f t="shared" si="190"/>
        <v>201911RMB</v>
      </c>
      <c r="AR629" s="206" t="str">
        <f t="shared" si="191"/>
        <v>YAMAHA_Mounter</v>
      </c>
      <c r="AS629" s="22">
        <f t="shared" si="192"/>
        <v>0</v>
      </c>
      <c r="AT629" s="24" t="str">
        <f t="shared" si="193"/>
        <v>0-3 months</v>
      </c>
      <c r="AU629" s="22" t="s">
        <v>3240</v>
      </c>
    </row>
    <row r="630" spans="1:47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8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78"/>
        <v>48763143.537654862</v>
      </c>
      <c r="AJ630" s="19">
        <f t="shared" si="179"/>
        <v>5924029.9702154724</v>
      </c>
      <c r="AK630" s="20">
        <f t="shared" si="188"/>
        <v>0.1214858095774925</v>
      </c>
      <c r="AL630" s="17"/>
      <c r="AM630" s="17"/>
      <c r="AN630" s="17"/>
      <c r="AO630" s="17"/>
      <c r="AP630" s="28" t="str">
        <f t="shared" si="189"/>
        <v>202012</v>
      </c>
      <c r="AQ630" s="28" t="str">
        <f t="shared" si="190"/>
        <v>202012RMB</v>
      </c>
      <c r="AR630" s="206" t="str">
        <f t="shared" si="191"/>
        <v>YAMAHA_Mounter</v>
      </c>
      <c r="AS630" s="22">
        <f t="shared" si="192"/>
        <v>0</v>
      </c>
      <c r="AT630" s="24" t="str">
        <f t="shared" si="193"/>
        <v>0-3 months</v>
      </c>
      <c r="AU630" s="22" t="s">
        <v>3240</v>
      </c>
    </row>
    <row r="631" spans="1:47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8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8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78"/>
        <v>499582152.5142017</v>
      </c>
      <c r="AJ631" s="19">
        <f t="shared" si="179"/>
        <v>59520528.679470733</v>
      </c>
      <c r="AK631" s="20">
        <f t="shared" si="188"/>
        <v>0.11914062257814291</v>
      </c>
      <c r="AL631" s="17"/>
      <c r="AM631" s="17"/>
      <c r="AN631" s="17"/>
      <c r="AO631" s="17"/>
      <c r="AP631" s="28" t="str">
        <f t="shared" si="189"/>
        <v>CancelCancel</v>
      </c>
      <c r="AQ631" s="28" t="str">
        <f t="shared" si="190"/>
        <v>CancelCancelRMB</v>
      </c>
      <c r="AR631" s="206" t="str">
        <f t="shared" si="191"/>
        <v>YAMAHA_Mounter</v>
      </c>
      <c r="AS631" s="22" t="str">
        <f t="shared" si="192"/>
        <v/>
      </c>
      <c r="AT631" s="24" t="str">
        <f t="shared" si="193"/>
        <v/>
      </c>
      <c r="AU631" s="22" t="s">
        <v>3240</v>
      </c>
    </row>
    <row r="632" spans="1:47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8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8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78"/>
        <v>499582152.5142017</v>
      </c>
      <c r="AJ632" s="19">
        <f t="shared" si="179"/>
        <v>59520528.679470733</v>
      </c>
      <c r="AK632" s="20">
        <f t="shared" si="188"/>
        <v>0.11914062257814291</v>
      </c>
      <c r="AL632" s="17"/>
      <c r="AM632" s="17"/>
      <c r="AN632" s="17"/>
      <c r="AO632" s="17"/>
      <c r="AP632" s="28" t="str">
        <f t="shared" si="189"/>
        <v>CancelCancel</v>
      </c>
      <c r="AQ632" s="28" t="str">
        <f t="shared" si="190"/>
        <v>CancelCancelRMB</v>
      </c>
      <c r="AR632" s="206" t="str">
        <f t="shared" si="191"/>
        <v>YAMAHA_Mounter</v>
      </c>
      <c r="AS632" s="22" t="str">
        <f t="shared" si="192"/>
        <v/>
      </c>
      <c r="AT632" s="24" t="str">
        <f t="shared" si="193"/>
        <v/>
      </c>
      <c r="AU632" s="22" t="s">
        <v>3240</v>
      </c>
    </row>
    <row r="633" spans="1:47" s="12" customFormat="1">
      <c r="A633" s="33" t="str">
        <f t="shared" si="180"/>
        <v/>
      </c>
      <c r="B633" s="152" t="s">
        <v>2584</v>
      </c>
      <c r="C633" s="152" t="s">
        <v>2584</v>
      </c>
      <c r="D633" s="33" t="b">
        <f t="shared" si="18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8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8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78"/>
        <v>19242877.433628317</v>
      </c>
      <c r="AJ633" s="19">
        <f t="shared" si="179"/>
        <v>2240020.1770353983</v>
      </c>
      <c r="AK633" s="20">
        <f t="shared" si="188"/>
        <v>0.11640775579232249</v>
      </c>
      <c r="AL633" s="17"/>
      <c r="AM633" s="17"/>
      <c r="AN633" s="17"/>
      <c r="AO633" s="17"/>
      <c r="AP633" s="28" t="str">
        <f t="shared" si="189"/>
        <v>TBATBA</v>
      </c>
      <c r="AQ633" s="28" t="str">
        <f t="shared" si="190"/>
        <v>TBATBARMB</v>
      </c>
      <c r="AR633" s="206" t="str">
        <f t="shared" si="191"/>
        <v>YAMAHA_Mounter</v>
      </c>
      <c r="AS633" s="22" t="str">
        <f t="shared" si="192"/>
        <v/>
      </c>
      <c r="AT633" s="24" t="str">
        <f t="shared" si="193"/>
        <v/>
      </c>
      <c r="AU633" s="22" t="s">
        <v>3240</v>
      </c>
    </row>
    <row r="634" spans="1:47" s="12" customFormat="1">
      <c r="A634" s="33" t="str">
        <f t="shared" si="180"/>
        <v/>
      </c>
      <c r="B634" s="152" t="s">
        <v>2584</v>
      </c>
      <c r="C634" s="152" t="s">
        <v>2584</v>
      </c>
      <c r="D634" s="33" t="b">
        <f t="shared" si="18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8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8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78"/>
        <v>19242877.433628317</v>
      </c>
      <c r="AJ634" s="19">
        <f t="shared" si="179"/>
        <v>2240020.1770353983</v>
      </c>
      <c r="AK634" s="20">
        <f t="shared" si="188"/>
        <v>0.11640775579232249</v>
      </c>
      <c r="AL634" s="17"/>
      <c r="AM634" s="17"/>
      <c r="AN634" s="17"/>
      <c r="AO634" s="17"/>
      <c r="AP634" s="28" t="str">
        <f t="shared" si="189"/>
        <v>TBATBA</v>
      </c>
      <c r="AQ634" s="28" t="str">
        <f t="shared" si="190"/>
        <v>TBATBARMB</v>
      </c>
      <c r="AR634" s="206" t="str">
        <f t="shared" si="191"/>
        <v>YAMAHA_Mounter</v>
      </c>
      <c r="AS634" s="22" t="str">
        <f t="shared" si="192"/>
        <v/>
      </c>
      <c r="AT634" s="24" t="str">
        <f t="shared" si="193"/>
        <v/>
      </c>
      <c r="AU634" s="22" t="s">
        <v>3240</v>
      </c>
    </row>
    <row r="635" spans="1:47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8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78"/>
        <v>32843736.557277881</v>
      </c>
      <c r="AJ635" s="19">
        <f t="shared" si="179"/>
        <v>3921470.6822663117</v>
      </c>
      <c r="AK635" s="20">
        <f t="shared" si="188"/>
        <v>0.11939782416131177</v>
      </c>
      <c r="AL635" s="17"/>
      <c r="AM635" s="17"/>
      <c r="AN635" s="17"/>
      <c r="AO635" s="17"/>
      <c r="AP635" s="28" t="str">
        <f t="shared" si="189"/>
        <v>20194</v>
      </c>
      <c r="AQ635" s="28" t="str">
        <f t="shared" si="190"/>
        <v>20194JPY</v>
      </c>
      <c r="AR635" s="206" t="str">
        <f t="shared" si="191"/>
        <v>YAMAHA_Mounter</v>
      </c>
      <c r="AS635" s="22">
        <f t="shared" si="192"/>
        <v>0</v>
      </c>
      <c r="AT635" s="24" t="str">
        <f t="shared" si="193"/>
        <v>0-3 months</v>
      </c>
      <c r="AU635" s="22" t="s">
        <v>3744</v>
      </c>
    </row>
    <row r="636" spans="1:47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8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78"/>
        <v>47416008.333399981</v>
      </c>
      <c r="AJ636" s="19">
        <f t="shared" si="179"/>
        <v>6981738.4465290187</v>
      </c>
      <c r="AK636" s="20">
        <f t="shared" si="188"/>
        <v>0.14724433143839863</v>
      </c>
      <c r="AL636" s="17"/>
      <c r="AM636" s="17"/>
      <c r="AN636" s="17"/>
      <c r="AO636" s="17"/>
      <c r="AP636" s="28" t="str">
        <f t="shared" si="189"/>
        <v>20193</v>
      </c>
      <c r="AQ636" s="28" t="str">
        <f t="shared" si="190"/>
        <v>20193JPY</v>
      </c>
      <c r="AR636" s="206" t="str">
        <f t="shared" si="191"/>
        <v>YAMAHA_Mounter</v>
      </c>
      <c r="AS636" s="22">
        <f t="shared" si="192"/>
        <v>5</v>
      </c>
      <c r="AT636" s="24" t="str">
        <f t="shared" si="193"/>
        <v>4-6 months</v>
      </c>
      <c r="AU636" s="22" t="s">
        <v>3744</v>
      </c>
    </row>
    <row r="637" spans="1:47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8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78"/>
        <v>47416008.333399981</v>
      </c>
      <c r="AJ637" s="19">
        <f t="shared" si="179"/>
        <v>6981738.4465290187</v>
      </c>
      <c r="AK637" s="20">
        <f t="shared" si="188"/>
        <v>0.14724433143839863</v>
      </c>
      <c r="AL637" s="17"/>
      <c r="AM637" s="17"/>
      <c r="AN637" s="17"/>
      <c r="AO637" s="17"/>
      <c r="AP637" s="28" t="str">
        <f t="shared" si="189"/>
        <v>20193</v>
      </c>
      <c r="AQ637" s="28" t="str">
        <f t="shared" si="190"/>
        <v>20193JPY</v>
      </c>
      <c r="AR637" s="206" t="str">
        <f t="shared" si="191"/>
        <v>YAMAHA_Mounter</v>
      </c>
      <c r="AS637" s="22">
        <f t="shared" si="192"/>
        <v>5</v>
      </c>
      <c r="AT637" s="24" t="str">
        <f t="shared" si="193"/>
        <v>4-6 months</v>
      </c>
      <c r="AU637" s="22" t="s">
        <v>3744</v>
      </c>
    </row>
    <row r="638" spans="1:47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8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78"/>
        <v>57778307.282035396</v>
      </c>
      <c r="AJ638" s="19">
        <f t="shared" si="179"/>
        <v>7259860.7225420559</v>
      </c>
      <c r="AK638" s="20">
        <f t="shared" si="188"/>
        <v>0.12565028406083667</v>
      </c>
      <c r="AL638" s="17"/>
      <c r="AM638" s="17"/>
      <c r="AN638" s="17"/>
      <c r="AO638" s="17"/>
      <c r="AP638" s="28" t="str">
        <f t="shared" si="189"/>
        <v>20213</v>
      </c>
      <c r="AQ638" s="28" t="str">
        <f t="shared" si="190"/>
        <v>20213JPY</v>
      </c>
      <c r="AR638" s="206" t="str">
        <f t="shared" si="191"/>
        <v>YAMAHA_Mounter</v>
      </c>
      <c r="AS638" s="22">
        <f t="shared" si="192"/>
        <v>4</v>
      </c>
      <c r="AT638" s="24" t="str">
        <f t="shared" si="193"/>
        <v>4-6 months</v>
      </c>
      <c r="AU638" s="22" t="s">
        <v>3744</v>
      </c>
    </row>
    <row r="639" spans="1:47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8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78"/>
        <v>57778307.282035396</v>
      </c>
      <c r="AJ639" s="19">
        <f t="shared" si="179"/>
        <v>7259860.7225420559</v>
      </c>
      <c r="AK639" s="20">
        <f t="shared" si="188"/>
        <v>0.12565028406083667</v>
      </c>
      <c r="AL639" s="17"/>
      <c r="AM639" s="17"/>
      <c r="AN639" s="17"/>
      <c r="AO639" s="17"/>
      <c r="AP639" s="28" t="str">
        <f t="shared" si="189"/>
        <v>20213</v>
      </c>
      <c r="AQ639" s="28" t="str">
        <f t="shared" si="190"/>
        <v>20213JPY</v>
      </c>
      <c r="AR639" s="206" t="str">
        <f t="shared" si="191"/>
        <v>YAMAHA_Mounter</v>
      </c>
      <c r="AS639" s="22">
        <f t="shared" si="192"/>
        <v>4</v>
      </c>
      <c r="AT639" s="24" t="str">
        <f t="shared" si="193"/>
        <v>4-6 months</v>
      </c>
      <c r="AU639" s="22" t="s">
        <v>3744</v>
      </c>
    </row>
    <row r="640" spans="1:47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8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78"/>
        <v>29183109.05575221</v>
      </c>
      <c r="AJ640" s="19">
        <f t="shared" si="179"/>
        <v>3741266.5648721238</v>
      </c>
      <c r="AK640" s="20">
        <f t="shared" si="188"/>
        <v>0.12819972531798121</v>
      </c>
      <c r="AL640" s="17"/>
      <c r="AM640" s="17"/>
      <c r="AN640" s="17"/>
      <c r="AO640" s="17"/>
      <c r="AP640" s="28" t="str">
        <f t="shared" si="189"/>
        <v>20206</v>
      </c>
      <c r="AQ640" s="28" t="str">
        <f t="shared" si="190"/>
        <v>20206RMB</v>
      </c>
      <c r="AR640" s="206" t="str">
        <f t="shared" si="191"/>
        <v>YAMAHA_Mounter</v>
      </c>
      <c r="AS640" s="22">
        <f t="shared" si="192"/>
        <v>0</v>
      </c>
      <c r="AT640" s="24" t="str">
        <f t="shared" si="193"/>
        <v>0-3 months</v>
      </c>
      <c r="AU640" s="22" t="s">
        <v>3240</v>
      </c>
    </row>
    <row r="641" spans="1:47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8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78"/>
        <v>29183109.05575221</v>
      </c>
      <c r="AJ641" s="19">
        <f t="shared" si="179"/>
        <v>3741266.5648721238</v>
      </c>
      <c r="AK641" s="20">
        <f t="shared" si="188"/>
        <v>0.12819972531798121</v>
      </c>
      <c r="AL641" s="17"/>
      <c r="AM641" s="17"/>
      <c r="AN641" s="17"/>
      <c r="AO641" s="17"/>
      <c r="AP641" s="28" t="str">
        <f t="shared" si="189"/>
        <v>20206</v>
      </c>
      <c r="AQ641" s="28" t="str">
        <f t="shared" si="190"/>
        <v>20206RMB</v>
      </c>
      <c r="AR641" s="206" t="str">
        <f t="shared" si="191"/>
        <v>YAMAHA_Mounter</v>
      </c>
      <c r="AS641" s="22">
        <f t="shared" si="192"/>
        <v>0</v>
      </c>
      <c r="AT641" s="24" t="str">
        <f t="shared" si="193"/>
        <v>0-3 months</v>
      </c>
      <c r="AU641" s="22" t="s">
        <v>3240</v>
      </c>
    </row>
    <row r="642" spans="1:47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8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97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ref="AI642:AI705" si="198">IF(P642="C66 SERVICE","",SUMIFS(AB:AB,F:F,F642,G:G,G642,E:E,E642))</f>
        <v>13640480.497522123</v>
      </c>
      <c r="AJ642" s="19">
        <f t="shared" ref="AJ642:AJ705" si="199">IF(P642="C66 SERVICE","",SUMIFS(AC:AC,F:F,F642,G:G,G642,E:E,E642))</f>
        <v>1928605.8020906283</v>
      </c>
      <c r="AK642" s="20">
        <f t="shared" si="188"/>
        <v>0.1413884065477731</v>
      </c>
      <c r="AL642" s="17"/>
      <c r="AM642" s="17"/>
      <c r="AN642" s="17"/>
      <c r="AO642" s="17"/>
      <c r="AP642" s="28" t="str">
        <f t="shared" si="189"/>
        <v>20236</v>
      </c>
      <c r="AQ642" s="28" t="str">
        <f t="shared" si="190"/>
        <v>20236RMB</v>
      </c>
      <c r="AR642" s="206" t="str">
        <f t="shared" si="191"/>
        <v>YAMAHA_Mounter</v>
      </c>
      <c r="AS642" s="22">
        <f t="shared" si="192"/>
        <v>2</v>
      </c>
      <c r="AT642" s="24" t="str">
        <f t="shared" si="193"/>
        <v>0-3 months</v>
      </c>
      <c r="AU642" s="22" t="s">
        <v>3750</v>
      </c>
    </row>
    <row r="643" spans="1:47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8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97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98"/>
        <v>13640480.497522123</v>
      </c>
      <c r="AJ643" s="19">
        <f t="shared" si="199"/>
        <v>1928605.8020906283</v>
      </c>
      <c r="AK643" s="20">
        <f t="shared" si="188"/>
        <v>0.1413884065477731</v>
      </c>
      <c r="AL643" s="17"/>
      <c r="AM643" s="17"/>
      <c r="AN643" s="17"/>
      <c r="AO643" s="17"/>
      <c r="AP643" s="28" t="str">
        <f t="shared" si="189"/>
        <v>20236</v>
      </c>
      <c r="AQ643" s="28" t="str">
        <f t="shared" si="190"/>
        <v>20236RMB</v>
      </c>
      <c r="AR643" s="206" t="str">
        <f t="shared" si="191"/>
        <v>YAMAHA_Mounter</v>
      </c>
      <c r="AS643" s="22">
        <f t="shared" si="192"/>
        <v>2</v>
      </c>
      <c r="AT643" s="24" t="str">
        <f t="shared" si="193"/>
        <v>0-3 months</v>
      </c>
      <c r="AU643" s="22" t="s">
        <v>3750</v>
      </c>
    </row>
    <row r="644" spans="1:47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8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97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98"/>
        <v>7502645.9971681423</v>
      </c>
      <c r="AJ644" s="19">
        <f t="shared" si="199"/>
        <v>664841.72044240718</v>
      </c>
      <c r="AK644" s="20">
        <f t="shared" si="188"/>
        <v>8.861429963420242E-2</v>
      </c>
      <c r="AL644" s="17"/>
      <c r="AM644" s="17"/>
      <c r="AN644" s="17"/>
      <c r="AO644" s="17"/>
      <c r="AP644" s="28" t="str">
        <f t="shared" si="189"/>
        <v>20231</v>
      </c>
      <c r="AQ644" s="28" t="str">
        <f t="shared" si="190"/>
        <v>20231RMB</v>
      </c>
      <c r="AR644" s="206" t="str">
        <f t="shared" si="191"/>
        <v>YAMAHA_Mounter</v>
      </c>
      <c r="AS644" s="22">
        <f t="shared" si="192"/>
        <v>1</v>
      </c>
      <c r="AT644" s="24" t="str">
        <f t="shared" si="193"/>
        <v>0-3 months</v>
      </c>
      <c r="AU644" s="22" t="s">
        <v>3240</v>
      </c>
    </row>
    <row r="645" spans="1:47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8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97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98"/>
        <v>7502645.9971681423</v>
      </c>
      <c r="AJ645" s="19">
        <f t="shared" si="199"/>
        <v>664841.72044240718</v>
      </c>
      <c r="AK645" s="20">
        <f t="shared" si="188"/>
        <v>8.861429963420242E-2</v>
      </c>
      <c r="AL645" s="17"/>
      <c r="AM645" s="17"/>
      <c r="AN645" s="17"/>
      <c r="AO645" s="17"/>
      <c r="AP645" s="28" t="str">
        <f t="shared" si="189"/>
        <v>20231</v>
      </c>
      <c r="AQ645" s="28" t="str">
        <f t="shared" si="190"/>
        <v>20231RMB</v>
      </c>
      <c r="AR645" s="206" t="str">
        <f t="shared" si="191"/>
        <v>YAMAHA_Mounter</v>
      </c>
      <c r="AS645" s="22">
        <f t="shared" si="192"/>
        <v>1</v>
      </c>
      <c r="AT645" s="24" t="str">
        <f t="shared" si="193"/>
        <v>0-3 months</v>
      </c>
      <c r="AU645" s="22" t="s">
        <v>3240</v>
      </c>
    </row>
    <row r="646" spans="1:47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97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si="198"/>
        <v>7502645.9971681423</v>
      </c>
      <c r="AJ646" s="19">
        <f t="shared" si="199"/>
        <v>664841.72044240718</v>
      </c>
      <c r="AK646" s="20">
        <f t="shared" ref="AK646:AK709" si="208">IF(AJ646&gt;0,AJ646/AI646,"")</f>
        <v>8.861429963420242E-2</v>
      </c>
      <c r="AL646" s="17"/>
      <c r="AM646" s="17"/>
      <c r="AN646" s="17"/>
      <c r="AO646" s="17"/>
      <c r="AP646" s="28" t="str">
        <f t="shared" ref="AP646:AP709" si="209">IF(F646="","",F646&amp;G646)</f>
        <v>20231</v>
      </c>
      <c r="AQ646" s="28" t="str">
        <f t="shared" ref="AQ646:AQ709" si="210">IF(W646="","",F646&amp;G646&amp;W646)</f>
        <v>20231RMB</v>
      </c>
      <c r="AR646" s="206" t="str">
        <f t="shared" ref="AR646:AR709" si="211">IFERROR(IF(AND(M646="YAMAHA", R646="C28"), "YAMAHA_Non_Mounter", IF(AND(M646="YAMAHA", R646="C49"), "YAMAHA_Mounter", M646)),"")</f>
        <v>YAMAHA_Mounter</v>
      </c>
      <c r="AS646" s="22">
        <f t="shared" ref="AS646:AS709" si="212">IFERROR(IF(OR(G646="TBA", G646=""), "", DATEDIF(DATE(B646, C646, 1), DATE(F646, G646, 1), "M")),"")</f>
        <v>1</v>
      </c>
      <c r="AT646" s="24" t="str">
        <f t="shared" ref="AT646:AT709" si="213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203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97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198"/>
        <v>41443303.53761062</v>
      </c>
      <c r="AJ647" s="19">
        <f t="shared" si="199"/>
        <v>6194988.76643031</v>
      </c>
      <c r="AK647" s="20">
        <f t="shared" si="208"/>
        <v>0.1494810557466355</v>
      </c>
      <c r="AL647" s="17"/>
      <c r="AM647" s="17"/>
      <c r="AN647" s="17"/>
      <c r="AO647" s="17"/>
      <c r="AP647" s="28" t="str">
        <f t="shared" si="209"/>
        <v>20217</v>
      </c>
      <c r="AQ647" s="28" t="str">
        <f t="shared" si="210"/>
        <v>20217RMB</v>
      </c>
      <c r="AR647" s="206" t="str">
        <f t="shared" si="211"/>
        <v>YAMAHA_Mounter</v>
      </c>
      <c r="AS647" s="22">
        <f t="shared" si="212"/>
        <v>3</v>
      </c>
      <c r="AT647" s="24" t="str">
        <f t="shared" si="213"/>
        <v>0-3 months</v>
      </c>
      <c r="AU647" s="22" t="s">
        <v>3240</v>
      </c>
    </row>
    <row r="648" spans="1:47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203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97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198"/>
        <v>33543315.897345133</v>
      </c>
      <c r="AJ648" s="19">
        <f t="shared" si="199"/>
        <v>4706169.3252984071</v>
      </c>
      <c r="AK648" s="20">
        <f t="shared" si="208"/>
        <v>0.14030125523967318</v>
      </c>
      <c r="AL648" s="17"/>
      <c r="AM648" s="17"/>
      <c r="AN648" s="17"/>
      <c r="AO648" s="17"/>
      <c r="AP648" s="28" t="str">
        <f t="shared" si="209"/>
        <v>20233</v>
      </c>
      <c r="AQ648" s="28" t="str">
        <f t="shared" si="210"/>
        <v>20233RMB</v>
      </c>
      <c r="AR648" s="206" t="str">
        <f t="shared" si="211"/>
        <v>YAMAHA_Mounter</v>
      </c>
      <c r="AS648" s="22">
        <f t="shared" si="212"/>
        <v>1</v>
      </c>
      <c r="AT648" s="24" t="str">
        <f t="shared" si="213"/>
        <v>0-3 months</v>
      </c>
      <c r="AU648" s="22" t="s">
        <v>3240</v>
      </c>
    </row>
    <row r="649" spans="1:47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203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97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198"/>
        <v>15951056.41591504</v>
      </c>
      <c r="AJ649" s="19">
        <f t="shared" si="199"/>
        <v>1966354.6022462982</v>
      </c>
      <c r="AK649" s="20">
        <f t="shared" si="208"/>
        <v>0.12327425538313459</v>
      </c>
      <c r="AL649" s="17"/>
      <c r="AM649" s="17"/>
      <c r="AN649" s="17"/>
      <c r="AO649" s="17"/>
      <c r="AP649" s="28" t="str">
        <f t="shared" si="209"/>
        <v>20237</v>
      </c>
      <c r="AQ649" s="28" t="str">
        <f t="shared" si="210"/>
        <v>20237RMB</v>
      </c>
      <c r="AR649" s="206" t="str">
        <f t="shared" si="211"/>
        <v>YAMAHA_Mounter</v>
      </c>
      <c r="AS649" s="22">
        <f t="shared" si="212"/>
        <v>0</v>
      </c>
      <c r="AT649" s="24" t="str">
        <f t="shared" si="213"/>
        <v>0-3 months</v>
      </c>
      <c r="AU649" s="22" t="s">
        <v>3240</v>
      </c>
    </row>
    <row r="650" spans="1:47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203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97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198"/>
        <v>22953677.784070797</v>
      </c>
      <c r="AJ650" s="19">
        <f t="shared" si="199"/>
        <v>4168706.6744155753</v>
      </c>
      <c r="AK650" s="20">
        <f t="shared" si="208"/>
        <v>0.18161388835511752</v>
      </c>
      <c r="AL650" s="17"/>
      <c r="AM650" s="17"/>
      <c r="AN650" s="17"/>
      <c r="AO650" s="17"/>
      <c r="AP650" s="28" t="str">
        <f t="shared" si="209"/>
        <v>20238</v>
      </c>
      <c r="AQ650" s="28" t="str">
        <f t="shared" si="210"/>
        <v>20238RMB</v>
      </c>
      <c r="AR650" s="206" t="str">
        <f t="shared" si="211"/>
        <v>YAMAHA_Mounter</v>
      </c>
      <c r="AS650" s="22">
        <f t="shared" si="212"/>
        <v>1</v>
      </c>
      <c r="AT650" s="24" t="str">
        <f t="shared" si="213"/>
        <v>0-3 months</v>
      </c>
      <c r="AU650" s="22" t="s">
        <v>3240</v>
      </c>
    </row>
    <row r="651" spans="1:47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203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8"/>
        <v>20319282.700884953</v>
      </c>
      <c r="AJ651" s="27">
        <f t="shared" si="199"/>
        <v>2408851.9638623013</v>
      </c>
      <c r="AK651" s="28">
        <f t="shared" si="208"/>
        <v>0.11855004919821259</v>
      </c>
      <c r="AL651" s="24"/>
      <c r="AM651" s="24"/>
      <c r="AN651" s="24"/>
      <c r="AO651" s="24"/>
      <c r="AP651" s="28" t="str">
        <f t="shared" si="209"/>
        <v>20244</v>
      </c>
      <c r="AQ651" s="28" t="str">
        <f t="shared" si="210"/>
        <v>20244RMB</v>
      </c>
      <c r="AR651" s="206" t="str">
        <f t="shared" si="211"/>
        <v>HELLER</v>
      </c>
      <c r="AS651" s="22">
        <f t="shared" si="212"/>
        <v>1</v>
      </c>
      <c r="AT651" s="24" t="str">
        <f t="shared" si="213"/>
        <v>0-3 months</v>
      </c>
      <c r="AU651" s="22" t="s">
        <v>3750</v>
      </c>
    </row>
    <row r="652" spans="1:47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203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198"/>
        <v>33543315.897345133</v>
      </c>
      <c r="AJ652" s="19">
        <f t="shared" si="199"/>
        <v>4706169.3252984071</v>
      </c>
      <c r="AK652" s="20">
        <f t="shared" si="208"/>
        <v>0.14030125523967318</v>
      </c>
      <c r="AL652" s="17"/>
      <c r="AM652" s="17"/>
      <c r="AN652" s="17"/>
      <c r="AO652" s="17"/>
      <c r="AP652" s="28" t="str">
        <f t="shared" si="209"/>
        <v>20233</v>
      </c>
      <c r="AQ652" s="28" t="str">
        <f t="shared" si="210"/>
        <v>20233RMB</v>
      </c>
      <c r="AR652" s="206" t="str">
        <f t="shared" si="211"/>
        <v>YAMAHA_Mounter</v>
      </c>
      <c r="AS652" s="22">
        <f t="shared" si="212"/>
        <v>1</v>
      </c>
      <c r="AT652" s="24" t="str">
        <f t="shared" si="213"/>
        <v>0-3 months</v>
      </c>
      <c r="AU652" s="22" t="s">
        <v>3750</v>
      </c>
    </row>
    <row r="653" spans="1:47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203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198"/>
        <v>24398045.86045352</v>
      </c>
      <c r="AJ653" s="19">
        <f t="shared" si="199"/>
        <v>3478417.4064663448</v>
      </c>
      <c r="AK653" s="20">
        <f t="shared" si="208"/>
        <v>0.14256950849102498</v>
      </c>
      <c r="AL653" s="17"/>
      <c r="AM653" s="17"/>
      <c r="AN653" s="17"/>
      <c r="AO653" s="17"/>
      <c r="AP653" s="28" t="str">
        <f t="shared" si="209"/>
        <v>20186</v>
      </c>
      <c r="AQ653" s="28" t="str">
        <f t="shared" si="210"/>
        <v>20186RMB</v>
      </c>
      <c r="AR653" s="206" t="str">
        <f t="shared" si="211"/>
        <v>SOLDERSTAR</v>
      </c>
      <c r="AS653" s="22">
        <f t="shared" si="212"/>
        <v>1</v>
      </c>
      <c r="AT653" s="24" t="str">
        <f t="shared" si="213"/>
        <v>0-3 months</v>
      </c>
      <c r="AU653" s="22" t="s">
        <v>3240</v>
      </c>
    </row>
    <row r="654" spans="1:47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203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198"/>
        <v>24398045.86045352</v>
      </c>
      <c r="AJ654" s="19">
        <f t="shared" si="199"/>
        <v>3478417.4064663448</v>
      </c>
      <c r="AK654" s="20">
        <f t="shared" si="208"/>
        <v>0.14256950849102498</v>
      </c>
      <c r="AL654" s="17"/>
      <c r="AM654" s="17"/>
      <c r="AN654" s="17"/>
      <c r="AO654" s="17"/>
      <c r="AP654" s="28" t="str">
        <f t="shared" si="209"/>
        <v>20186</v>
      </c>
      <c r="AQ654" s="28" t="str">
        <f t="shared" si="210"/>
        <v>20186RMB</v>
      </c>
      <c r="AR654" s="206" t="str">
        <f t="shared" si="211"/>
        <v>SOLDERSTAR</v>
      </c>
      <c r="AS654" s="22">
        <f t="shared" si="212"/>
        <v>1</v>
      </c>
      <c r="AT654" s="24" t="str">
        <f t="shared" si="213"/>
        <v>0-3 months</v>
      </c>
      <c r="AU654" s="22" t="s">
        <v>3240</v>
      </c>
    </row>
    <row r="655" spans="1:47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203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198"/>
        <v>26407088.359292038</v>
      </c>
      <c r="AJ655" s="19">
        <f t="shared" si="199"/>
        <v>3424510.6998470789</v>
      </c>
      <c r="AK655" s="20">
        <f t="shared" si="208"/>
        <v>0.12968149510667554</v>
      </c>
      <c r="AL655" s="17"/>
      <c r="AM655" s="17"/>
      <c r="AN655" s="17"/>
      <c r="AO655" s="17"/>
      <c r="AP655" s="28" t="str">
        <f t="shared" si="209"/>
        <v>20221</v>
      </c>
      <c r="AQ655" s="28" t="str">
        <f t="shared" si="210"/>
        <v>20221RMB</v>
      </c>
      <c r="AR655" s="206" t="str">
        <f t="shared" si="211"/>
        <v>YAMAHA_Mounter</v>
      </c>
      <c r="AS655" s="22">
        <f t="shared" si="212"/>
        <v>7</v>
      </c>
      <c r="AT655" s="24" t="str">
        <f t="shared" si="213"/>
        <v>&gt; 6 months</v>
      </c>
      <c r="AU655" s="22" t="s">
        <v>3240</v>
      </c>
    </row>
    <row r="656" spans="1:47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203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198"/>
        <v>37969334.083628319</v>
      </c>
      <c r="AJ656" s="19">
        <f t="shared" si="199"/>
        <v>5097226.4551657084</v>
      </c>
      <c r="AK656" s="20">
        <f t="shared" si="208"/>
        <v>0.13424587441904964</v>
      </c>
      <c r="AL656" s="17"/>
      <c r="AM656" s="17"/>
      <c r="AN656" s="17"/>
      <c r="AO656" s="17"/>
      <c r="AP656" s="28" t="str">
        <f t="shared" si="209"/>
        <v>20208</v>
      </c>
      <c r="AQ656" s="28" t="str">
        <f t="shared" si="210"/>
        <v>20208RMB</v>
      </c>
      <c r="AR656" s="206" t="str">
        <f t="shared" si="211"/>
        <v>YAMAHA_Mounter</v>
      </c>
      <c r="AS656" s="22">
        <f t="shared" si="212"/>
        <v>1</v>
      </c>
      <c r="AT656" s="24" t="str">
        <f t="shared" si="213"/>
        <v>0-3 months</v>
      </c>
      <c r="AU656" s="22" t="s">
        <v>3240</v>
      </c>
    </row>
    <row r="657" spans="1:47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203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198"/>
        <v>37969334.083628319</v>
      </c>
      <c r="AJ657" s="19">
        <f t="shared" si="199"/>
        <v>5097226.4551657084</v>
      </c>
      <c r="AK657" s="20">
        <f t="shared" si="208"/>
        <v>0.13424587441904964</v>
      </c>
      <c r="AL657" s="17"/>
      <c r="AM657" s="17"/>
      <c r="AN657" s="17"/>
      <c r="AO657" s="17"/>
      <c r="AP657" s="28" t="str">
        <f t="shared" si="209"/>
        <v>20208</v>
      </c>
      <c r="AQ657" s="28" t="str">
        <f t="shared" si="210"/>
        <v>20208RMB</v>
      </c>
      <c r="AR657" s="206" t="str">
        <f t="shared" si="211"/>
        <v>YAMAHA_Mounter</v>
      </c>
      <c r="AS657" s="22">
        <f t="shared" si="212"/>
        <v>2</v>
      </c>
      <c r="AT657" s="24" t="str">
        <f t="shared" si="213"/>
        <v>0-3 months</v>
      </c>
      <c r="AU657" s="22" t="s">
        <v>3240</v>
      </c>
    </row>
    <row r="658" spans="1:47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203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198"/>
        <v>37969334.083628319</v>
      </c>
      <c r="AJ658" s="19">
        <f t="shared" si="199"/>
        <v>5097226.4551657084</v>
      </c>
      <c r="AK658" s="20">
        <f t="shared" si="208"/>
        <v>0.13424587441904964</v>
      </c>
      <c r="AL658" s="17"/>
      <c r="AM658" s="17"/>
      <c r="AN658" s="17"/>
      <c r="AO658" s="17"/>
      <c r="AP658" s="28" t="str">
        <f t="shared" si="209"/>
        <v>20208</v>
      </c>
      <c r="AQ658" s="28" t="str">
        <f t="shared" si="210"/>
        <v>20208RMB</v>
      </c>
      <c r="AR658" s="206" t="str">
        <f t="shared" si="211"/>
        <v>YAMAHA_Mounter</v>
      </c>
      <c r="AS658" s="22">
        <f t="shared" si="212"/>
        <v>2</v>
      </c>
      <c r="AT658" s="24" t="str">
        <f t="shared" si="213"/>
        <v>0-3 months</v>
      </c>
      <c r="AU658" s="22" t="s">
        <v>3240</v>
      </c>
    </row>
    <row r="659" spans="1:47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203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198"/>
        <v>46600814.041769907</v>
      </c>
      <c r="AJ659" s="19">
        <f t="shared" si="199"/>
        <v>5956366.3435927071</v>
      </c>
      <c r="AK659" s="20">
        <f t="shared" si="208"/>
        <v>0.1278167874546958</v>
      </c>
      <c r="AL659" s="17"/>
      <c r="AM659" s="17"/>
      <c r="AN659" s="17"/>
      <c r="AO659" s="17"/>
      <c r="AP659" s="28" t="str">
        <f t="shared" si="209"/>
        <v>20224</v>
      </c>
      <c r="AQ659" s="28" t="str">
        <f t="shared" si="210"/>
        <v>20224RMB</v>
      </c>
      <c r="AR659" s="206" t="str">
        <f t="shared" si="211"/>
        <v>YAMAHA_Mounter</v>
      </c>
      <c r="AS659" s="22">
        <f t="shared" si="212"/>
        <v>7</v>
      </c>
      <c r="AT659" s="24" t="str">
        <f t="shared" si="213"/>
        <v>&gt; 6 months</v>
      </c>
      <c r="AU659" s="22" t="s">
        <v>3240</v>
      </c>
    </row>
    <row r="660" spans="1:47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203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198"/>
        <v>45803245.025628321</v>
      </c>
      <c r="AJ660" s="19">
        <f t="shared" si="199"/>
        <v>5664636.2584379362</v>
      </c>
      <c r="AK660" s="20">
        <f t="shared" si="208"/>
        <v>0.12367325186825515</v>
      </c>
      <c r="AL660" s="17"/>
      <c r="AM660" s="17"/>
      <c r="AN660" s="17"/>
      <c r="AO660" s="17"/>
      <c r="AP660" s="28" t="str">
        <f t="shared" si="209"/>
        <v>20211</v>
      </c>
      <c r="AQ660" s="28" t="str">
        <f t="shared" si="210"/>
        <v>20211RMB</v>
      </c>
      <c r="AR660" s="206" t="str">
        <f t="shared" si="211"/>
        <v>YAMAHA_Mounter</v>
      </c>
      <c r="AS660" s="22">
        <f t="shared" si="212"/>
        <v>2</v>
      </c>
      <c r="AT660" s="24" t="str">
        <f t="shared" si="213"/>
        <v>0-3 months</v>
      </c>
      <c r="AU660" s="22" t="s">
        <v>3240</v>
      </c>
    </row>
    <row r="661" spans="1:47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203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198"/>
        <v>44078731.611185849</v>
      </c>
      <c r="AJ661" s="19">
        <f t="shared" si="199"/>
        <v>5508173.2163771465</v>
      </c>
      <c r="AK661" s="20">
        <f t="shared" si="208"/>
        <v>0.12496215328889679</v>
      </c>
      <c r="AL661" s="17"/>
      <c r="AM661" s="17"/>
      <c r="AN661" s="17"/>
      <c r="AO661" s="17"/>
      <c r="AP661" s="28" t="str">
        <f t="shared" si="209"/>
        <v>202011</v>
      </c>
      <c r="AQ661" s="28" t="str">
        <f t="shared" si="210"/>
        <v>202011RMB</v>
      </c>
      <c r="AR661" s="206" t="str">
        <f t="shared" si="211"/>
        <v>YAMAHA_Mounter</v>
      </c>
      <c r="AS661" s="22">
        <f t="shared" si="212"/>
        <v>2</v>
      </c>
      <c r="AT661" s="24" t="str">
        <f t="shared" si="213"/>
        <v>0-3 months</v>
      </c>
      <c r="AU661" s="22" t="s">
        <v>3240</v>
      </c>
    </row>
    <row r="662" spans="1:47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203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198"/>
        <v>57778307.282035396</v>
      </c>
      <c r="AJ662" s="19">
        <f t="shared" si="199"/>
        <v>7259860.7225420559</v>
      </c>
      <c r="AK662" s="20">
        <f t="shared" si="208"/>
        <v>0.12565028406083667</v>
      </c>
      <c r="AL662" s="17"/>
      <c r="AM662" s="17"/>
      <c r="AN662" s="17"/>
      <c r="AO662" s="17"/>
      <c r="AP662" s="28" t="str">
        <f t="shared" si="209"/>
        <v>20213</v>
      </c>
      <c r="AQ662" s="28" t="str">
        <f t="shared" si="210"/>
        <v>20213RMB</v>
      </c>
      <c r="AR662" s="206" t="str">
        <f t="shared" si="211"/>
        <v>YAMAHA_Mounter</v>
      </c>
      <c r="AS662" s="22">
        <f t="shared" si="212"/>
        <v>2</v>
      </c>
      <c r="AT662" s="24" t="str">
        <f t="shared" si="213"/>
        <v>0-3 months</v>
      </c>
      <c r="AU662" s="22" t="s">
        <v>3240</v>
      </c>
    </row>
    <row r="663" spans="1:47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203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198"/>
        <v>57778307.282035396</v>
      </c>
      <c r="AJ663" s="19">
        <f t="shared" si="199"/>
        <v>7259860.7225420559</v>
      </c>
      <c r="AK663" s="20">
        <f t="shared" si="208"/>
        <v>0.12565028406083667</v>
      </c>
      <c r="AL663" s="17"/>
      <c r="AM663" s="17"/>
      <c r="AN663" s="17"/>
      <c r="AO663" s="17"/>
      <c r="AP663" s="28" t="str">
        <f t="shared" si="209"/>
        <v>20213</v>
      </c>
      <c r="AQ663" s="28" t="str">
        <f t="shared" si="210"/>
        <v>20213RMB</v>
      </c>
      <c r="AR663" s="206" t="str">
        <f t="shared" si="211"/>
        <v>YAMAHA_Mounter</v>
      </c>
      <c r="AS663" s="22">
        <f t="shared" si="212"/>
        <v>2</v>
      </c>
      <c r="AT663" s="24" t="str">
        <f t="shared" si="213"/>
        <v>0-3 months</v>
      </c>
      <c r="AU663" s="22" t="s">
        <v>3240</v>
      </c>
    </row>
    <row r="664" spans="1:47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203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198"/>
        <v>29946107.503386207</v>
      </c>
      <c r="AJ664" s="19">
        <f t="shared" si="199"/>
        <v>3987206.4954923098</v>
      </c>
      <c r="AK664" s="20">
        <f t="shared" si="208"/>
        <v>0.13314606898547499</v>
      </c>
      <c r="AL664" s="17"/>
      <c r="AM664" s="17"/>
      <c r="AN664" s="17"/>
      <c r="AO664" s="17"/>
      <c r="AP664" s="28" t="str">
        <f t="shared" si="209"/>
        <v>20187</v>
      </c>
      <c r="AQ664" s="28" t="str">
        <f t="shared" si="210"/>
        <v>20187RMB</v>
      </c>
      <c r="AR664" s="206" t="str">
        <f t="shared" si="211"/>
        <v>YAMAHA_Mounter</v>
      </c>
      <c r="AS664" s="22">
        <f t="shared" si="212"/>
        <v>5</v>
      </c>
      <c r="AT664" s="24" t="str">
        <f t="shared" si="213"/>
        <v>4-6 months</v>
      </c>
      <c r="AU664" s="22" t="s">
        <v>3240</v>
      </c>
    </row>
    <row r="665" spans="1:47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203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198"/>
        <v>34015877.71150443</v>
      </c>
      <c r="AJ665" s="19">
        <f t="shared" si="199"/>
        <v>4446292.375441948</v>
      </c>
      <c r="AK665" s="20">
        <f t="shared" si="208"/>
        <v>0.13071226364205143</v>
      </c>
      <c r="AL665" s="17"/>
      <c r="AM665" s="17"/>
      <c r="AN665" s="17"/>
      <c r="AO665" s="17"/>
      <c r="AP665" s="28" t="str">
        <f t="shared" si="209"/>
        <v>20197</v>
      </c>
      <c r="AQ665" s="28" t="str">
        <f t="shared" si="210"/>
        <v>20197RMB</v>
      </c>
      <c r="AR665" s="206" t="str">
        <f t="shared" si="211"/>
        <v>YAMAHA_Mounter</v>
      </c>
      <c r="AS665" s="22">
        <f t="shared" si="212"/>
        <v>4</v>
      </c>
      <c r="AT665" s="24" t="str">
        <f t="shared" si="213"/>
        <v>4-6 months</v>
      </c>
      <c r="AU665" s="22" t="s">
        <v>3240</v>
      </c>
    </row>
    <row r="666" spans="1:47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203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214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198"/>
        <v>63006605.696460173</v>
      </c>
      <c r="AJ666" s="19">
        <f t="shared" si="199"/>
        <v>8897485.660753984</v>
      </c>
      <c r="AK666" s="20">
        <f t="shared" si="208"/>
        <v>0.141215124388995</v>
      </c>
      <c r="AL666" s="17"/>
      <c r="AM666" s="17"/>
      <c r="AN666" s="17"/>
      <c r="AO666" s="17"/>
      <c r="AP666" s="28" t="str">
        <f t="shared" si="209"/>
        <v>20215</v>
      </c>
      <c r="AQ666" s="28" t="str">
        <f t="shared" si="210"/>
        <v>20215JPY</v>
      </c>
      <c r="AR666" s="206" t="str">
        <f t="shared" si="211"/>
        <v>YAMAHA_Mounter</v>
      </c>
      <c r="AS666" s="22">
        <f t="shared" si="212"/>
        <v>1</v>
      </c>
      <c r="AT666" s="24" t="str">
        <f t="shared" si="213"/>
        <v>0-3 months</v>
      </c>
      <c r="AU666" s="22" t="s">
        <v>3744</v>
      </c>
    </row>
    <row r="667" spans="1:47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203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214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198"/>
        <v>54700260.692079648</v>
      </c>
      <c r="AJ667" s="19">
        <f t="shared" si="199"/>
        <v>7482899.5749188727</v>
      </c>
      <c r="AK667" s="20">
        <f t="shared" si="208"/>
        <v>0.13679824337660537</v>
      </c>
      <c r="AL667" s="17"/>
      <c r="AM667" s="17"/>
      <c r="AN667" s="17"/>
      <c r="AO667" s="17"/>
      <c r="AP667" s="28" t="str">
        <f t="shared" si="209"/>
        <v>20216</v>
      </c>
      <c r="AQ667" s="28" t="str">
        <f t="shared" si="210"/>
        <v>20216JPY</v>
      </c>
      <c r="AR667" s="206" t="str">
        <f t="shared" si="211"/>
        <v>YAMAHA_Mounter</v>
      </c>
      <c r="AS667" s="22">
        <f t="shared" si="212"/>
        <v>2</v>
      </c>
      <c r="AT667" s="24" t="str">
        <f t="shared" si="213"/>
        <v>0-3 months</v>
      </c>
      <c r="AU667" s="22" t="s">
        <v>3744</v>
      </c>
    </row>
    <row r="668" spans="1:47" s="12" customFormat="1">
      <c r="A668" s="33" t="str">
        <f t="shared" si="200"/>
        <v>cancel</v>
      </c>
      <c r="B668" s="152"/>
      <c r="C668" s="152" t="s">
        <v>185</v>
      </c>
      <c r="D668" s="33" t="str">
        <f t="shared" si="201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202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203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214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198"/>
        <v>499582152.5142017</v>
      </c>
      <c r="AJ668" s="19">
        <f t="shared" si="199"/>
        <v>59520528.679470733</v>
      </c>
      <c r="AK668" s="20">
        <f t="shared" si="208"/>
        <v>0.11914062257814291</v>
      </c>
      <c r="AL668" s="17"/>
      <c r="AM668" s="17"/>
      <c r="AN668" s="17"/>
      <c r="AO668" s="17"/>
      <c r="AP668" s="28" t="str">
        <f t="shared" si="209"/>
        <v>CancelCancel</v>
      </c>
      <c r="AQ668" s="28" t="str">
        <f t="shared" si="210"/>
        <v>CancelCancelRMB</v>
      </c>
      <c r="AR668" s="206" t="str">
        <f t="shared" si="211"/>
        <v>YAMAHA_Mounter</v>
      </c>
      <c r="AS668" s="22" t="str">
        <f t="shared" si="212"/>
        <v/>
      </c>
      <c r="AT668" s="24" t="str">
        <f t="shared" si="213"/>
        <v/>
      </c>
      <c r="AU668" s="22" t="s">
        <v>3750</v>
      </c>
    </row>
    <row r="669" spans="1:47" s="12" customFormat="1">
      <c r="A669" s="33" t="str">
        <f t="shared" si="200"/>
        <v>cancel</v>
      </c>
      <c r="B669" s="152"/>
      <c r="C669" s="152" t="s">
        <v>185</v>
      </c>
      <c r="D669" s="33" t="str">
        <f t="shared" si="201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202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203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214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198"/>
        <v>499582152.5142017</v>
      </c>
      <c r="AJ669" s="19">
        <f t="shared" si="199"/>
        <v>59520528.679470733</v>
      </c>
      <c r="AK669" s="20">
        <f t="shared" si="208"/>
        <v>0.11914062257814291</v>
      </c>
      <c r="AL669" s="17"/>
      <c r="AM669" s="17"/>
      <c r="AN669" s="17"/>
      <c r="AO669" s="17"/>
      <c r="AP669" s="28" t="str">
        <f t="shared" si="209"/>
        <v>CancelCancel</v>
      </c>
      <c r="AQ669" s="28" t="str">
        <f t="shared" si="210"/>
        <v>CancelCancelRMB</v>
      </c>
      <c r="AR669" s="206" t="str">
        <f t="shared" si="211"/>
        <v>YAMAHA_Mounter</v>
      </c>
      <c r="AS669" s="22" t="str">
        <f t="shared" si="212"/>
        <v/>
      </c>
      <c r="AT669" s="24" t="str">
        <f t="shared" si="213"/>
        <v/>
      </c>
      <c r="AU669" s="22" t="s">
        <v>3750</v>
      </c>
    </row>
    <row r="670" spans="1:47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203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214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198"/>
        <v>63006605.696460173</v>
      </c>
      <c r="AJ670" s="19">
        <f t="shared" si="199"/>
        <v>8897485.660753984</v>
      </c>
      <c r="AK670" s="20">
        <f t="shared" si="208"/>
        <v>0.141215124388995</v>
      </c>
      <c r="AL670" s="17"/>
      <c r="AM670" s="17"/>
      <c r="AN670" s="17"/>
      <c r="AO670" s="17"/>
      <c r="AP670" s="28" t="str">
        <f t="shared" si="209"/>
        <v>20215</v>
      </c>
      <c r="AQ670" s="28" t="str">
        <f t="shared" si="210"/>
        <v>20215JPY</v>
      </c>
      <c r="AR670" s="206" t="str">
        <f t="shared" si="211"/>
        <v>YAMAHA_Mounter</v>
      </c>
      <c r="AS670" s="22">
        <f t="shared" si="212"/>
        <v>2</v>
      </c>
      <c r="AT670" s="24" t="str">
        <f t="shared" si="213"/>
        <v>0-3 months</v>
      </c>
      <c r="AU670" s="22" t="s">
        <v>3744</v>
      </c>
    </row>
    <row r="671" spans="1:47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203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214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198"/>
        <v>63006605.696460173</v>
      </c>
      <c r="AJ671" s="19">
        <f t="shared" si="199"/>
        <v>8897485.660753984</v>
      </c>
      <c r="AK671" s="20">
        <f t="shared" si="208"/>
        <v>0.141215124388995</v>
      </c>
      <c r="AL671" s="17"/>
      <c r="AM671" s="17"/>
      <c r="AN671" s="17"/>
      <c r="AO671" s="17"/>
      <c r="AP671" s="28" t="str">
        <f t="shared" si="209"/>
        <v>20215</v>
      </c>
      <c r="AQ671" s="28" t="str">
        <f t="shared" si="210"/>
        <v>20215JPY</v>
      </c>
      <c r="AR671" s="206" t="str">
        <f t="shared" si="211"/>
        <v>YAMAHA_Mounter</v>
      </c>
      <c r="AS671" s="22">
        <f t="shared" si="212"/>
        <v>2</v>
      </c>
      <c r="AT671" s="24" t="str">
        <f t="shared" si="213"/>
        <v>0-3 months</v>
      </c>
      <c r="AU671" s="22" t="s">
        <v>3744</v>
      </c>
    </row>
    <row r="672" spans="1:47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203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214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198"/>
        <v>28177779.013274338</v>
      </c>
      <c r="AJ672" s="19">
        <f t="shared" si="199"/>
        <v>4727216.6376190251</v>
      </c>
      <c r="AK672" s="20">
        <f t="shared" si="208"/>
        <v>0.1677639900359808</v>
      </c>
      <c r="AL672" s="17"/>
      <c r="AM672" s="17"/>
      <c r="AN672" s="17"/>
      <c r="AO672" s="17"/>
      <c r="AP672" s="28" t="str">
        <f t="shared" si="209"/>
        <v>20235</v>
      </c>
      <c r="AQ672" s="28" t="str">
        <f t="shared" si="210"/>
        <v>20235RMB</v>
      </c>
      <c r="AR672" s="206" t="str">
        <f t="shared" si="211"/>
        <v>YAMAHA_Mounter</v>
      </c>
      <c r="AS672" s="22">
        <f t="shared" si="212"/>
        <v>1</v>
      </c>
      <c r="AT672" s="24" t="str">
        <f t="shared" si="213"/>
        <v>0-3 months</v>
      </c>
      <c r="AU672" s="22" t="s">
        <v>3750</v>
      </c>
    </row>
    <row r="673" spans="1:47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203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214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198"/>
        <v>31017966.201968137</v>
      </c>
      <c r="AJ673" s="19">
        <f t="shared" si="199"/>
        <v>4704250.3347305888</v>
      </c>
      <c r="AK673" s="20">
        <f t="shared" si="208"/>
        <v>0.15166211427595458</v>
      </c>
      <c r="AL673" s="17"/>
      <c r="AM673" s="17"/>
      <c r="AN673" s="17"/>
      <c r="AO673" s="17"/>
      <c r="AP673" s="28" t="str">
        <f t="shared" si="209"/>
        <v>202211</v>
      </c>
      <c r="AQ673" s="28" t="str">
        <f t="shared" si="210"/>
        <v>202211RMB</v>
      </c>
      <c r="AR673" s="206" t="str">
        <f t="shared" si="211"/>
        <v>YAMAHA_Mounter</v>
      </c>
      <c r="AS673" s="22">
        <f t="shared" si="212"/>
        <v>0</v>
      </c>
      <c r="AT673" s="24" t="str">
        <f t="shared" si="213"/>
        <v>0-3 months</v>
      </c>
      <c r="AU673" s="22" t="s">
        <v>3240</v>
      </c>
    </row>
    <row r="674" spans="1:47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203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214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198"/>
        <v>45803245.025628321</v>
      </c>
      <c r="AJ674" s="19">
        <f t="shared" si="199"/>
        <v>5664636.2584379362</v>
      </c>
      <c r="AK674" s="20">
        <f t="shared" si="208"/>
        <v>0.12367325186825515</v>
      </c>
      <c r="AL674" s="17"/>
      <c r="AM674" s="17"/>
      <c r="AN674" s="17"/>
      <c r="AO674" s="17"/>
      <c r="AP674" s="28" t="str">
        <f t="shared" si="209"/>
        <v>20211</v>
      </c>
      <c r="AQ674" s="28" t="str">
        <f t="shared" si="210"/>
        <v>20211RMB</v>
      </c>
      <c r="AR674" s="206" t="str">
        <f t="shared" si="211"/>
        <v>YAMAHA_Mounter</v>
      </c>
      <c r="AS674" s="22">
        <f t="shared" si="212"/>
        <v>1</v>
      </c>
      <c r="AT674" s="24" t="str">
        <f t="shared" si="213"/>
        <v>0-3 months</v>
      </c>
      <c r="AU674" s="22" t="s">
        <v>3240</v>
      </c>
    </row>
    <row r="675" spans="1:47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203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214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198"/>
        <v>37969334.083628319</v>
      </c>
      <c r="AJ675" s="19">
        <f t="shared" si="199"/>
        <v>5097226.4551657084</v>
      </c>
      <c r="AK675" s="20">
        <f t="shared" si="208"/>
        <v>0.13424587441904964</v>
      </c>
      <c r="AL675" s="17"/>
      <c r="AM675" s="17"/>
      <c r="AN675" s="17"/>
      <c r="AO675" s="17"/>
      <c r="AP675" s="28" t="str">
        <f t="shared" si="209"/>
        <v>20208</v>
      </c>
      <c r="AQ675" s="28" t="str">
        <f t="shared" si="210"/>
        <v>20208RMB</v>
      </c>
      <c r="AR675" s="206" t="str">
        <f t="shared" si="211"/>
        <v>LOCAL SUPPLIER</v>
      </c>
      <c r="AS675" s="22">
        <f t="shared" si="212"/>
        <v>5</v>
      </c>
      <c r="AT675" s="24" t="str">
        <f t="shared" si="213"/>
        <v>4-6 months</v>
      </c>
      <c r="AU675" s="22" t="s">
        <v>3240</v>
      </c>
    </row>
    <row r="676" spans="1:47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203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214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198"/>
        <v>37969334.083628319</v>
      </c>
      <c r="AJ676" s="19">
        <f t="shared" si="199"/>
        <v>5097226.4551657084</v>
      </c>
      <c r="AK676" s="20">
        <f t="shared" si="208"/>
        <v>0.13424587441904964</v>
      </c>
      <c r="AL676" s="17"/>
      <c r="AM676" s="17"/>
      <c r="AN676" s="17"/>
      <c r="AO676" s="17"/>
      <c r="AP676" s="28" t="str">
        <f t="shared" si="209"/>
        <v>20208</v>
      </c>
      <c r="AQ676" s="28" t="str">
        <f t="shared" si="210"/>
        <v>20208RMB</v>
      </c>
      <c r="AR676" s="206" t="str">
        <f t="shared" si="211"/>
        <v>LOCAL SUPPLIER</v>
      </c>
      <c r="AS676" s="22">
        <f t="shared" si="212"/>
        <v>5</v>
      </c>
      <c r="AT676" s="24" t="str">
        <f t="shared" si="213"/>
        <v>4-6 months</v>
      </c>
      <c r="AU676" s="22" t="s">
        <v>3240</v>
      </c>
    </row>
    <row r="677" spans="1:47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203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214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198"/>
        <v>37969334.083628319</v>
      </c>
      <c r="AJ677" s="19">
        <f t="shared" si="199"/>
        <v>5097226.4551657084</v>
      </c>
      <c r="AK677" s="20">
        <f t="shared" si="208"/>
        <v>0.13424587441904964</v>
      </c>
      <c r="AL677" s="17"/>
      <c r="AM677" s="17"/>
      <c r="AN677" s="17"/>
      <c r="AO677" s="17"/>
      <c r="AP677" s="28" t="str">
        <f t="shared" si="209"/>
        <v>20208</v>
      </c>
      <c r="AQ677" s="28" t="str">
        <f t="shared" si="210"/>
        <v>20208RMB</v>
      </c>
      <c r="AR677" s="206" t="str">
        <f t="shared" si="211"/>
        <v>LOCAL SUPPLIER</v>
      </c>
      <c r="AS677" s="22">
        <f t="shared" si="212"/>
        <v>5</v>
      </c>
      <c r="AT677" s="24" t="str">
        <f t="shared" si="213"/>
        <v>4-6 months</v>
      </c>
      <c r="AU677" s="22" t="s">
        <v>3240</v>
      </c>
    </row>
    <row r="678" spans="1:47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203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214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198"/>
        <v>37969334.083628319</v>
      </c>
      <c r="AJ678" s="19">
        <f t="shared" si="199"/>
        <v>5097226.4551657084</v>
      </c>
      <c r="AK678" s="20">
        <f t="shared" si="208"/>
        <v>0.13424587441904964</v>
      </c>
      <c r="AL678" s="17"/>
      <c r="AM678" s="17"/>
      <c r="AN678" s="17"/>
      <c r="AO678" s="17"/>
      <c r="AP678" s="28" t="str">
        <f t="shared" si="209"/>
        <v>20208</v>
      </c>
      <c r="AQ678" s="28" t="str">
        <f t="shared" si="210"/>
        <v>20208RMB</v>
      </c>
      <c r="AR678" s="206" t="str">
        <f t="shared" si="211"/>
        <v>YAMAHA_Non_Mounter</v>
      </c>
      <c r="AS678" s="22">
        <f t="shared" si="212"/>
        <v>5</v>
      </c>
      <c r="AT678" s="24" t="str">
        <f t="shared" si="213"/>
        <v>4-6 months</v>
      </c>
      <c r="AU678" s="22" t="s">
        <v>3240</v>
      </c>
    </row>
    <row r="679" spans="1:47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203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214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198"/>
        <v>37969334.083628319</v>
      </c>
      <c r="AJ679" s="19">
        <f t="shared" si="199"/>
        <v>5097226.4551657084</v>
      </c>
      <c r="AK679" s="20">
        <f t="shared" si="208"/>
        <v>0.13424587441904964</v>
      </c>
      <c r="AL679" s="17"/>
      <c r="AM679" s="17"/>
      <c r="AN679" s="17"/>
      <c r="AO679" s="17"/>
      <c r="AP679" s="28" t="str">
        <f t="shared" si="209"/>
        <v>20208</v>
      </c>
      <c r="AQ679" s="28" t="str">
        <f t="shared" si="210"/>
        <v>20208RMB</v>
      </c>
      <c r="AR679" s="206" t="str">
        <f t="shared" si="211"/>
        <v>LOCAL SUPPLIER</v>
      </c>
      <c r="AS679" s="22">
        <f t="shared" si="212"/>
        <v>5</v>
      </c>
      <c r="AT679" s="24" t="str">
        <f t="shared" si="213"/>
        <v>4-6 months</v>
      </c>
      <c r="AU679" s="22" t="s">
        <v>3240</v>
      </c>
    </row>
    <row r="680" spans="1:47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203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214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198"/>
        <v>47458373.787610628</v>
      </c>
      <c r="AJ680" s="19">
        <f t="shared" si="199"/>
        <v>7436880.1411522133</v>
      </c>
      <c r="AK680" s="20">
        <f t="shared" si="208"/>
        <v>0.15670322321692506</v>
      </c>
      <c r="AL680" s="17"/>
      <c r="AM680" s="17"/>
      <c r="AN680" s="17"/>
      <c r="AO680" s="17"/>
      <c r="AP680" s="28" t="str">
        <f t="shared" si="209"/>
        <v>20218</v>
      </c>
      <c r="AQ680" s="28" t="str">
        <f t="shared" si="210"/>
        <v>20218RMB</v>
      </c>
      <c r="AR680" s="206" t="str">
        <f t="shared" si="211"/>
        <v>YAMAHA_Mounter</v>
      </c>
      <c r="AS680" s="22">
        <f t="shared" si="212"/>
        <v>0</v>
      </c>
      <c r="AT680" s="24" t="str">
        <f t="shared" si="213"/>
        <v>0-3 months</v>
      </c>
      <c r="AU680" s="22" t="s">
        <v>3240</v>
      </c>
    </row>
    <row r="681" spans="1:47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203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214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198"/>
        <v>31017966.201968137</v>
      </c>
      <c r="AJ681" s="19">
        <f t="shared" si="199"/>
        <v>4704250.3347305888</v>
      </c>
      <c r="AK681" s="20">
        <f t="shared" si="208"/>
        <v>0.15166211427595458</v>
      </c>
      <c r="AL681" s="17"/>
      <c r="AM681" s="17"/>
      <c r="AN681" s="17"/>
      <c r="AO681" s="17"/>
      <c r="AP681" s="28" t="str">
        <f t="shared" si="209"/>
        <v>202211</v>
      </c>
      <c r="AQ681" s="28" t="str">
        <f t="shared" si="210"/>
        <v>202211RMB</v>
      </c>
      <c r="AR681" s="206" t="str">
        <f t="shared" si="211"/>
        <v>YAMAHA_Mounter</v>
      </c>
      <c r="AS681" s="22">
        <f t="shared" si="212"/>
        <v>0</v>
      </c>
      <c r="AT681" s="24" t="str">
        <f t="shared" si="213"/>
        <v>0-3 months</v>
      </c>
      <c r="AU681" s="22" t="s">
        <v>3240</v>
      </c>
    </row>
    <row r="682" spans="1:47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203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198"/>
        <v>29840797.698275864</v>
      </c>
      <c r="AJ682" s="19">
        <f t="shared" si="199"/>
        <v>3940167.6555448272</v>
      </c>
      <c r="AK682" s="20">
        <f t="shared" si="208"/>
        <v>0.13203962224416277</v>
      </c>
      <c r="AL682" s="17"/>
      <c r="AM682" s="17"/>
      <c r="AN682" s="17"/>
      <c r="AO682" s="17"/>
      <c r="AP682" s="28" t="str">
        <f t="shared" si="209"/>
        <v>201812</v>
      </c>
      <c r="AQ682" s="28" t="str">
        <f t="shared" si="210"/>
        <v>201812RMB</v>
      </c>
      <c r="AR682" s="206" t="str">
        <f t="shared" si="211"/>
        <v>YAMAHA_Mounter</v>
      </c>
      <c r="AS682" s="22">
        <f t="shared" si="212"/>
        <v>2</v>
      </c>
      <c r="AT682" s="24" t="str">
        <f t="shared" si="213"/>
        <v>0-3 months</v>
      </c>
      <c r="AU682" s="22" t="s">
        <v>3240</v>
      </c>
    </row>
    <row r="683" spans="1:47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203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198"/>
        <v>10785027.603448275</v>
      </c>
      <c r="AJ683" s="19">
        <f t="shared" si="199"/>
        <v>1540894.1297982759</v>
      </c>
      <c r="AK683" s="20">
        <f t="shared" si="208"/>
        <v>0.1428734525728621</v>
      </c>
      <c r="AL683" s="17"/>
      <c r="AM683" s="17"/>
      <c r="AN683" s="17"/>
      <c r="AO683" s="17"/>
      <c r="AP683" s="28" t="str">
        <f t="shared" si="209"/>
        <v>201811</v>
      </c>
      <c r="AQ683" s="28" t="str">
        <f t="shared" si="210"/>
        <v>201811RMB</v>
      </c>
      <c r="AR683" s="206" t="str">
        <f t="shared" si="211"/>
        <v>YAMAHA_Mounter</v>
      </c>
      <c r="AS683" s="22">
        <f t="shared" si="212"/>
        <v>1</v>
      </c>
      <c r="AT683" s="24" t="str">
        <f t="shared" si="213"/>
        <v>0-3 months</v>
      </c>
      <c r="AU683" s="22" t="s">
        <v>3240</v>
      </c>
    </row>
    <row r="684" spans="1:47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203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198"/>
        <v>34015877.71150443</v>
      </c>
      <c r="AJ684" s="19">
        <f t="shared" si="199"/>
        <v>4446292.375441948</v>
      </c>
      <c r="AK684" s="20">
        <f t="shared" si="208"/>
        <v>0.13071226364205143</v>
      </c>
      <c r="AL684" s="17"/>
      <c r="AM684" s="17"/>
      <c r="AN684" s="17"/>
      <c r="AO684" s="17"/>
      <c r="AP684" s="28" t="str">
        <f t="shared" si="209"/>
        <v>20197</v>
      </c>
      <c r="AQ684" s="28" t="str">
        <f t="shared" si="210"/>
        <v>20197RMB</v>
      </c>
      <c r="AR684" s="206" t="str">
        <f t="shared" si="211"/>
        <v>YAMAHA_Mounter</v>
      </c>
      <c r="AS684" s="22">
        <f t="shared" si="212"/>
        <v>1</v>
      </c>
      <c r="AT684" s="24" t="str">
        <f t="shared" si="213"/>
        <v>0-3 months</v>
      </c>
      <c r="AU684" s="22" t="s">
        <v>3240</v>
      </c>
    </row>
    <row r="685" spans="1:47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203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198"/>
        <v>45803245.025628321</v>
      </c>
      <c r="AJ685" s="19">
        <f t="shared" si="199"/>
        <v>5664636.2584379362</v>
      </c>
      <c r="AK685" s="20">
        <f t="shared" si="208"/>
        <v>0.12367325186825515</v>
      </c>
      <c r="AL685" s="17"/>
      <c r="AM685" s="17"/>
      <c r="AN685" s="17"/>
      <c r="AO685" s="17"/>
      <c r="AP685" s="28" t="str">
        <f t="shared" si="209"/>
        <v>20211</v>
      </c>
      <c r="AQ685" s="28" t="str">
        <f t="shared" si="210"/>
        <v>20211RMB</v>
      </c>
      <c r="AR685" s="206" t="str">
        <f t="shared" si="211"/>
        <v>YAMAHA_Mounter</v>
      </c>
      <c r="AS685" s="22">
        <f t="shared" si="212"/>
        <v>1</v>
      </c>
      <c r="AT685" s="24" t="str">
        <f t="shared" si="213"/>
        <v>0-3 months</v>
      </c>
      <c r="AU685" s="22" t="s">
        <v>3240</v>
      </c>
    </row>
    <row r="686" spans="1:47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203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198"/>
        <v>57778307.282035396</v>
      </c>
      <c r="AJ686" s="19">
        <f t="shared" si="199"/>
        <v>7259860.7225420559</v>
      </c>
      <c r="AK686" s="20">
        <f t="shared" si="208"/>
        <v>0.12565028406083667</v>
      </c>
      <c r="AL686" s="17"/>
      <c r="AM686" s="17"/>
      <c r="AN686" s="17"/>
      <c r="AO686" s="17"/>
      <c r="AP686" s="28" t="str">
        <f t="shared" si="209"/>
        <v>20213</v>
      </c>
      <c r="AQ686" s="28" t="str">
        <f t="shared" si="210"/>
        <v>20213RMB</v>
      </c>
      <c r="AR686" s="206" t="str">
        <f t="shared" si="211"/>
        <v>YAMAHA_Mounter</v>
      </c>
      <c r="AS686" s="22">
        <f t="shared" si="212"/>
        <v>3</v>
      </c>
      <c r="AT686" s="24" t="str">
        <f t="shared" si="213"/>
        <v>0-3 months</v>
      </c>
      <c r="AU686" s="22" t="s">
        <v>3240</v>
      </c>
    </row>
    <row r="687" spans="1:47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203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198"/>
        <v>22953677.784070797</v>
      </c>
      <c r="AJ687" s="19">
        <f t="shared" si="199"/>
        <v>4168706.6744155753</v>
      </c>
      <c r="AK687" s="20">
        <f t="shared" si="208"/>
        <v>0.18161388835511752</v>
      </c>
      <c r="AL687" s="17"/>
      <c r="AM687" s="17"/>
      <c r="AN687" s="17"/>
      <c r="AO687" s="17"/>
      <c r="AP687" s="28" t="str">
        <f t="shared" si="209"/>
        <v>20238</v>
      </c>
      <c r="AQ687" s="28" t="str">
        <f t="shared" si="210"/>
        <v>20238RMB</v>
      </c>
      <c r="AR687" s="206" t="str">
        <f t="shared" si="211"/>
        <v>YAMAHA_Mounter</v>
      </c>
      <c r="AS687" s="22">
        <f t="shared" si="212"/>
        <v>0</v>
      </c>
      <c r="AT687" s="24" t="str">
        <f t="shared" si="213"/>
        <v>0-3 months</v>
      </c>
      <c r="AU687" s="22" t="s">
        <v>3240</v>
      </c>
    </row>
    <row r="688" spans="1:47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203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8"/>
        <v>20319282.700884953</v>
      </c>
      <c r="AJ688" s="27">
        <f t="shared" si="199"/>
        <v>2408851.9638623013</v>
      </c>
      <c r="AK688" s="28">
        <f t="shared" si="208"/>
        <v>0.11855004919821259</v>
      </c>
      <c r="AL688" s="24"/>
      <c r="AM688" s="24"/>
      <c r="AN688" s="24"/>
      <c r="AO688" s="24"/>
      <c r="AP688" s="28" t="str">
        <f t="shared" si="209"/>
        <v>20244</v>
      </c>
      <c r="AQ688" s="28" t="str">
        <f t="shared" si="210"/>
        <v>20244RMB</v>
      </c>
      <c r="AR688" s="206" t="str">
        <f t="shared" si="211"/>
        <v>YAMAHA_Mounter</v>
      </c>
      <c r="AS688" s="22">
        <f t="shared" si="212"/>
        <v>1</v>
      </c>
      <c r="AT688" s="24" t="str">
        <f t="shared" si="213"/>
        <v>0-3 months</v>
      </c>
      <c r="AU688" s="22" t="s">
        <v>3750</v>
      </c>
    </row>
    <row r="689" spans="1:47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203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198"/>
        <v>20319282.700884953</v>
      </c>
      <c r="AJ689" s="27">
        <f t="shared" si="199"/>
        <v>2408851.9638623013</v>
      </c>
      <c r="AK689" s="28">
        <f t="shared" si="208"/>
        <v>0.11855004919821259</v>
      </c>
      <c r="AL689" s="24"/>
      <c r="AM689" s="24"/>
      <c r="AN689" s="24"/>
      <c r="AO689" s="24"/>
      <c r="AP689" s="28" t="str">
        <f t="shared" si="209"/>
        <v>20244</v>
      </c>
      <c r="AQ689" s="28" t="str">
        <f t="shared" si="210"/>
        <v>20244RMB</v>
      </c>
      <c r="AR689" s="206" t="str">
        <f t="shared" si="211"/>
        <v>YAMAHA_Mounter</v>
      </c>
      <c r="AS689" s="22">
        <f t="shared" si="212"/>
        <v>1</v>
      </c>
      <c r="AT689" s="24" t="str">
        <f t="shared" si="213"/>
        <v>0-3 months</v>
      </c>
      <c r="AU689" s="22" t="s">
        <v>3750</v>
      </c>
    </row>
    <row r="690" spans="1:47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203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198"/>
        <v>20319282.700884953</v>
      </c>
      <c r="AJ690" s="27">
        <f t="shared" si="199"/>
        <v>2408851.9638623013</v>
      </c>
      <c r="AK690" s="28">
        <f t="shared" si="208"/>
        <v>0.11855004919821259</v>
      </c>
      <c r="AL690" s="24"/>
      <c r="AM690" s="24"/>
      <c r="AN690" s="24"/>
      <c r="AO690" s="24"/>
      <c r="AP690" s="28" t="str">
        <f t="shared" si="209"/>
        <v>20244</v>
      </c>
      <c r="AQ690" s="28" t="str">
        <f t="shared" si="210"/>
        <v>20244RMB</v>
      </c>
      <c r="AR690" s="206" t="str">
        <f t="shared" si="211"/>
        <v>YAMAHA_Mounter</v>
      </c>
      <c r="AS690" s="22">
        <f t="shared" si="212"/>
        <v>1</v>
      </c>
      <c r="AT690" s="24" t="str">
        <f t="shared" si="213"/>
        <v>0-3 months</v>
      </c>
      <c r="AU690" s="22" t="s">
        <v>3750</v>
      </c>
    </row>
    <row r="691" spans="1:47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203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198"/>
        <v>17329060.066371687</v>
      </c>
      <c r="AJ691" s="19">
        <f t="shared" si="199"/>
        <v>2472600.2142256643</v>
      </c>
      <c r="AK691" s="20">
        <f t="shared" si="208"/>
        <v>0.14268518919984163</v>
      </c>
      <c r="AL691" s="17"/>
      <c r="AM691" s="17"/>
      <c r="AN691" s="17"/>
      <c r="AO691" s="17"/>
      <c r="AP691" s="28" t="str">
        <f t="shared" si="209"/>
        <v>202212</v>
      </c>
      <c r="AQ691" s="28" t="str">
        <f t="shared" si="210"/>
        <v>202212RMB</v>
      </c>
      <c r="AR691" s="206" t="str">
        <f t="shared" si="211"/>
        <v>YAMAHA_Mounter</v>
      </c>
      <c r="AS691" s="22">
        <f t="shared" si="212"/>
        <v>0</v>
      </c>
      <c r="AT691" s="24" t="str">
        <f t="shared" si="213"/>
        <v>0-3 months</v>
      </c>
      <c r="AU691" s="22" t="s">
        <v>3240</v>
      </c>
    </row>
    <row r="692" spans="1:47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203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198"/>
        <v>17329060.066371687</v>
      </c>
      <c r="AJ692" s="19">
        <f t="shared" si="199"/>
        <v>2472600.2142256643</v>
      </c>
      <c r="AK692" s="20">
        <f t="shared" si="208"/>
        <v>0.14268518919984163</v>
      </c>
      <c r="AL692" s="17"/>
      <c r="AM692" s="17"/>
      <c r="AN692" s="17"/>
      <c r="AO692" s="17"/>
      <c r="AP692" s="28" t="str">
        <f t="shared" si="209"/>
        <v>202212</v>
      </c>
      <c r="AQ692" s="28" t="str">
        <f t="shared" si="210"/>
        <v>202212RMB</v>
      </c>
      <c r="AR692" s="206" t="str">
        <f t="shared" si="211"/>
        <v>YAMAHA_Mounter</v>
      </c>
      <c r="AS692" s="22">
        <f t="shared" si="212"/>
        <v>0</v>
      </c>
      <c r="AT692" s="24" t="str">
        <f t="shared" si="213"/>
        <v>0-3 months</v>
      </c>
      <c r="AU692" s="22" t="s">
        <v>3240</v>
      </c>
    </row>
    <row r="693" spans="1:47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203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198"/>
        <v>35682787.057522126</v>
      </c>
      <c r="AJ693" s="19">
        <f t="shared" si="199"/>
        <v>5833368.3789623892</v>
      </c>
      <c r="AK693" s="20">
        <f t="shared" si="208"/>
        <v>0.16347849649632912</v>
      </c>
      <c r="AL693" s="17"/>
      <c r="AM693" s="17"/>
      <c r="AN693" s="17"/>
      <c r="AO693" s="17"/>
      <c r="AP693" s="28" t="str">
        <f t="shared" si="209"/>
        <v>20226</v>
      </c>
      <c r="AQ693" s="28" t="str">
        <f t="shared" si="210"/>
        <v>20226RMB</v>
      </c>
      <c r="AR693" s="206" t="str">
        <f t="shared" si="211"/>
        <v>YAMAHA_Mounter</v>
      </c>
      <c r="AS693" s="22">
        <f t="shared" si="212"/>
        <v>12</v>
      </c>
      <c r="AT693" s="24" t="str">
        <f t="shared" si="213"/>
        <v>&gt; 6 months</v>
      </c>
      <c r="AU693" s="22" t="s">
        <v>3240</v>
      </c>
    </row>
    <row r="694" spans="1:47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203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198"/>
        <v>23168285.927433632</v>
      </c>
      <c r="AJ694" s="19">
        <f t="shared" si="199"/>
        <v>2764878.916878053</v>
      </c>
      <c r="AK694" s="20">
        <f t="shared" si="208"/>
        <v>0.11933895004309111</v>
      </c>
      <c r="AL694" s="17"/>
      <c r="AM694" s="17"/>
      <c r="AN694" s="17"/>
      <c r="AO694" s="17"/>
      <c r="AP694" s="28" t="str">
        <f t="shared" si="209"/>
        <v>20203</v>
      </c>
      <c r="AQ694" s="28" t="str">
        <f t="shared" si="210"/>
        <v>20203RMB</v>
      </c>
      <c r="AR694" s="206" t="str">
        <f t="shared" si="211"/>
        <v>YAMAHA_Mounter</v>
      </c>
      <c r="AS694" s="22">
        <f t="shared" si="212"/>
        <v>0</v>
      </c>
      <c r="AT694" s="24" t="str">
        <f t="shared" si="213"/>
        <v>0-3 months</v>
      </c>
      <c r="AU694" s="22" t="s">
        <v>3240</v>
      </c>
    </row>
    <row r="695" spans="1:47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203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8"/>
        <v>21241742.157380536</v>
      </c>
      <c r="AJ695" s="27">
        <f t="shared" si="199"/>
        <v>2987081.1613773629</v>
      </c>
      <c r="AK695" s="28">
        <f t="shared" si="208"/>
        <v>0.14062317201884914</v>
      </c>
      <c r="AL695" s="24"/>
      <c r="AM695" s="24"/>
      <c r="AN695" s="24"/>
      <c r="AO695" s="24"/>
      <c r="AP695" s="28" t="str">
        <f t="shared" si="209"/>
        <v>20243</v>
      </c>
      <c r="AQ695" s="28" t="str">
        <f t="shared" si="210"/>
        <v>20243RMB</v>
      </c>
      <c r="AR695" s="206" t="str">
        <f t="shared" si="211"/>
        <v>YAMAHA_Mounter</v>
      </c>
      <c r="AS695" s="22">
        <f t="shared" si="212"/>
        <v>1</v>
      </c>
      <c r="AT695" s="24" t="str">
        <f t="shared" si="213"/>
        <v>0-3 months</v>
      </c>
      <c r="AU695" s="22" t="s">
        <v>3240</v>
      </c>
    </row>
    <row r="696" spans="1:47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203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198"/>
        <v>21386017.707964607</v>
      </c>
      <c r="AJ696" s="19">
        <f t="shared" si="199"/>
        <v>2238764.3265707968</v>
      </c>
      <c r="AK696" s="20">
        <f t="shared" si="208"/>
        <v>0.10468355339185161</v>
      </c>
      <c r="AL696" s="17"/>
      <c r="AM696" s="17"/>
      <c r="AN696" s="17"/>
      <c r="AO696" s="17" t="s">
        <v>704</v>
      </c>
      <c r="AP696" s="28" t="str">
        <f t="shared" si="209"/>
        <v>20198</v>
      </c>
      <c r="AQ696" s="28" t="str">
        <f t="shared" si="210"/>
        <v>20198RMB</v>
      </c>
      <c r="AR696" s="206" t="str">
        <f t="shared" si="211"/>
        <v>YAMAHA_Mounter</v>
      </c>
      <c r="AS696" s="22">
        <f t="shared" si="212"/>
        <v>3</v>
      </c>
      <c r="AT696" s="24" t="str">
        <f t="shared" si="213"/>
        <v>0-3 months</v>
      </c>
      <c r="AU696" s="22" t="s">
        <v>3240</v>
      </c>
    </row>
    <row r="697" spans="1:47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203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198"/>
        <v>44078731.611185849</v>
      </c>
      <c r="AJ697" s="19">
        <f t="shared" si="199"/>
        <v>5508173.2163771465</v>
      </c>
      <c r="AK697" s="20">
        <f t="shared" si="208"/>
        <v>0.12496215328889679</v>
      </c>
      <c r="AL697" s="17"/>
      <c r="AM697" s="17"/>
      <c r="AN697" s="17"/>
      <c r="AO697" s="17"/>
      <c r="AP697" s="28" t="str">
        <f t="shared" si="209"/>
        <v>202011</v>
      </c>
      <c r="AQ697" s="28" t="str">
        <f t="shared" si="210"/>
        <v>202011RMB</v>
      </c>
      <c r="AR697" s="206" t="str">
        <f t="shared" si="211"/>
        <v>YAMAHA_Mounter</v>
      </c>
      <c r="AS697" s="22">
        <f t="shared" si="212"/>
        <v>2</v>
      </c>
      <c r="AT697" s="24" t="str">
        <f t="shared" si="213"/>
        <v>0-3 months</v>
      </c>
      <c r="AU697" s="22" t="s">
        <v>3240</v>
      </c>
    </row>
    <row r="698" spans="1:47" s="12" customFormat="1">
      <c r="A698" s="33" t="str">
        <f t="shared" si="200"/>
        <v>cancel</v>
      </c>
      <c r="B698" s="152"/>
      <c r="C698" s="152" t="s">
        <v>185</v>
      </c>
      <c r="D698" s="33" t="str">
        <f t="shared" si="201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202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203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198"/>
        <v>499582152.5142017</v>
      </c>
      <c r="AJ698" s="19">
        <f t="shared" si="199"/>
        <v>59520528.679470733</v>
      </c>
      <c r="AK698" s="20">
        <f t="shared" si="208"/>
        <v>0.11914062257814291</v>
      </c>
      <c r="AL698" s="17"/>
      <c r="AM698" s="17"/>
      <c r="AN698" s="17"/>
      <c r="AO698" s="17"/>
      <c r="AP698" s="28" t="str">
        <f t="shared" si="209"/>
        <v>CancelCancel</v>
      </c>
      <c r="AQ698" s="28" t="str">
        <f t="shared" si="210"/>
        <v>CancelCancelRMB</v>
      </c>
      <c r="AR698" s="206" t="str">
        <f t="shared" si="211"/>
        <v>YAMAHA_Mounter</v>
      </c>
      <c r="AS698" s="22" t="str">
        <f t="shared" si="212"/>
        <v/>
      </c>
      <c r="AT698" s="24" t="str">
        <f t="shared" si="213"/>
        <v/>
      </c>
      <c r="AU698" s="22" t="s">
        <v>3240</v>
      </c>
    </row>
    <row r="699" spans="1:47" s="12" customFormat="1">
      <c r="A699" s="33" t="str">
        <f t="shared" si="200"/>
        <v>cancel</v>
      </c>
      <c r="B699" s="152"/>
      <c r="C699" s="152" t="s">
        <v>185</v>
      </c>
      <c r="D699" s="33" t="str">
        <f t="shared" si="201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202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203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198"/>
        <v>499582152.5142017</v>
      </c>
      <c r="AJ699" s="19">
        <f t="shared" si="199"/>
        <v>59520528.679470733</v>
      </c>
      <c r="AK699" s="20">
        <f t="shared" si="208"/>
        <v>0.11914062257814291</v>
      </c>
      <c r="AL699" s="17"/>
      <c r="AM699" s="17"/>
      <c r="AN699" s="17"/>
      <c r="AO699" s="17"/>
      <c r="AP699" s="28" t="str">
        <f t="shared" si="209"/>
        <v>CancelCancel</v>
      </c>
      <c r="AQ699" s="28" t="str">
        <f t="shared" si="210"/>
        <v>CancelCancelRMB</v>
      </c>
      <c r="AR699" s="206" t="str">
        <f t="shared" si="211"/>
        <v>YAMAHA_Mounter</v>
      </c>
      <c r="AS699" s="22" t="str">
        <f t="shared" si="212"/>
        <v/>
      </c>
      <c r="AT699" s="24" t="str">
        <f t="shared" si="213"/>
        <v/>
      </c>
      <c r="AU699" s="22" t="s">
        <v>3240</v>
      </c>
    </row>
    <row r="700" spans="1:47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203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198"/>
        <v>20319282.700884953</v>
      </c>
      <c r="AJ700" s="27">
        <f t="shared" si="199"/>
        <v>2408851.9638623013</v>
      </c>
      <c r="AK700" s="28">
        <f t="shared" si="208"/>
        <v>0.11855004919821259</v>
      </c>
      <c r="AL700" s="24"/>
      <c r="AM700" s="24"/>
      <c r="AN700" s="24"/>
      <c r="AO700" s="24"/>
      <c r="AP700" s="28" t="str">
        <f t="shared" si="209"/>
        <v>20244</v>
      </c>
      <c r="AQ700" s="28" t="str">
        <f t="shared" si="210"/>
        <v>20244RMB</v>
      </c>
      <c r="AR700" s="206" t="str">
        <f t="shared" si="211"/>
        <v>YAMAHA_Non_Mounter</v>
      </c>
      <c r="AS700" s="22">
        <f t="shared" si="212"/>
        <v>1</v>
      </c>
      <c r="AT700" s="24" t="str">
        <f t="shared" si="213"/>
        <v>0-3 months</v>
      </c>
      <c r="AU700" s="22" t="s">
        <v>3750</v>
      </c>
    </row>
    <row r="701" spans="1:47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203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198"/>
        <v>15533177.71460177</v>
      </c>
      <c r="AJ701" s="19">
        <f t="shared" si="199"/>
        <v>1819298.5437526547</v>
      </c>
      <c r="AK701" s="20">
        <f t="shared" si="208"/>
        <v>0.11712339723265033</v>
      </c>
      <c r="AL701" s="17"/>
      <c r="AM701" s="17"/>
      <c r="AN701" s="17"/>
      <c r="AO701" s="17"/>
      <c r="AP701" s="28" t="str">
        <f t="shared" si="209"/>
        <v>202110</v>
      </c>
      <c r="AQ701" s="28" t="str">
        <f t="shared" si="210"/>
        <v>202110RMB</v>
      </c>
      <c r="AR701" s="206" t="str">
        <f t="shared" si="211"/>
        <v>LOCAL SUPPLIER</v>
      </c>
      <c r="AS701" s="22">
        <f t="shared" si="212"/>
        <v>1</v>
      </c>
      <c r="AT701" s="24" t="str">
        <f t="shared" si="213"/>
        <v>0-3 months</v>
      </c>
      <c r="AU701" s="22" t="s">
        <v>3240</v>
      </c>
    </row>
    <row r="702" spans="1:47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203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198"/>
        <v>31296887.037898075</v>
      </c>
      <c r="AJ702" s="19">
        <f t="shared" si="199"/>
        <v>3588873.9502021763</v>
      </c>
      <c r="AK702" s="20">
        <f t="shared" si="208"/>
        <v>0.11467191436184473</v>
      </c>
      <c r="AL702" s="17"/>
      <c r="AM702" s="17"/>
      <c r="AN702" s="17"/>
      <c r="AO702" s="17"/>
      <c r="AP702" s="28" t="str">
        <f t="shared" si="209"/>
        <v>20196</v>
      </c>
      <c r="AQ702" s="28" t="str">
        <f t="shared" si="210"/>
        <v>20196RMB</v>
      </c>
      <c r="AR702" s="206" t="str">
        <f t="shared" si="211"/>
        <v>YAMAHA_Mounter</v>
      </c>
      <c r="AS702" s="22">
        <f t="shared" si="212"/>
        <v>1</v>
      </c>
      <c r="AT702" s="24" t="str">
        <f t="shared" si="213"/>
        <v>0-3 months</v>
      </c>
      <c r="AU702" s="22" t="s">
        <v>3240</v>
      </c>
    </row>
    <row r="703" spans="1:47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203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198"/>
        <v>31296887.037898075</v>
      </c>
      <c r="AJ703" s="19">
        <f t="shared" si="199"/>
        <v>3588873.9502021763</v>
      </c>
      <c r="AK703" s="20">
        <f t="shared" si="208"/>
        <v>0.11467191436184473</v>
      </c>
      <c r="AL703" s="17"/>
      <c r="AM703" s="17"/>
      <c r="AN703" s="17"/>
      <c r="AO703" s="17"/>
      <c r="AP703" s="28" t="str">
        <f t="shared" si="209"/>
        <v>20196</v>
      </c>
      <c r="AQ703" s="28" t="str">
        <f t="shared" si="210"/>
        <v>20196RMB</v>
      </c>
      <c r="AR703" s="206" t="str">
        <f t="shared" si="211"/>
        <v>YAMAHA_Mounter</v>
      </c>
      <c r="AS703" s="22">
        <f t="shared" si="212"/>
        <v>1</v>
      </c>
      <c r="AT703" s="24" t="str">
        <f t="shared" si="213"/>
        <v>0-3 months</v>
      </c>
      <c r="AU703" s="22" t="s">
        <v>3240</v>
      </c>
    </row>
    <row r="704" spans="1:47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203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215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198"/>
        <v>45803245.025628321</v>
      </c>
      <c r="AJ704" s="19">
        <f t="shared" si="199"/>
        <v>5664636.2584379362</v>
      </c>
      <c r="AK704" s="20">
        <f t="shared" si="208"/>
        <v>0.12367325186825515</v>
      </c>
      <c r="AL704" s="17"/>
      <c r="AM704" s="17"/>
      <c r="AN704" s="17"/>
      <c r="AO704" s="17"/>
      <c r="AP704" s="28" t="str">
        <f t="shared" si="209"/>
        <v>20211</v>
      </c>
      <c r="AQ704" s="28" t="str">
        <f t="shared" si="210"/>
        <v>20211RMB</v>
      </c>
      <c r="AR704" s="206" t="str">
        <f t="shared" si="211"/>
        <v>YAMAHA_Mounter</v>
      </c>
      <c r="AS704" s="22">
        <f t="shared" si="212"/>
        <v>3</v>
      </c>
      <c r="AT704" s="24" t="str">
        <f t="shared" si="213"/>
        <v>0-3 months</v>
      </c>
      <c r="AU704" s="22" t="s">
        <v>3240</v>
      </c>
    </row>
    <row r="705" spans="1:47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203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215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198"/>
        <v>28726768.133805312</v>
      </c>
      <c r="AJ705" s="19">
        <f t="shared" si="199"/>
        <v>3853638.1988864429</v>
      </c>
      <c r="AK705" s="20">
        <f t="shared" si="208"/>
        <v>0.1341479898099476</v>
      </c>
      <c r="AL705" s="17"/>
      <c r="AM705" s="17"/>
      <c r="AN705" s="17"/>
      <c r="AO705" s="17"/>
      <c r="AP705" s="28" t="str">
        <f t="shared" si="209"/>
        <v>20223</v>
      </c>
      <c r="AQ705" s="28" t="str">
        <f t="shared" si="210"/>
        <v>20223RMB</v>
      </c>
      <c r="AR705" s="206" t="str">
        <f t="shared" si="211"/>
        <v>YAMAHA_Mounter</v>
      </c>
      <c r="AS705" s="22">
        <f t="shared" si="212"/>
        <v>1</v>
      </c>
      <c r="AT705" s="24" t="str">
        <f t="shared" si="213"/>
        <v>0-3 months</v>
      </c>
      <c r="AU705" s="22" t="s">
        <v>3240</v>
      </c>
    </row>
    <row r="706" spans="1:47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203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215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ref="AI706:AI769" si="216">IF(P706="C66 SERVICE","",SUMIFS(AB:AB,F:F,F706,G:G,G706,E:E,E706))</f>
        <v>36480247.665929198</v>
      </c>
      <c r="AJ706" s="19">
        <f t="shared" ref="AJ706:AJ769" si="217">IF(P706="C66 SERVICE","",SUMIFS(AC:AC,F:F,F706,G:G,G706,E:E,E706))</f>
        <v>5330996.6372757526</v>
      </c>
      <c r="AK706" s="20">
        <f t="shared" si="208"/>
        <v>0.14613378412599562</v>
      </c>
      <c r="AL706" s="17"/>
      <c r="AM706" s="17"/>
      <c r="AN706" s="17"/>
      <c r="AO706" s="17"/>
      <c r="AP706" s="28" t="str">
        <f t="shared" si="209"/>
        <v>20227</v>
      </c>
      <c r="AQ706" s="28" t="str">
        <f t="shared" si="210"/>
        <v>20227RMB</v>
      </c>
      <c r="AR706" s="206" t="str">
        <f t="shared" si="211"/>
        <v>YAMAHA_Mounter</v>
      </c>
      <c r="AS706" s="22">
        <f t="shared" si="212"/>
        <v>1</v>
      </c>
      <c r="AT706" s="24" t="str">
        <f t="shared" si="213"/>
        <v>0-3 months</v>
      </c>
      <c r="AU706" s="22" t="s">
        <v>3240</v>
      </c>
    </row>
    <row r="707" spans="1:47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203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215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16"/>
        <v>57778307.282035396</v>
      </c>
      <c r="AJ707" s="19">
        <f t="shared" si="217"/>
        <v>7259860.7225420559</v>
      </c>
      <c r="AK707" s="20">
        <f t="shared" si="208"/>
        <v>0.12565028406083667</v>
      </c>
      <c r="AL707" s="17"/>
      <c r="AM707" s="17"/>
      <c r="AN707" s="17"/>
      <c r="AO707" s="17"/>
      <c r="AP707" s="28" t="str">
        <f t="shared" si="209"/>
        <v>20213</v>
      </c>
      <c r="AQ707" s="28" t="str">
        <f t="shared" si="210"/>
        <v>20213RMB</v>
      </c>
      <c r="AR707" s="206" t="str">
        <f t="shared" si="211"/>
        <v>YAMAHA_Mounter</v>
      </c>
      <c r="AS707" s="22">
        <f t="shared" si="212"/>
        <v>3</v>
      </c>
      <c r="AT707" s="24" t="str">
        <f t="shared" si="213"/>
        <v>0-3 months</v>
      </c>
      <c r="AU707" s="22" t="s">
        <v>3240</v>
      </c>
    </row>
    <row r="708" spans="1:47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203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215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16"/>
        <v>57778307.282035396</v>
      </c>
      <c r="AJ708" s="19">
        <f t="shared" si="217"/>
        <v>7259860.7225420559</v>
      </c>
      <c r="AK708" s="20">
        <f t="shared" si="208"/>
        <v>0.12565028406083667</v>
      </c>
      <c r="AL708" s="17"/>
      <c r="AM708" s="17"/>
      <c r="AN708" s="17"/>
      <c r="AO708" s="17"/>
      <c r="AP708" s="28" t="str">
        <f t="shared" si="209"/>
        <v>20213</v>
      </c>
      <c r="AQ708" s="28" t="str">
        <f t="shared" si="210"/>
        <v>20213RMB</v>
      </c>
      <c r="AR708" s="206" t="str">
        <f t="shared" si="211"/>
        <v>YAMAHA_Mounter</v>
      </c>
      <c r="AS708" s="22">
        <f t="shared" si="212"/>
        <v>3</v>
      </c>
      <c r="AT708" s="24" t="str">
        <f t="shared" si="213"/>
        <v>0-3 months</v>
      </c>
      <c r="AU708" s="22" t="s">
        <v>3240</v>
      </c>
    </row>
    <row r="709" spans="1:47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203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215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16"/>
        <v>57778307.282035396</v>
      </c>
      <c r="AJ709" s="19">
        <f t="shared" si="217"/>
        <v>7259860.7225420559</v>
      </c>
      <c r="AK709" s="20">
        <f t="shared" si="208"/>
        <v>0.12565028406083667</v>
      </c>
      <c r="AL709" s="17"/>
      <c r="AM709" s="17"/>
      <c r="AN709" s="17"/>
      <c r="AO709" s="17"/>
      <c r="AP709" s="28" t="str">
        <f t="shared" si="209"/>
        <v>20213</v>
      </c>
      <c r="AQ709" s="28" t="str">
        <f t="shared" si="210"/>
        <v>20213RMB</v>
      </c>
      <c r="AR709" s="206" t="str">
        <f t="shared" si="211"/>
        <v>YAMAHA_Mounter</v>
      </c>
      <c r="AS709" s="22">
        <f t="shared" si="212"/>
        <v>1</v>
      </c>
      <c r="AT709" s="24" t="str">
        <f t="shared" si="213"/>
        <v>0-3 months</v>
      </c>
      <c r="AU709" s="22" t="s">
        <v>3240</v>
      </c>
    </row>
    <row r="710" spans="1:47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215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si="216"/>
        <v>35682787.057522126</v>
      </c>
      <c r="AJ710" s="19">
        <f t="shared" si="217"/>
        <v>5833368.3789623892</v>
      </c>
      <c r="AK710" s="20">
        <f t="shared" ref="AK710:AK773" si="226">IF(AJ710&gt;0,AJ710/AI710,"")</f>
        <v>0.16347849649632912</v>
      </c>
      <c r="AL710" s="17"/>
      <c r="AM710" s="17"/>
      <c r="AN710" s="17"/>
      <c r="AO710" s="17"/>
      <c r="AP710" s="28" t="str">
        <f t="shared" ref="AP710:AP773" si="227">IF(F710="","",F710&amp;G710)</f>
        <v>20226</v>
      </c>
      <c r="AQ710" s="28" t="str">
        <f t="shared" ref="AQ710:AQ773" si="228">IF(W710="","",F710&amp;G710&amp;W710)</f>
        <v>20226RMB</v>
      </c>
      <c r="AR710" s="206" t="str">
        <f t="shared" ref="AR710:AR773" si="229">IFERROR(IF(AND(M710="YAMAHA", R710="C28"), "YAMAHA_Non_Mounter", IF(AND(M710="YAMAHA", R710="C49"), "YAMAHA_Mounter", M710)),"")</f>
        <v>YAMAHA_Mounter</v>
      </c>
      <c r="AS710" s="22">
        <f t="shared" ref="AS710:AS773" si="230">IFERROR(IF(OR(G710="TBA", G710=""), "", DATEDIF(DATE(B710, C710, 1), DATE(F710, G710, 1), "M")),"")</f>
        <v>1</v>
      </c>
      <c r="AT710" s="24" t="str">
        <f t="shared" ref="AT710:AT773" si="231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221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215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16"/>
        <v>36480247.665929198</v>
      </c>
      <c r="AJ711" s="19">
        <f t="shared" si="217"/>
        <v>5330996.6372757526</v>
      </c>
      <c r="AK711" s="20">
        <f t="shared" si="226"/>
        <v>0.14613378412599562</v>
      </c>
      <c r="AL711" s="17"/>
      <c r="AM711" s="17"/>
      <c r="AN711" s="17"/>
      <c r="AO711" s="17"/>
      <c r="AP711" s="28" t="str">
        <f t="shared" si="227"/>
        <v>20227</v>
      </c>
      <c r="AQ711" s="28" t="str">
        <f t="shared" si="228"/>
        <v>20227RMB</v>
      </c>
      <c r="AR711" s="206" t="str">
        <f t="shared" si="229"/>
        <v>LOCAL SUPPLIER</v>
      </c>
      <c r="AS711" s="22">
        <f t="shared" si="230"/>
        <v>1</v>
      </c>
      <c r="AT711" s="24" t="str">
        <f t="shared" si="231"/>
        <v>0-3 months</v>
      </c>
      <c r="AU711" s="22" t="s">
        <v>3240</v>
      </c>
    </row>
    <row r="712" spans="1:47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221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215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16"/>
        <v>36480247.665929198</v>
      </c>
      <c r="AJ712" s="19">
        <f t="shared" si="217"/>
        <v>5330996.6372757526</v>
      </c>
      <c r="AK712" s="20">
        <f t="shared" si="226"/>
        <v>0.14613378412599562</v>
      </c>
      <c r="AL712" s="17"/>
      <c r="AM712" s="17"/>
      <c r="AN712" s="17"/>
      <c r="AO712" s="17"/>
      <c r="AP712" s="28" t="str">
        <f t="shared" si="227"/>
        <v>20227</v>
      </c>
      <c r="AQ712" s="28" t="str">
        <f t="shared" si="228"/>
        <v>20227RMB</v>
      </c>
      <c r="AR712" s="206" t="str">
        <f t="shared" si="229"/>
        <v>LOCAL SUPPLIER</v>
      </c>
      <c r="AS712" s="22">
        <f t="shared" si="230"/>
        <v>1</v>
      </c>
      <c r="AT712" s="24" t="str">
        <f t="shared" si="231"/>
        <v>0-3 months</v>
      </c>
      <c r="AU712" s="22" t="s">
        <v>3240</v>
      </c>
    </row>
    <row r="713" spans="1:47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221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16"/>
        <v>16455710.386637932</v>
      </c>
      <c r="AJ713" s="19">
        <f t="shared" si="217"/>
        <v>2150644.6466930606</v>
      </c>
      <c r="AK713" s="20">
        <f t="shared" si="226"/>
        <v>0.13069290818580451</v>
      </c>
      <c r="AL713" s="17"/>
      <c r="AM713" s="17"/>
      <c r="AN713" s="17"/>
      <c r="AO713" s="17"/>
      <c r="AP713" s="28" t="str">
        <f t="shared" si="227"/>
        <v>20192</v>
      </c>
      <c r="AQ713" s="28" t="str">
        <f t="shared" si="228"/>
        <v>20192RMB</v>
      </c>
      <c r="AR713" s="206" t="str">
        <f t="shared" si="229"/>
        <v>YAMAHA_Mounter</v>
      </c>
      <c r="AS713" s="22">
        <f t="shared" si="230"/>
        <v>2</v>
      </c>
      <c r="AT713" s="24" t="str">
        <f t="shared" si="231"/>
        <v>0-3 months</v>
      </c>
      <c r="AU713" s="22" t="s">
        <v>3240</v>
      </c>
    </row>
    <row r="714" spans="1:47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221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16"/>
        <v>16455710.386637932</v>
      </c>
      <c r="AJ714" s="19">
        <f t="shared" si="217"/>
        <v>2150644.6466930606</v>
      </c>
      <c r="AK714" s="20">
        <f t="shared" si="226"/>
        <v>0.13069290818580451</v>
      </c>
      <c r="AL714" s="17"/>
      <c r="AM714" s="17"/>
      <c r="AN714" s="17"/>
      <c r="AO714" s="17"/>
      <c r="AP714" s="28" t="str">
        <f t="shared" si="227"/>
        <v>20192</v>
      </c>
      <c r="AQ714" s="28" t="str">
        <f t="shared" si="228"/>
        <v>20192RMB</v>
      </c>
      <c r="AR714" s="206" t="str">
        <f t="shared" si="229"/>
        <v>YAMAHA_Mounter</v>
      </c>
      <c r="AS714" s="22">
        <f t="shared" si="230"/>
        <v>2</v>
      </c>
      <c r="AT714" s="24" t="str">
        <f t="shared" si="231"/>
        <v>0-3 months</v>
      </c>
      <c r="AU714" s="22" t="s">
        <v>3240</v>
      </c>
    </row>
    <row r="715" spans="1:47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221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16"/>
        <v>29288201.603076916</v>
      </c>
      <c r="AJ715" s="19">
        <f t="shared" si="217"/>
        <v>3870159.1769246152</v>
      </c>
      <c r="AK715" s="20">
        <f t="shared" si="226"/>
        <v>0.13214055370740244</v>
      </c>
      <c r="AL715" s="17"/>
      <c r="AM715" s="17"/>
      <c r="AN715" s="17"/>
      <c r="AO715" s="17"/>
      <c r="AP715" s="28" t="str">
        <f t="shared" si="227"/>
        <v>20184</v>
      </c>
      <c r="AQ715" s="28" t="str">
        <f t="shared" si="228"/>
        <v>20184RMB</v>
      </c>
      <c r="AR715" s="206" t="str">
        <f t="shared" si="229"/>
        <v>YAMAHA_Mounter</v>
      </c>
      <c r="AS715" s="22">
        <f t="shared" si="230"/>
        <v>3</v>
      </c>
      <c r="AT715" s="24" t="str">
        <f t="shared" si="231"/>
        <v>0-3 months</v>
      </c>
      <c r="AU715" s="22" t="s">
        <v>3240</v>
      </c>
    </row>
    <row r="716" spans="1:47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221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16"/>
        <v>17329060.066371687</v>
      </c>
      <c r="AJ716" s="19">
        <f t="shared" si="217"/>
        <v>2472600.2142256643</v>
      </c>
      <c r="AK716" s="20">
        <f t="shared" si="226"/>
        <v>0.14268518919984163</v>
      </c>
      <c r="AL716" s="17"/>
      <c r="AM716" s="17"/>
      <c r="AN716" s="17"/>
      <c r="AO716" s="17"/>
      <c r="AP716" s="28" t="str">
        <f t="shared" si="227"/>
        <v>202212</v>
      </c>
      <c r="AQ716" s="28" t="str">
        <f t="shared" si="228"/>
        <v>202212RMB</v>
      </c>
      <c r="AR716" s="206" t="str">
        <f t="shared" si="229"/>
        <v>YAMAHA_Mounter</v>
      </c>
      <c r="AS716" s="22">
        <f t="shared" si="230"/>
        <v>1</v>
      </c>
      <c r="AT716" s="24" t="str">
        <f t="shared" si="231"/>
        <v>0-3 months</v>
      </c>
      <c r="AU716" s="22" t="s">
        <v>3240</v>
      </c>
    </row>
    <row r="717" spans="1:47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221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16"/>
        <v>43684091.636631854</v>
      </c>
      <c r="AJ717" s="19">
        <f t="shared" si="217"/>
        <v>6483951.8242071122</v>
      </c>
      <c r="AK717" s="20">
        <f t="shared" si="226"/>
        <v>0.14842821680123736</v>
      </c>
      <c r="AL717" s="17"/>
      <c r="AM717" s="17"/>
      <c r="AN717" s="17"/>
      <c r="AO717" s="17"/>
      <c r="AP717" s="28" t="str">
        <f t="shared" si="227"/>
        <v>20214</v>
      </c>
      <c r="AQ717" s="28" t="str">
        <f t="shared" si="228"/>
        <v>20214RMB</v>
      </c>
      <c r="AR717" s="206" t="str">
        <f t="shared" si="229"/>
        <v>YAMAHA_Mounter</v>
      </c>
      <c r="AS717" s="22">
        <f t="shared" si="230"/>
        <v>3</v>
      </c>
      <c r="AT717" s="24" t="str">
        <f t="shared" si="231"/>
        <v>0-3 months</v>
      </c>
      <c r="AU717" s="22" t="s">
        <v>3240</v>
      </c>
    </row>
    <row r="718" spans="1:47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221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16"/>
        <v>43684091.636631854</v>
      </c>
      <c r="AJ718" s="19">
        <f t="shared" si="217"/>
        <v>6483951.8242071122</v>
      </c>
      <c r="AK718" s="20">
        <f t="shared" si="226"/>
        <v>0.14842821680123736</v>
      </c>
      <c r="AL718" s="17"/>
      <c r="AM718" s="17"/>
      <c r="AN718" s="17"/>
      <c r="AO718" s="17"/>
      <c r="AP718" s="28" t="str">
        <f t="shared" si="227"/>
        <v>20214</v>
      </c>
      <c r="AQ718" s="28" t="str">
        <f t="shared" si="228"/>
        <v>20214RMB</v>
      </c>
      <c r="AR718" s="206" t="str">
        <f t="shared" si="229"/>
        <v>YAMAHA_Mounter</v>
      </c>
      <c r="AS718" s="22">
        <f t="shared" si="230"/>
        <v>3</v>
      </c>
      <c r="AT718" s="24" t="str">
        <f t="shared" si="231"/>
        <v>0-3 months</v>
      </c>
      <c r="AU718" s="22" t="s">
        <v>3240</v>
      </c>
    </row>
    <row r="719" spans="1:47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221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16"/>
        <v>48763143.537654862</v>
      </c>
      <c r="AJ719" s="19">
        <f t="shared" si="217"/>
        <v>5924029.9702154724</v>
      </c>
      <c r="AK719" s="20">
        <f t="shared" si="226"/>
        <v>0.1214858095774925</v>
      </c>
      <c r="AL719" s="17"/>
      <c r="AM719" s="17"/>
      <c r="AN719" s="17"/>
      <c r="AO719" s="17"/>
      <c r="AP719" s="28" t="str">
        <f t="shared" si="227"/>
        <v>202012</v>
      </c>
      <c r="AQ719" s="28" t="str">
        <f t="shared" si="228"/>
        <v>202012RMB</v>
      </c>
      <c r="AR719" s="206" t="str">
        <f t="shared" si="229"/>
        <v>YAMAHA_Mounter</v>
      </c>
      <c r="AS719" s="22">
        <f t="shared" si="230"/>
        <v>3</v>
      </c>
      <c r="AT719" s="24" t="str">
        <f t="shared" si="231"/>
        <v>0-3 months</v>
      </c>
      <c r="AU719" s="22" t="s">
        <v>3240</v>
      </c>
    </row>
    <row r="720" spans="1:47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221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16"/>
        <v>48763143.537654862</v>
      </c>
      <c r="AJ720" s="19">
        <f t="shared" si="217"/>
        <v>5924029.9702154724</v>
      </c>
      <c r="AK720" s="20">
        <f t="shared" si="226"/>
        <v>0.1214858095774925</v>
      </c>
      <c r="AL720" s="17"/>
      <c r="AM720" s="17"/>
      <c r="AN720" s="17"/>
      <c r="AO720" s="17"/>
      <c r="AP720" s="28" t="str">
        <f t="shared" si="227"/>
        <v>202012</v>
      </c>
      <c r="AQ720" s="28" t="str">
        <f t="shared" si="228"/>
        <v>202012RMB</v>
      </c>
      <c r="AR720" s="206" t="str">
        <f t="shared" si="229"/>
        <v>YAMAHA_Mounter</v>
      </c>
      <c r="AS720" s="22">
        <f t="shared" si="230"/>
        <v>3</v>
      </c>
      <c r="AT720" s="24" t="str">
        <f t="shared" si="231"/>
        <v>0-3 months</v>
      </c>
      <c r="AU720" s="22" t="s">
        <v>3240</v>
      </c>
    </row>
    <row r="721" spans="1:47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221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16"/>
        <v>20319282.700884953</v>
      </c>
      <c r="AJ721" s="27">
        <f t="shared" si="217"/>
        <v>2408851.9638623013</v>
      </c>
      <c r="AK721" s="28">
        <f t="shared" si="226"/>
        <v>0.11855004919821259</v>
      </c>
      <c r="AL721" s="24"/>
      <c r="AM721" s="24"/>
      <c r="AN721" s="24"/>
      <c r="AO721" s="24"/>
      <c r="AP721" s="28" t="str">
        <f t="shared" si="227"/>
        <v>20244</v>
      </c>
      <c r="AQ721" s="28" t="str">
        <f t="shared" si="228"/>
        <v>20244USD</v>
      </c>
      <c r="AR721" s="206" t="str">
        <f t="shared" si="229"/>
        <v>YAMAHA_Mounter</v>
      </c>
      <c r="AS721" s="22">
        <f t="shared" si="230"/>
        <v>3</v>
      </c>
      <c r="AT721" s="24" t="str">
        <f t="shared" si="231"/>
        <v>0-3 months</v>
      </c>
      <c r="AU721" s="22" t="s">
        <v>3745</v>
      </c>
    </row>
    <row r="722" spans="1:47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221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16"/>
        <v>26754147.763010349</v>
      </c>
      <c r="AJ722" s="19">
        <f t="shared" si="217"/>
        <v>3429137.9965357962</v>
      </c>
      <c r="AK722" s="20">
        <f t="shared" si="226"/>
        <v>0.12817220069617921</v>
      </c>
      <c r="AL722" s="17"/>
      <c r="AM722" s="17"/>
      <c r="AN722" s="17"/>
      <c r="AO722" s="17"/>
      <c r="AP722" s="28" t="str">
        <f t="shared" si="227"/>
        <v>20188</v>
      </c>
      <c r="AQ722" s="28" t="str">
        <f t="shared" si="228"/>
        <v>20188RMB</v>
      </c>
      <c r="AR722" s="206" t="str">
        <f t="shared" si="229"/>
        <v>YAMAHA_Mounter</v>
      </c>
      <c r="AS722" s="22">
        <f t="shared" si="230"/>
        <v>3</v>
      </c>
      <c r="AT722" s="24" t="str">
        <f t="shared" si="231"/>
        <v>0-3 months</v>
      </c>
      <c r="AU722" s="22" t="s">
        <v>3240</v>
      </c>
    </row>
    <row r="723" spans="1:47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221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16"/>
        <v>26754147.763010349</v>
      </c>
      <c r="AJ723" s="19">
        <f t="shared" si="217"/>
        <v>3429137.9965357962</v>
      </c>
      <c r="AK723" s="20">
        <f t="shared" si="226"/>
        <v>0.12817220069617921</v>
      </c>
      <c r="AL723" s="17"/>
      <c r="AM723" s="17"/>
      <c r="AN723" s="17"/>
      <c r="AO723" s="17"/>
      <c r="AP723" s="28" t="str">
        <f t="shared" si="227"/>
        <v>20188</v>
      </c>
      <c r="AQ723" s="28" t="str">
        <f t="shared" si="228"/>
        <v>20188RMB</v>
      </c>
      <c r="AR723" s="206" t="str">
        <f t="shared" si="229"/>
        <v>YAMAHA_Mounter</v>
      </c>
      <c r="AS723" s="22">
        <f t="shared" si="230"/>
        <v>3</v>
      </c>
      <c r="AT723" s="24" t="str">
        <f t="shared" si="231"/>
        <v>0-3 months</v>
      </c>
      <c r="AU723" s="22" t="s">
        <v>3240</v>
      </c>
    </row>
    <row r="724" spans="1:47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221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16"/>
        <v>26754147.763010349</v>
      </c>
      <c r="AJ724" s="19">
        <f t="shared" si="217"/>
        <v>3429137.9965357962</v>
      </c>
      <c r="AK724" s="20">
        <f t="shared" si="226"/>
        <v>0.12817220069617921</v>
      </c>
      <c r="AL724" s="17"/>
      <c r="AM724" s="17"/>
      <c r="AN724" s="17"/>
      <c r="AO724" s="17"/>
      <c r="AP724" s="28" t="str">
        <f t="shared" si="227"/>
        <v>20188</v>
      </c>
      <c r="AQ724" s="28" t="str">
        <f t="shared" si="228"/>
        <v>20188RMB</v>
      </c>
      <c r="AR724" s="206" t="str">
        <f t="shared" si="229"/>
        <v>YAMAHA_Mounter</v>
      </c>
      <c r="AS724" s="22">
        <f t="shared" si="230"/>
        <v>3</v>
      </c>
      <c r="AT724" s="24" t="str">
        <f t="shared" si="231"/>
        <v>0-3 months</v>
      </c>
      <c r="AU724" s="22" t="s">
        <v>3240</v>
      </c>
    </row>
    <row r="725" spans="1:47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221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32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16"/>
        <v>54700260.692079648</v>
      </c>
      <c r="AJ725" s="19">
        <f t="shared" si="217"/>
        <v>7482899.5749188727</v>
      </c>
      <c r="AK725" s="20">
        <f t="shared" si="226"/>
        <v>0.13679824337660537</v>
      </c>
      <c r="AL725" s="17"/>
      <c r="AM725" s="17"/>
      <c r="AN725" s="17"/>
      <c r="AO725" s="17"/>
      <c r="AP725" s="28" t="str">
        <f t="shared" si="227"/>
        <v>20216</v>
      </c>
      <c r="AQ725" s="28" t="str">
        <f t="shared" si="228"/>
        <v>20216JPY</v>
      </c>
      <c r="AR725" s="206" t="str">
        <f t="shared" si="229"/>
        <v>YAMAHA_Mounter</v>
      </c>
      <c r="AS725" s="22">
        <f t="shared" si="230"/>
        <v>1</v>
      </c>
      <c r="AT725" s="24" t="str">
        <f t="shared" si="231"/>
        <v>0-3 months</v>
      </c>
      <c r="AU725" s="22" t="s">
        <v>3744</v>
      </c>
    </row>
    <row r="726" spans="1:47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221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32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16"/>
        <v>47458373.787610628</v>
      </c>
      <c r="AJ726" s="19">
        <f t="shared" si="217"/>
        <v>7436880.1411522133</v>
      </c>
      <c r="AK726" s="20">
        <f t="shared" si="226"/>
        <v>0.15670322321692506</v>
      </c>
      <c r="AL726" s="17"/>
      <c r="AM726" s="17"/>
      <c r="AN726" s="17"/>
      <c r="AO726" s="17"/>
      <c r="AP726" s="28" t="str">
        <f t="shared" si="227"/>
        <v>20218</v>
      </c>
      <c r="AQ726" s="28" t="str">
        <f t="shared" si="228"/>
        <v>20218JPY</v>
      </c>
      <c r="AR726" s="206" t="str">
        <f t="shared" si="229"/>
        <v>YAMAHA_Mounter</v>
      </c>
      <c r="AS726" s="22">
        <f t="shared" si="230"/>
        <v>3</v>
      </c>
      <c r="AT726" s="24" t="str">
        <f t="shared" si="231"/>
        <v>0-3 months</v>
      </c>
      <c r="AU726" s="22" t="s">
        <v>3744</v>
      </c>
    </row>
    <row r="727" spans="1:47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221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32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16"/>
        <v>28726768.133805312</v>
      </c>
      <c r="AJ727" s="19">
        <f t="shared" si="217"/>
        <v>3853638.1988864429</v>
      </c>
      <c r="AK727" s="20">
        <f t="shared" si="226"/>
        <v>0.1341479898099476</v>
      </c>
      <c r="AL727" s="17"/>
      <c r="AM727" s="17"/>
      <c r="AN727" s="17"/>
      <c r="AO727" s="17"/>
      <c r="AP727" s="28" t="str">
        <f t="shared" si="227"/>
        <v>20223</v>
      </c>
      <c r="AQ727" s="28" t="str">
        <f t="shared" si="228"/>
        <v>20223JPY</v>
      </c>
      <c r="AR727" s="206" t="str">
        <f t="shared" si="229"/>
        <v>YAMAHA_Mounter</v>
      </c>
      <c r="AS727" s="22">
        <f t="shared" si="230"/>
        <v>10</v>
      </c>
      <c r="AT727" s="24" t="str">
        <f t="shared" si="231"/>
        <v>&gt; 6 months</v>
      </c>
      <c r="AU727" s="22" t="s">
        <v>3744</v>
      </c>
    </row>
    <row r="728" spans="1:47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221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32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16"/>
        <v>28726768.133805312</v>
      </c>
      <c r="AJ728" s="19">
        <f t="shared" si="217"/>
        <v>3853638.1988864429</v>
      </c>
      <c r="AK728" s="20">
        <f t="shared" si="226"/>
        <v>0.1341479898099476</v>
      </c>
      <c r="AL728" s="17"/>
      <c r="AM728" s="17"/>
      <c r="AN728" s="17"/>
      <c r="AO728" s="17"/>
      <c r="AP728" s="28" t="str">
        <f t="shared" si="227"/>
        <v>20223</v>
      </c>
      <c r="AQ728" s="28" t="str">
        <f t="shared" si="228"/>
        <v>20223JPY</v>
      </c>
      <c r="AR728" s="206" t="str">
        <f t="shared" si="229"/>
        <v>YAMAHA_Mounter</v>
      </c>
      <c r="AS728" s="22">
        <f t="shared" si="230"/>
        <v>10</v>
      </c>
      <c r="AT728" s="24" t="str">
        <f t="shared" si="231"/>
        <v>&gt; 6 months</v>
      </c>
      <c r="AU728" s="22" t="s">
        <v>3744</v>
      </c>
    </row>
    <row r="729" spans="1:47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221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32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16"/>
        <v>46600814.041769907</v>
      </c>
      <c r="AJ729" s="19">
        <f t="shared" si="217"/>
        <v>5956366.3435927071</v>
      </c>
      <c r="AK729" s="20">
        <f t="shared" si="226"/>
        <v>0.1278167874546958</v>
      </c>
      <c r="AL729" s="17"/>
      <c r="AM729" s="17"/>
      <c r="AN729" s="17"/>
      <c r="AO729" s="17"/>
      <c r="AP729" s="28" t="str">
        <f t="shared" si="227"/>
        <v>20224</v>
      </c>
      <c r="AQ729" s="28" t="str">
        <f t="shared" si="228"/>
        <v>20224JPY</v>
      </c>
      <c r="AR729" s="206" t="str">
        <f t="shared" si="229"/>
        <v>YAMAHA_Mounter</v>
      </c>
      <c r="AS729" s="22">
        <f t="shared" si="230"/>
        <v>11</v>
      </c>
      <c r="AT729" s="24" t="str">
        <f t="shared" si="231"/>
        <v>&gt; 6 months</v>
      </c>
      <c r="AU729" s="22" t="s">
        <v>3744</v>
      </c>
    </row>
    <row r="730" spans="1:47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221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32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16"/>
        <v>46600814.041769907</v>
      </c>
      <c r="AJ730" s="19">
        <f t="shared" si="217"/>
        <v>5956366.3435927071</v>
      </c>
      <c r="AK730" s="20">
        <f t="shared" si="226"/>
        <v>0.1278167874546958</v>
      </c>
      <c r="AL730" s="17"/>
      <c r="AM730" s="17"/>
      <c r="AN730" s="17"/>
      <c r="AO730" s="17"/>
      <c r="AP730" s="28" t="str">
        <f t="shared" si="227"/>
        <v>20224</v>
      </c>
      <c r="AQ730" s="28" t="str">
        <f t="shared" si="228"/>
        <v>20224JPY</v>
      </c>
      <c r="AR730" s="206" t="str">
        <f t="shared" si="229"/>
        <v>YAMAHA_Mounter</v>
      </c>
      <c r="AS730" s="22">
        <f t="shared" si="230"/>
        <v>11</v>
      </c>
      <c r="AT730" s="24" t="str">
        <f t="shared" si="231"/>
        <v>&gt; 6 months</v>
      </c>
      <c r="AU730" s="22" t="s">
        <v>3744</v>
      </c>
    </row>
    <row r="731" spans="1:47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221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16"/>
        <v>34109166.105589926</v>
      </c>
      <c r="AJ731" s="19">
        <f t="shared" si="217"/>
        <v>4642032.7199573703</v>
      </c>
      <c r="AK731" s="20">
        <f t="shared" si="226"/>
        <v>0.13609340977692849</v>
      </c>
      <c r="AL731" s="17"/>
      <c r="AM731" s="17"/>
      <c r="AN731" s="17"/>
      <c r="AO731" s="17"/>
      <c r="AP731" s="28" t="str">
        <f t="shared" si="227"/>
        <v>20185</v>
      </c>
      <c r="AQ731" s="28" t="str">
        <f t="shared" si="228"/>
        <v>20185RMB</v>
      </c>
      <c r="AR731" s="206" t="str">
        <f t="shared" si="229"/>
        <v>YAMAHA_Mounter</v>
      </c>
      <c r="AS731" s="22">
        <f t="shared" si="230"/>
        <v>1</v>
      </c>
      <c r="AT731" s="24" t="str">
        <f t="shared" si="231"/>
        <v>0-3 months</v>
      </c>
      <c r="AU731" s="22" t="s">
        <v>3743</v>
      </c>
    </row>
    <row r="732" spans="1:47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221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16"/>
        <v>31097187.02948761</v>
      </c>
      <c r="AJ732" s="19">
        <f t="shared" si="217"/>
        <v>3892353.6644401965</v>
      </c>
      <c r="AK732" s="20">
        <f t="shared" si="226"/>
        <v>0.12516738767237401</v>
      </c>
      <c r="AL732" s="17"/>
      <c r="AM732" s="17"/>
      <c r="AN732" s="17"/>
      <c r="AO732" s="17"/>
      <c r="AP732" s="28" t="str">
        <f t="shared" si="227"/>
        <v>20212</v>
      </c>
      <c r="AQ732" s="28" t="str">
        <f t="shared" si="228"/>
        <v>20212JPY</v>
      </c>
      <c r="AR732" s="206" t="str">
        <f t="shared" si="229"/>
        <v>YAMAHA_Mounter</v>
      </c>
      <c r="AS732" s="22">
        <f t="shared" si="230"/>
        <v>1</v>
      </c>
      <c r="AT732" s="24" t="str">
        <f t="shared" si="231"/>
        <v>0-3 months</v>
      </c>
      <c r="AU732" s="22" t="s">
        <v>3744</v>
      </c>
    </row>
    <row r="733" spans="1:47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220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221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16"/>
        <v>499582152.5142017</v>
      </c>
      <c r="AJ733" s="19">
        <f t="shared" si="217"/>
        <v>59520528.679470733</v>
      </c>
      <c r="AK733" s="20">
        <f t="shared" si="226"/>
        <v>0.11914062257814291</v>
      </c>
      <c r="AL733" s="17"/>
      <c r="AM733" s="17"/>
      <c r="AN733" s="17"/>
      <c r="AO733" s="17"/>
      <c r="AP733" s="28" t="str">
        <f t="shared" si="227"/>
        <v>CancelCancel</v>
      </c>
      <c r="AQ733" s="28" t="str">
        <f t="shared" si="228"/>
        <v>CancelCancelJPY</v>
      </c>
      <c r="AR733" s="206" t="str">
        <f t="shared" si="229"/>
        <v>YAMAHA_Mounter</v>
      </c>
      <c r="AS733" s="22" t="str">
        <f t="shared" si="230"/>
        <v/>
      </c>
      <c r="AT733" s="24" t="str">
        <f t="shared" si="231"/>
        <v/>
      </c>
      <c r="AU733" s="22" t="s">
        <v>3240</v>
      </c>
    </row>
    <row r="734" spans="1:47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220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221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16"/>
        <v>499582152.5142017</v>
      </c>
      <c r="AJ734" s="19">
        <f t="shared" si="217"/>
        <v>59520528.679470733</v>
      </c>
      <c r="AK734" s="20">
        <f t="shared" si="226"/>
        <v>0.11914062257814291</v>
      </c>
      <c r="AL734" s="17"/>
      <c r="AM734" s="17"/>
      <c r="AN734" s="17"/>
      <c r="AO734" s="17"/>
      <c r="AP734" s="28" t="str">
        <f t="shared" si="227"/>
        <v>CancelCancel</v>
      </c>
      <c r="AQ734" s="28" t="str">
        <f t="shared" si="228"/>
        <v>CancelCancelJPY</v>
      </c>
      <c r="AR734" s="206" t="str">
        <f t="shared" si="229"/>
        <v>YAMAHA_Mounter</v>
      </c>
      <c r="AS734" s="22" t="str">
        <f t="shared" si="230"/>
        <v/>
      </c>
      <c r="AT734" s="24" t="str">
        <f t="shared" si="231"/>
        <v/>
      </c>
      <c r="AU734" s="22" t="s">
        <v>3240</v>
      </c>
    </row>
    <row r="735" spans="1:47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221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33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16"/>
        <v>43684091.636631854</v>
      </c>
      <c r="AJ735" s="19">
        <f t="shared" si="217"/>
        <v>6483951.8242071122</v>
      </c>
      <c r="AK735" s="20">
        <f t="shared" si="226"/>
        <v>0.14842821680123736</v>
      </c>
      <c r="AL735" s="17"/>
      <c r="AM735" s="17"/>
      <c r="AN735" s="17"/>
      <c r="AO735" s="17"/>
      <c r="AP735" s="28" t="str">
        <f t="shared" si="227"/>
        <v>20214</v>
      </c>
      <c r="AQ735" s="28" t="str">
        <f t="shared" si="228"/>
        <v>20214JPY</v>
      </c>
      <c r="AR735" s="206" t="str">
        <f t="shared" si="229"/>
        <v>YAMAHA_Mounter</v>
      </c>
      <c r="AS735" s="22">
        <f t="shared" si="230"/>
        <v>1</v>
      </c>
      <c r="AT735" s="24" t="str">
        <f t="shared" si="231"/>
        <v>0-3 months</v>
      </c>
      <c r="AU735" s="22" t="s">
        <v>3745</v>
      </c>
    </row>
    <row r="736" spans="1:47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221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33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16"/>
        <v>43684091.636631854</v>
      </c>
      <c r="AJ736" s="19">
        <f t="shared" si="217"/>
        <v>6483951.8242071122</v>
      </c>
      <c r="AK736" s="20">
        <f t="shared" si="226"/>
        <v>0.14842821680123736</v>
      </c>
      <c r="AL736" s="17"/>
      <c r="AM736" s="17"/>
      <c r="AN736" s="17"/>
      <c r="AO736" s="17"/>
      <c r="AP736" s="28" t="str">
        <f t="shared" si="227"/>
        <v>20214</v>
      </c>
      <c r="AQ736" s="28" t="str">
        <f t="shared" si="228"/>
        <v>20214JPY</v>
      </c>
      <c r="AR736" s="206" t="str">
        <f t="shared" si="229"/>
        <v>YAMAHA_Mounter</v>
      </c>
      <c r="AS736" s="22">
        <f t="shared" si="230"/>
        <v>1</v>
      </c>
      <c r="AT736" s="24" t="str">
        <f t="shared" si="231"/>
        <v>0-3 months</v>
      </c>
      <c r="AU736" s="22" t="s">
        <v>3745</v>
      </c>
    </row>
    <row r="737" spans="1:47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221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33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16"/>
        <v>46600814.041769907</v>
      </c>
      <c r="AJ737" s="19">
        <f t="shared" si="217"/>
        <v>5956366.3435927071</v>
      </c>
      <c r="AK737" s="20">
        <f t="shared" si="226"/>
        <v>0.1278167874546958</v>
      </c>
      <c r="AL737" s="17"/>
      <c r="AM737" s="17"/>
      <c r="AN737" s="17"/>
      <c r="AO737" s="17"/>
      <c r="AP737" s="28" t="str">
        <f t="shared" si="227"/>
        <v>20224</v>
      </c>
      <c r="AQ737" s="28" t="str">
        <f t="shared" si="228"/>
        <v>20224JPY</v>
      </c>
      <c r="AR737" s="206" t="str">
        <f t="shared" si="229"/>
        <v>YAMAHA_Mounter</v>
      </c>
      <c r="AS737" s="22">
        <f t="shared" si="230"/>
        <v>7</v>
      </c>
      <c r="AT737" s="24" t="str">
        <f t="shared" si="231"/>
        <v>&gt; 6 months</v>
      </c>
      <c r="AU737" s="22" t="s">
        <v>3744</v>
      </c>
    </row>
    <row r="738" spans="1:47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221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33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16"/>
        <v>46600814.041769907</v>
      </c>
      <c r="AJ738" s="19">
        <f t="shared" si="217"/>
        <v>5956366.3435927071</v>
      </c>
      <c r="AK738" s="20">
        <f t="shared" si="226"/>
        <v>0.1278167874546958</v>
      </c>
      <c r="AL738" s="17"/>
      <c r="AM738" s="17"/>
      <c r="AN738" s="17"/>
      <c r="AO738" s="17"/>
      <c r="AP738" s="28" t="str">
        <f t="shared" si="227"/>
        <v>20224</v>
      </c>
      <c r="AQ738" s="28" t="str">
        <f t="shared" si="228"/>
        <v>20224JPY</v>
      </c>
      <c r="AR738" s="206" t="str">
        <f t="shared" si="229"/>
        <v>YAMAHA_Mounter</v>
      </c>
      <c r="AS738" s="22">
        <f t="shared" si="230"/>
        <v>7</v>
      </c>
      <c r="AT738" s="24" t="str">
        <f t="shared" si="231"/>
        <v>&gt; 6 months</v>
      </c>
      <c r="AU738" s="22" t="s">
        <v>3744</v>
      </c>
    </row>
    <row r="739" spans="1:47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221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33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16"/>
        <v>35682787.057522126</v>
      </c>
      <c r="AJ739" s="19">
        <f t="shared" si="217"/>
        <v>5833368.3789623892</v>
      </c>
      <c r="AK739" s="20">
        <f t="shared" si="226"/>
        <v>0.16347849649632912</v>
      </c>
      <c r="AL739" s="17"/>
      <c r="AM739" s="17"/>
      <c r="AN739" s="17"/>
      <c r="AO739" s="17"/>
      <c r="AP739" s="28" t="str">
        <f t="shared" si="227"/>
        <v>20226</v>
      </c>
      <c r="AQ739" s="28" t="str">
        <f t="shared" si="228"/>
        <v>20226RMB</v>
      </c>
      <c r="AR739" s="206" t="str">
        <f t="shared" si="229"/>
        <v>YAMAHA_Mounter</v>
      </c>
      <c r="AS739" s="22">
        <f t="shared" si="230"/>
        <v>0</v>
      </c>
      <c r="AT739" s="24" t="str">
        <f t="shared" si="231"/>
        <v>0-3 months</v>
      </c>
      <c r="AU739" s="22" t="s">
        <v>3750</v>
      </c>
    </row>
    <row r="740" spans="1:47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221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33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16"/>
        <v>35682787.057522126</v>
      </c>
      <c r="AJ740" s="19">
        <f t="shared" si="217"/>
        <v>5833368.3789623892</v>
      </c>
      <c r="AK740" s="20">
        <f t="shared" si="226"/>
        <v>0.16347849649632912</v>
      </c>
      <c r="AL740" s="17"/>
      <c r="AM740" s="17"/>
      <c r="AN740" s="17"/>
      <c r="AO740" s="17"/>
      <c r="AP740" s="28" t="str">
        <f t="shared" si="227"/>
        <v>20226</v>
      </c>
      <c r="AQ740" s="28" t="str">
        <f t="shared" si="228"/>
        <v>20226RMB</v>
      </c>
      <c r="AR740" s="206" t="str">
        <f t="shared" si="229"/>
        <v>YAMAHA_Mounter</v>
      </c>
      <c r="AS740" s="22">
        <f t="shared" si="230"/>
        <v>0</v>
      </c>
      <c r="AT740" s="24" t="str">
        <f t="shared" si="231"/>
        <v>0-3 months</v>
      </c>
      <c r="AU740" s="22" t="s">
        <v>3750</v>
      </c>
    </row>
    <row r="741" spans="1:47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221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16"/>
        <v>27318180.088495575</v>
      </c>
      <c r="AJ741" s="19">
        <f t="shared" si="217"/>
        <v>3014099.212353982</v>
      </c>
      <c r="AK741" s="20">
        <f t="shared" si="226"/>
        <v>0.11033308963444827</v>
      </c>
      <c r="AL741" s="17"/>
      <c r="AM741" s="17"/>
      <c r="AN741" s="17"/>
      <c r="AO741" s="17"/>
      <c r="AP741" s="28" t="str">
        <f t="shared" si="227"/>
        <v>201912</v>
      </c>
      <c r="AQ741" s="28" t="str">
        <f t="shared" si="228"/>
        <v>201912JPY</v>
      </c>
      <c r="AR741" s="206" t="str">
        <f t="shared" si="229"/>
        <v>YAMAHA_Mounter</v>
      </c>
      <c r="AS741" s="22">
        <f t="shared" si="230"/>
        <v>0</v>
      </c>
      <c r="AT741" s="24" t="str">
        <f t="shared" si="231"/>
        <v>0-3 months</v>
      </c>
      <c r="AU741" s="22" t="s">
        <v>3744</v>
      </c>
    </row>
    <row r="742" spans="1:47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221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16"/>
        <v>23168285.927433632</v>
      </c>
      <c r="AJ742" s="19">
        <f t="shared" si="217"/>
        <v>2764878.916878053</v>
      </c>
      <c r="AK742" s="20">
        <f t="shared" si="226"/>
        <v>0.11933895004309111</v>
      </c>
      <c r="AL742" s="17"/>
      <c r="AM742" s="17"/>
      <c r="AN742" s="17"/>
      <c r="AO742" s="17"/>
      <c r="AP742" s="28" t="str">
        <f t="shared" si="227"/>
        <v>20203</v>
      </c>
      <c r="AQ742" s="28" t="str">
        <f t="shared" si="228"/>
        <v>20203JPY</v>
      </c>
      <c r="AR742" s="206" t="str">
        <f t="shared" si="229"/>
        <v>YAMAHA_Mounter</v>
      </c>
      <c r="AS742" s="22">
        <f t="shared" si="230"/>
        <v>0</v>
      </c>
      <c r="AT742" s="24" t="str">
        <f t="shared" si="231"/>
        <v>0-3 months</v>
      </c>
      <c r="AU742" s="22" t="s">
        <v>3744</v>
      </c>
    </row>
    <row r="743" spans="1:47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221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16"/>
        <v>28011162.254106201</v>
      </c>
      <c r="AJ743" s="19">
        <f t="shared" si="217"/>
        <v>3401347.1124888416</v>
      </c>
      <c r="AK743" s="20">
        <f t="shared" si="226"/>
        <v>0.12142827497242578</v>
      </c>
      <c r="AL743" s="17"/>
      <c r="AM743" s="17"/>
      <c r="AN743" s="17"/>
      <c r="AO743" s="17"/>
      <c r="AP743" s="28" t="str">
        <f t="shared" si="227"/>
        <v>202010</v>
      </c>
      <c r="AQ743" s="28" t="str">
        <f t="shared" si="228"/>
        <v>202010JPY</v>
      </c>
      <c r="AR743" s="206" t="str">
        <f t="shared" si="229"/>
        <v>YAMAHA_Mounter</v>
      </c>
      <c r="AS743" s="22">
        <f t="shared" si="230"/>
        <v>3</v>
      </c>
      <c r="AT743" s="24" t="str">
        <f t="shared" si="231"/>
        <v>0-3 months</v>
      </c>
      <c r="AU743" s="22" t="s">
        <v>3744</v>
      </c>
    </row>
    <row r="744" spans="1:47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221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16"/>
        <v>28011162.254106201</v>
      </c>
      <c r="AJ744" s="19">
        <f t="shared" si="217"/>
        <v>3401347.1124888416</v>
      </c>
      <c r="AK744" s="20">
        <f t="shared" si="226"/>
        <v>0.12142827497242578</v>
      </c>
      <c r="AL744" s="17"/>
      <c r="AM744" s="17"/>
      <c r="AN744" s="17"/>
      <c r="AO744" s="17"/>
      <c r="AP744" s="28" t="str">
        <f t="shared" si="227"/>
        <v>202010</v>
      </c>
      <c r="AQ744" s="28" t="str">
        <f t="shared" si="228"/>
        <v>202010JPY</v>
      </c>
      <c r="AR744" s="206" t="str">
        <f t="shared" si="229"/>
        <v>YAMAHA_Mounter</v>
      </c>
      <c r="AS744" s="22">
        <f t="shared" si="230"/>
        <v>1</v>
      </c>
      <c r="AT744" s="24" t="str">
        <f t="shared" si="231"/>
        <v>0-3 months</v>
      </c>
      <c r="AU744" s="22" t="s">
        <v>3744</v>
      </c>
    </row>
    <row r="745" spans="1:47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221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16"/>
        <v>28011162.254106201</v>
      </c>
      <c r="AJ745" s="19">
        <f t="shared" si="217"/>
        <v>3401347.1124888416</v>
      </c>
      <c r="AK745" s="20">
        <f t="shared" si="226"/>
        <v>0.12142827497242578</v>
      </c>
      <c r="AL745" s="17"/>
      <c r="AM745" s="17"/>
      <c r="AN745" s="17"/>
      <c r="AO745" s="17"/>
      <c r="AP745" s="28" t="str">
        <f t="shared" si="227"/>
        <v>202010</v>
      </c>
      <c r="AQ745" s="28" t="str">
        <f t="shared" si="228"/>
        <v>202010JPY</v>
      </c>
      <c r="AR745" s="206" t="str">
        <f t="shared" si="229"/>
        <v>YAMAHA_Mounter</v>
      </c>
      <c r="AS745" s="22">
        <f t="shared" si="230"/>
        <v>1</v>
      </c>
      <c r="AT745" s="24" t="str">
        <f t="shared" si="231"/>
        <v>0-3 months</v>
      </c>
      <c r="AU745" s="22" t="s">
        <v>3744</v>
      </c>
    </row>
    <row r="746" spans="1:47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221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16"/>
        <v>48763143.537654862</v>
      </c>
      <c r="AJ746" s="19">
        <f t="shared" si="217"/>
        <v>5924029.9702154724</v>
      </c>
      <c r="AK746" s="20">
        <f t="shared" si="226"/>
        <v>0.1214858095774925</v>
      </c>
      <c r="AL746" s="17"/>
      <c r="AM746" s="17"/>
      <c r="AN746" s="17"/>
      <c r="AO746" s="17"/>
      <c r="AP746" s="28" t="str">
        <f t="shared" si="227"/>
        <v>202012</v>
      </c>
      <c r="AQ746" s="28" t="str">
        <f t="shared" si="228"/>
        <v>202012JPY</v>
      </c>
      <c r="AR746" s="206" t="str">
        <f t="shared" si="229"/>
        <v>YAMAHA_Mounter</v>
      </c>
      <c r="AS746" s="22">
        <f t="shared" si="230"/>
        <v>3</v>
      </c>
      <c r="AT746" s="24" t="str">
        <f t="shared" si="231"/>
        <v>0-3 months</v>
      </c>
      <c r="AU746" s="22" t="s">
        <v>3240</v>
      </c>
    </row>
    <row r="747" spans="1:47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221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16"/>
        <v>37599388.802345134</v>
      </c>
      <c r="AJ747" s="19">
        <f t="shared" si="217"/>
        <v>4866784.3630338367</v>
      </c>
      <c r="AK747" s="20">
        <f t="shared" si="226"/>
        <v>0.12943785838163113</v>
      </c>
      <c r="AL747" s="17"/>
      <c r="AM747" s="17"/>
      <c r="AN747" s="17"/>
      <c r="AO747" s="17"/>
      <c r="AP747" s="28" t="str">
        <f t="shared" si="227"/>
        <v>20199</v>
      </c>
      <c r="AQ747" s="28" t="str">
        <f t="shared" si="228"/>
        <v>20199RMB</v>
      </c>
      <c r="AR747" s="206" t="str">
        <f t="shared" si="229"/>
        <v>YAMAHA_Mounter</v>
      </c>
      <c r="AS747" s="22">
        <f t="shared" si="230"/>
        <v>1</v>
      </c>
      <c r="AT747" s="24" t="str">
        <f t="shared" si="231"/>
        <v>0-3 months</v>
      </c>
      <c r="AU747" s="22" t="s">
        <v>3743</v>
      </c>
    </row>
    <row r="748" spans="1:47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221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16"/>
        <v>20319282.700884953</v>
      </c>
      <c r="AJ748" s="27">
        <f t="shared" si="217"/>
        <v>2408851.9638623013</v>
      </c>
      <c r="AK748" s="28">
        <f t="shared" si="226"/>
        <v>0.11855004919821259</v>
      </c>
      <c r="AL748" s="24"/>
      <c r="AM748" s="24"/>
      <c r="AN748" s="24"/>
      <c r="AO748" s="24"/>
      <c r="AP748" s="28" t="str">
        <f t="shared" si="227"/>
        <v>20244</v>
      </c>
      <c r="AQ748" s="28" t="str">
        <f t="shared" si="228"/>
        <v>20244USD</v>
      </c>
      <c r="AR748" s="206" t="str">
        <f t="shared" si="229"/>
        <v>YAMAHA_Mounter</v>
      </c>
      <c r="AS748" s="22">
        <f t="shared" si="230"/>
        <v>3</v>
      </c>
      <c r="AT748" s="24" t="str">
        <f t="shared" si="231"/>
        <v>0-3 months</v>
      </c>
      <c r="AU748" s="22" t="s">
        <v>3745</v>
      </c>
    </row>
    <row r="749" spans="1:47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221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16"/>
        <v>20319282.700884953</v>
      </c>
      <c r="AJ749" s="27">
        <f t="shared" si="217"/>
        <v>2408851.9638623013</v>
      </c>
      <c r="AK749" s="28">
        <f t="shared" si="226"/>
        <v>0.11855004919821259</v>
      </c>
      <c r="AL749" s="24"/>
      <c r="AM749" s="24"/>
      <c r="AN749" s="24"/>
      <c r="AO749" s="24"/>
      <c r="AP749" s="28" t="str">
        <f t="shared" si="227"/>
        <v>20244</v>
      </c>
      <c r="AQ749" s="28" t="str">
        <f t="shared" si="228"/>
        <v>20244JPY</v>
      </c>
      <c r="AR749" s="206" t="str">
        <f t="shared" si="229"/>
        <v>YAMAHA_Mounter</v>
      </c>
      <c r="AS749" s="22">
        <f t="shared" si="230"/>
        <v>1</v>
      </c>
      <c r="AT749" s="24" t="str">
        <f t="shared" si="231"/>
        <v>0-3 months</v>
      </c>
      <c r="AU749" s="22" t="s">
        <v>3744</v>
      </c>
    </row>
    <row r="750" spans="1:47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221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34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16"/>
        <v>35384300.169380538</v>
      </c>
      <c r="AJ750" s="19">
        <f t="shared" si="217"/>
        <v>5044538.8896988509</v>
      </c>
      <c r="AK750" s="20">
        <f t="shared" si="226"/>
        <v>0.14256432557804533</v>
      </c>
      <c r="AL750" s="17"/>
      <c r="AM750" s="17"/>
      <c r="AN750" s="17"/>
      <c r="AO750" s="17"/>
      <c r="AP750" s="28" t="str">
        <f t="shared" si="227"/>
        <v>20207</v>
      </c>
      <c r="AQ750" s="28" t="str">
        <f t="shared" si="228"/>
        <v>20207RMB</v>
      </c>
      <c r="AR750" s="206" t="str">
        <f t="shared" si="229"/>
        <v>YAMAHA_Mounter</v>
      </c>
      <c r="AS750" s="22">
        <f t="shared" si="230"/>
        <v>1</v>
      </c>
      <c r="AT750" s="24" t="str">
        <f t="shared" si="231"/>
        <v>0-3 months</v>
      </c>
      <c r="AU750" s="22" t="s">
        <v>3743</v>
      </c>
    </row>
    <row r="751" spans="1:47" s="12" customFormat="1">
      <c r="A751" s="33" t="str">
        <f t="shared" si="218"/>
        <v>cancel</v>
      </c>
      <c r="B751" s="152"/>
      <c r="C751" s="152" t="s">
        <v>185</v>
      </c>
      <c r="D751" s="33" t="str">
        <f t="shared" si="219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220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221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34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16"/>
        <v>499582152.5142017</v>
      </c>
      <c r="AJ751" s="19">
        <f t="shared" si="217"/>
        <v>59520528.679470733</v>
      </c>
      <c r="AK751" s="20">
        <f t="shared" si="226"/>
        <v>0.11914062257814291</v>
      </c>
      <c r="AL751" s="17"/>
      <c r="AM751" s="17"/>
      <c r="AN751" s="17"/>
      <c r="AO751" s="17"/>
      <c r="AP751" s="28" t="str">
        <f t="shared" si="227"/>
        <v>CancelCancel</v>
      </c>
      <c r="AQ751" s="28" t="str">
        <f t="shared" si="228"/>
        <v>CancelCancelRMB</v>
      </c>
      <c r="AR751" s="206" t="str">
        <f t="shared" si="229"/>
        <v>YAMAHA_Mounter</v>
      </c>
      <c r="AS751" s="22" t="str">
        <f t="shared" si="230"/>
        <v/>
      </c>
      <c r="AT751" s="24" t="str">
        <f t="shared" si="231"/>
        <v/>
      </c>
      <c r="AU751" s="22" t="s">
        <v>3743</v>
      </c>
    </row>
    <row r="752" spans="1:47" s="12" customFormat="1">
      <c r="A752" s="33" t="str">
        <f t="shared" si="218"/>
        <v>cancel</v>
      </c>
      <c r="B752" s="152"/>
      <c r="C752" s="152" t="s">
        <v>185</v>
      </c>
      <c r="D752" s="33" t="str">
        <f t="shared" si="219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220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221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34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16"/>
        <v>499582152.5142017</v>
      </c>
      <c r="AJ752" s="19">
        <f t="shared" si="217"/>
        <v>59520528.679470733</v>
      </c>
      <c r="AK752" s="20">
        <f t="shared" si="226"/>
        <v>0.11914062257814291</v>
      </c>
      <c r="AL752" s="17"/>
      <c r="AM752" s="17"/>
      <c r="AN752" s="17"/>
      <c r="AO752" s="17"/>
      <c r="AP752" s="28" t="str">
        <f t="shared" si="227"/>
        <v>CancelCancel</v>
      </c>
      <c r="AQ752" s="28" t="str">
        <f t="shared" si="228"/>
        <v>CancelCancelRMB</v>
      </c>
      <c r="AR752" s="206" t="str">
        <f t="shared" si="229"/>
        <v>YAMAHA_Mounter</v>
      </c>
      <c r="AS752" s="22" t="str">
        <f t="shared" si="230"/>
        <v/>
      </c>
      <c r="AT752" s="24" t="str">
        <f t="shared" si="231"/>
        <v/>
      </c>
      <c r="AU752" s="22" t="s">
        <v>3743</v>
      </c>
    </row>
    <row r="753" spans="1:47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221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34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16"/>
        <v>47416008.333399981</v>
      </c>
      <c r="AJ753" s="19">
        <f t="shared" si="217"/>
        <v>6981738.4465290187</v>
      </c>
      <c r="AK753" s="20">
        <f t="shared" si="226"/>
        <v>0.14724433143839863</v>
      </c>
      <c r="AL753" s="17"/>
      <c r="AM753" s="17"/>
      <c r="AN753" s="17"/>
      <c r="AO753" s="17"/>
      <c r="AP753" s="28" t="str">
        <f t="shared" si="227"/>
        <v>20193</v>
      </c>
      <c r="AQ753" s="28" t="str">
        <f t="shared" si="228"/>
        <v>20193RMB</v>
      </c>
      <c r="AR753" s="206" t="str">
        <f t="shared" si="229"/>
        <v>YAMAHA_Mounter</v>
      </c>
      <c r="AS753" s="22">
        <f t="shared" si="230"/>
        <v>0</v>
      </c>
      <c r="AT753" s="24" t="str">
        <f t="shared" si="231"/>
        <v>0-3 months</v>
      </c>
      <c r="AU753" s="22" t="s">
        <v>3240</v>
      </c>
    </row>
    <row r="754" spans="1:47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221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34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16"/>
        <v>47416008.333399981</v>
      </c>
      <c r="AJ754" s="19">
        <f t="shared" si="217"/>
        <v>6981738.4465290187</v>
      </c>
      <c r="AK754" s="20">
        <f t="shared" si="226"/>
        <v>0.14724433143839863</v>
      </c>
      <c r="AL754" s="17"/>
      <c r="AM754" s="17"/>
      <c r="AN754" s="17"/>
      <c r="AO754" s="17"/>
      <c r="AP754" s="28" t="str">
        <f t="shared" si="227"/>
        <v>20193</v>
      </c>
      <c r="AQ754" s="28" t="str">
        <f t="shared" si="228"/>
        <v>20193JPY</v>
      </c>
      <c r="AR754" s="206" t="str">
        <f t="shared" si="229"/>
        <v>YAMAHA_Mounter</v>
      </c>
      <c r="AS754" s="22">
        <f t="shared" si="230"/>
        <v>4</v>
      </c>
      <c r="AT754" s="24" t="str">
        <f t="shared" si="231"/>
        <v>4-6 months</v>
      </c>
      <c r="AU754" s="22" t="s">
        <v>3744</v>
      </c>
    </row>
    <row r="755" spans="1:47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221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34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16"/>
        <v>47416008.333399981</v>
      </c>
      <c r="AJ755" s="19">
        <f t="shared" si="217"/>
        <v>6981738.4465290187</v>
      </c>
      <c r="AK755" s="20">
        <f t="shared" si="226"/>
        <v>0.14724433143839863</v>
      </c>
      <c r="AL755" s="17"/>
      <c r="AM755" s="17"/>
      <c r="AN755" s="17"/>
      <c r="AO755" s="17"/>
      <c r="AP755" s="28" t="str">
        <f t="shared" si="227"/>
        <v>20193</v>
      </c>
      <c r="AQ755" s="28" t="str">
        <f t="shared" si="228"/>
        <v>20193JPY</v>
      </c>
      <c r="AR755" s="206" t="str">
        <f t="shared" si="229"/>
        <v>YAMAHA_Mounter</v>
      </c>
      <c r="AS755" s="22">
        <f t="shared" si="230"/>
        <v>4</v>
      </c>
      <c r="AT755" s="24" t="str">
        <f t="shared" si="231"/>
        <v>4-6 months</v>
      </c>
      <c r="AU755" s="22" t="s">
        <v>3744</v>
      </c>
    </row>
    <row r="756" spans="1:47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221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34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16"/>
        <v>34015877.71150443</v>
      </c>
      <c r="AJ756" s="19">
        <f t="shared" si="217"/>
        <v>4446292.375441948</v>
      </c>
      <c r="AK756" s="20">
        <f t="shared" si="226"/>
        <v>0.13071226364205143</v>
      </c>
      <c r="AL756" s="17"/>
      <c r="AM756" s="17"/>
      <c r="AN756" s="17"/>
      <c r="AO756" s="17"/>
      <c r="AP756" s="28" t="str">
        <f t="shared" si="227"/>
        <v>20197</v>
      </c>
      <c r="AQ756" s="28" t="str">
        <f t="shared" si="228"/>
        <v>20197RMB</v>
      </c>
      <c r="AR756" s="206" t="str">
        <f t="shared" si="229"/>
        <v>YAMAHA_Mounter</v>
      </c>
      <c r="AS756" s="22">
        <f t="shared" si="230"/>
        <v>1</v>
      </c>
      <c r="AT756" s="24" t="str">
        <f t="shared" si="231"/>
        <v>0-3 months</v>
      </c>
      <c r="AU756" s="22" t="s">
        <v>3743</v>
      </c>
    </row>
    <row r="757" spans="1:47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221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34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16"/>
        <v>47416008.333399981</v>
      </c>
      <c r="AJ757" s="19">
        <f t="shared" si="217"/>
        <v>6981738.4465290187</v>
      </c>
      <c r="AK757" s="20">
        <f t="shared" si="226"/>
        <v>0.14724433143839863</v>
      </c>
      <c r="AL757" s="17"/>
      <c r="AM757" s="17"/>
      <c r="AN757" s="17"/>
      <c r="AO757" s="17"/>
      <c r="AP757" s="28" t="str">
        <f t="shared" si="227"/>
        <v>20193</v>
      </c>
      <c r="AQ757" s="28" t="str">
        <f t="shared" si="228"/>
        <v>20193JPY</v>
      </c>
      <c r="AR757" s="206" t="str">
        <f t="shared" si="229"/>
        <v>YAMAHA_Mounter</v>
      </c>
      <c r="AS757" s="22">
        <f t="shared" si="230"/>
        <v>1</v>
      </c>
      <c r="AT757" s="24" t="str">
        <f t="shared" si="231"/>
        <v>0-3 months</v>
      </c>
      <c r="AU757" s="22" t="s">
        <v>3744</v>
      </c>
    </row>
    <row r="758" spans="1:47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221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34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16"/>
        <v>47416008.333399981</v>
      </c>
      <c r="AJ758" s="19">
        <f t="shared" si="217"/>
        <v>6981738.4465290187</v>
      </c>
      <c r="AK758" s="20">
        <f t="shared" si="226"/>
        <v>0.14724433143839863</v>
      </c>
      <c r="AL758" s="17"/>
      <c r="AM758" s="17"/>
      <c r="AN758" s="17"/>
      <c r="AO758" s="17"/>
      <c r="AP758" s="28" t="str">
        <f t="shared" si="227"/>
        <v>20193</v>
      </c>
      <c r="AQ758" s="28" t="str">
        <f t="shared" si="228"/>
        <v>20193JPY</v>
      </c>
      <c r="AR758" s="206" t="str">
        <f t="shared" si="229"/>
        <v>YAMAHA_Mounter</v>
      </c>
      <c r="AS758" s="22">
        <f t="shared" si="230"/>
        <v>0</v>
      </c>
      <c r="AT758" s="24" t="str">
        <f t="shared" si="231"/>
        <v>0-3 months</v>
      </c>
      <c r="AU758" s="22" t="s">
        <v>3744</v>
      </c>
    </row>
    <row r="759" spans="1:47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221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34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16"/>
        <v>28065694.408805311</v>
      </c>
      <c r="AJ759" s="19">
        <f t="shared" si="217"/>
        <v>4157433.2906989697</v>
      </c>
      <c r="AK759" s="20">
        <f t="shared" si="226"/>
        <v>0.14813220831602228</v>
      </c>
      <c r="AL759" s="17"/>
      <c r="AM759" s="17"/>
      <c r="AN759" s="17"/>
      <c r="AO759" s="17"/>
      <c r="AP759" s="28" t="str">
        <f t="shared" si="227"/>
        <v>20205</v>
      </c>
      <c r="AQ759" s="28" t="str">
        <f t="shared" si="228"/>
        <v>20205RMB</v>
      </c>
      <c r="AR759" s="206" t="str">
        <f t="shared" si="229"/>
        <v>YAMAHA_Mounter</v>
      </c>
      <c r="AS759" s="22">
        <f t="shared" si="230"/>
        <v>1</v>
      </c>
      <c r="AT759" s="24" t="str">
        <f t="shared" si="231"/>
        <v>0-3 months</v>
      </c>
      <c r="AU759" s="22" t="s">
        <v>3743</v>
      </c>
    </row>
    <row r="760" spans="1:47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221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34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16"/>
        <v>48763143.537654862</v>
      </c>
      <c r="AJ760" s="19">
        <f t="shared" si="217"/>
        <v>5924029.9702154724</v>
      </c>
      <c r="AK760" s="20">
        <f t="shared" si="226"/>
        <v>0.1214858095774925</v>
      </c>
      <c r="AL760" s="17"/>
      <c r="AM760" s="17"/>
      <c r="AN760" s="17"/>
      <c r="AO760" s="17"/>
      <c r="AP760" s="28" t="str">
        <f t="shared" si="227"/>
        <v>202012</v>
      </c>
      <c r="AQ760" s="28" t="str">
        <f t="shared" si="228"/>
        <v>202012JPY</v>
      </c>
      <c r="AR760" s="206" t="str">
        <f t="shared" si="229"/>
        <v>YAMAHA_Mounter</v>
      </c>
      <c r="AS760" s="22">
        <f t="shared" si="230"/>
        <v>0</v>
      </c>
      <c r="AT760" s="24" t="str">
        <f t="shared" si="231"/>
        <v>0-3 months</v>
      </c>
      <c r="AU760" s="22" t="s">
        <v>3744</v>
      </c>
    </row>
    <row r="761" spans="1:47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221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34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16"/>
        <v>57778307.282035396</v>
      </c>
      <c r="AJ761" s="19">
        <f t="shared" si="217"/>
        <v>7259860.7225420559</v>
      </c>
      <c r="AK761" s="20">
        <f t="shared" si="226"/>
        <v>0.12565028406083667</v>
      </c>
      <c r="AL761" s="17"/>
      <c r="AM761" s="17"/>
      <c r="AN761" s="17"/>
      <c r="AO761" s="17"/>
      <c r="AP761" s="28" t="str">
        <f t="shared" si="227"/>
        <v>20213</v>
      </c>
      <c r="AQ761" s="28" t="str">
        <f t="shared" si="228"/>
        <v>20213JPY</v>
      </c>
      <c r="AR761" s="206" t="str">
        <f t="shared" si="229"/>
        <v>YAMAHA_Mounter</v>
      </c>
      <c r="AS761" s="22">
        <f t="shared" si="230"/>
        <v>3</v>
      </c>
      <c r="AT761" s="24" t="str">
        <f t="shared" si="231"/>
        <v>0-3 months</v>
      </c>
      <c r="AU761" s="22" t="s">
        <v>3744</v>
      </c>
    </row>
    <row r="762" spans="1:47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221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34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16"/>
        <v>57778307.282035396</v>
      </c>
      <c r="AJ762" s="19">
        <f t="shared" si="217"/>
        <v>7259860.7225420559</v>
      </c>
      <c r="AK762" s="20">
        <f t="shared" si="226"/>
        <v>0.12565028406083667</v>
      </c>
      <c r="AL762" s="17"/>
      <c r="AM762" s="17"/>
      <c r="AN762" s="17"/>
      <c r="AO762" s="17"/>
      <c r="AP762" s="28" t="str">
        <f t="shared" si="227"/>
        <v>20213</v>
      </c>
      <c r="AQ762" s="28" t="str">
        <f t="shared" si="228"/>
        <v>20213JPY</v>
      </c>
      <c r="AR762" s="206" t="str">
        <f t="shared" si="229"/>
        <v>YAMAHA_Mounter</v>
      </c>
      <c r="AS762" s="22">
        <f t="shared" si="230"/>
        <v>3</v>
      </c>
      <c r="AT762" s="24" t="str">
        <f t="shared" si="231"/>
        <v>0-3 months</v>
      </c>
      <c r="AU762" s="22" t="s">
        <v>3744</v>
      </c>
    </row>
    <row r="763" spans="1:47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221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34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16"/>
        <v>11730565.00042478</v>
      </c>
      <c r="AJ763" s="19">
        <f t="shared" si="217"/>
        <v>1439625.5685810833</v>
      </c>
      <c r="AK763" s="20">
        <f t="shared" si="226"/>
        <v>0.12272431622253084</v>
      </c>
      <c r="AL763" s="17"/>
      <c r="AM763" s="17"/>
      <c r="AN763" s="17"/>
      <c r="AO763" s="17"/>
      <c r="AP763" s="28" t="str">
        <f t="shared" si="227"/>
        <v>202311</v>
      </c>
      <c r="AQ763" s="28" t="str">
        <f t="shared" si="228"/>
        <v>202311JPY</v>
      </c>
      <c r="AR763" s="206" t="str">
        <f t="shared" si="229"/>
        <v>YAMAHA_Mounter</v>
      </c>
      <c r="AS763" s="22">
        <f t="shared" si="230"/>
        <v>0</v>
      </c>
      <c r="AT763" s="24" t="str">
        <f t="shared" si="231"/>
        <v>0-3 months</v>
      </c>
      <c r="AU763" s="22" t="s">
        <v>3744</v>
      </c>
    </row>
    <row r="764" spans="1:47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221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34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16"/>
        <v>11730565.00042478</v>
      </c>
      <c r="AJ764" s="19">
        <f t="shared" si="217"/>
        <v>1439625.5685810833</v>
      </c>
      <c r="AK764" s="20">
        <f t="shared" si="226"/>
        <v>0.12272431622253084</v>
      </c>
      <c r="AL764" s="17"/>
      <c r="AM764" s="17"/>
      <c r="AN764" s="17"/>
      <c r="AO764" s="17"/>
      <c r="AP764" s="28" t="str">
        <f t="shared" si="227"/>
        <v>202311</v>
      </c>
      <c r="AQ764" s="28" t="str">
        <f t="shared" si="228"/>
        <v>202311JPY</v>
      </c>
      <c r="AR764" s="206" t="str">
        <f t="shared" si="229"/>
        <v>YAMAHA_Mounter</v>
      </c>
      <c r="AS764" s="22">
        <f t="shared" si="230"/>
        <v>0</v>
      </c>
      <c r="AT764" s="24" t="str">
        <f t="shared" si="231"/>
        <v>0-3 months</v>
      </c>
      <c r="AU764" s="22" t="s">
        <v>3744</v>
      </c>
    </row>
    <row r="765" spans="1:47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221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34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16"/>
        <v>10786543.370020689</v>
      </c>
      <c r="AJ765" s="19">
        <f t="shared" si="217"/>
        <v>1330367.5841569281</v>
      </c>
      <c r="AK765" s="20">
        <f t="shared" si="226"/>
        <v>0.123335858255987</v>
      </c>
      <c r="AL765" s="17"/>
      <c r="AM765" s="17"/>
      <c r="AN765" s="17"/>
      <c r="AO765" s="17"/>
      <c r="AP765" s="28" t="str">
        <f t="shared" si="227"/>
        <v>201810</v>
      </c>
      <c r="AQ765" s="28" t="str">
        <f t="shared" si="228"/>
        <v>201810JPY</v>
      </c>
      <c r="AR765" s="206" t="str">
        <f t="shared" si="229"/>
        <v>YAMAHA_Mounter</v>
      </c>
      <c r="AS765" s="22">
        <f t="shared" si="230"/>
        <v>5</v>
      </c>
      <c r="AT765" s="24" t="str">
        <f t="shared" si="231"/>
        <v>4-6 months</v>
      </c>
      <c r="AU765" s="22" t="s">
        <v>3744</v>
      </c>
    </row>
    <row r="766" spans="1:47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221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34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16"/>
        <v>31097187.02948761</v>
      </c>
      <c r="AJ766" s="19">
        <f t="shared" si="217"/>
        <v>3892353.6644401965</v>
      </c>
      <c r="AK766" s="20">
        <f t="shared" si="226"/>
        <v>0.12516738767237401</v>
      </c>
      <c r="AL766" s="17"/>
      <c r="AM766" s="17"/>
      <c r="AN766" s="17"/>
      <c r="AO766" s="17"/>
      <c r="AP766" s="28" t="str">
        <f t="shared" si="227"/>
        <v>20212</v>
      </c>
      <c r="AQ766" s="28" t="str">
        <f t="shared" si="228"/>
        <v>20212JPY</v>
      </c>
      <c r="AR766" s="206" t="str">
        <f t="shared" si="229"/>
        <v>YAMAHA_Mounter</v>
      </c>
      <c r="AS766" s="22">
        <f t="shared" si="230"/>
        <v>2</v>
      </c>
      <c r="AT766" s="24" t="str">
        <f t="shared" si="231"/>
        <v>0-3 months</v>
      </c>
      <c r="AU766" s="22" t="s">
        <v>3744</v>
      </c>
    </row>
    <row r="767" spans="1:47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221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34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16"/>
        <v>31017966.201968137</v>
      </c>
      <c r="AJ767" s="19">
        <f t="shared" si="217"/>
        <v>4704250.3347305888</v>
      </c>
      <c r="AK767" s="20">
        <f t="shared" si="226"/>
        <v>0.15166211427595458</v>
      </c>
      <c r="AL767" s="17"/>
      <c r="AM767" s="17"/>
      <c r="AN767" s="17"/>
      <c r="AO767" s="17"/>
      <c r="AP767" s="28" t="str">
        <f t="shared" si="227"/>
        <v>202211</v>
      </c>
      <c r="AQ767" s="28" t="str">
        <f t="shared" si="228"/>
        <v>202211RMB</v>
      </c>
      <c r="AR767" s="206" t="str">
        <f t="shared" si="229"/>
        <v>YAMAHA_Mounter</v>
      </c>
      <c r="AS767" s="22">
        <f t="shared" si="230"/>
        <v>0</v>
      </c>
      <c r="AT767" s="24" t="str">
        <f t="shared" si="231"/>
        <v>0-3 months</v>
      </c>
      <c r="AU767" s="22" t="s">
        <v>3750</v>
      </c>
    </row>
    <row r="768" spans="1:47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221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34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16"/>
        <v>28011162.254106201</v>
      </c>
      <c r="AJ768" s="19">
        <f t="shared" si="217"/>
        <v>3401347.1124888416</v>
      </c>
      <c r="AK768" s="20">
        <f t="shared" si="226"/>
        <v>0.12142827497242578</v>
      </c>
      <c r="AL768" s="17"/>
      <c r="AM768" s="17"/>
      <c r="AN768" s="17"/>
      <c r="AO768" s="17"/>
      <c r="AP768" s="28" t="str">
        <f t="shared" si="227"/>
        <v>202010</v>
      </c>
      <c r="AQ768" s="28" t="str">
        <f t="shared" si="228"/>
        <v>202010RMB</v>
      </c>
      <c r="AR768" s="206" t="str">
        <f t="shared" si="229"/>
        <v>YAMAHA_Mounter</v>
      </c>
      <c r="AS768" s="22">
        <f t="shared" si="230"/>
        <v>3</v>
      </c>
      <c r="AT768" s="24" t="str">
        <f t="shared" si="231"/>
        <v>0-3 months</v>
      </c>
      <c r="AU768" s="22" t="s">
        <v>3240</v>
      </c>
    </row>
    <row r="769" spans="1:47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221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34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16"/>
        <v>34015877.71150443</v>
      </c>
      <c r="AJ769" s="19">
        <f t="shared" si="217"/>
        <v>4446292.375441948</v>
      </c>
      <c r="AK769" s="20">
        <f t="shared" si="226"/>
        <v>0.13071226364205143</v>
      </c>
      <c r="AL769" s="17"/>
      <c r="AM769" s="17"/>
      <c r="AN769" s="17"/>
      <c r="AO769" s="17"/>
      <c r="AP769" s="28" t="str">
        <f t="shared" si="227"/>
        <v>20197</v>
      </c>
      <c r="AQ769" s="28" t="str">
        <f t="shared" si="228"/>
        <v>20197JPY</v>
      </c>
      <c r="AR769" s="206" t="str">
        <f t="shared" si="229"/>
        <v>YAMAHA_Mounter</v>
      </c>
      <c r="AS769" s="22">
        <f t="shared" si="230"/>
        <v>0</v>
      </c>
      <c r="AT769" s="24" t="str">
        <f t="shared" si="231"/>
        <v>0-3 months</v>
      </c>
      <c r="AU769" s="22" t="s">
        <v>3745</v>
      </c>
    </row>
    <row r="770" spans="1:47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221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34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ref="AI770:AI833" si="235">IF(P770="C66 SERVICE","",SUMIFS(AB:AB,F:F,F770,G:G,G770,E:E,E770))</f>
        <v>34015877.71150443</v>
      </c>
      <c r="AJ770" s="19">
        <f t="shared" ref="AJ770:AJ833" si="236">IF(P770="C66 SERVICE","",SUMIFS(AC:AC,F:F,F770,G:G,G770,E:E,E770))</f>
        <v>4446292.375441948</v>
      </c>
      <c r="AK770" s="20">
        <f t="shared" si="226"/>
        <v>0.13071226364205143</v>
      </c>
      <c r="AL770" s="17"/>
      <c r="AM770" s="17"/>
      <c r="AN770" s="17"/>
      <c r="AO770" s="17"/>
      <c r="AP770" s="28" t="str">
        <f t="shared" si="227"/>
        <v>20197</v>
      </c>
      <c r="AQ770" s="28" t="str">
        <f t="shared" si="228"/>
        <v>20197JPY</v>
      </c>
      <c r="AR770" s="206" t="str">
        <f t="shared" si="229"/>
        <v>YAMAHA_Mounter</v>
      </c>
      <c r="AS770" s="22">
        <f t="shared" si="230"/>
        <v>0</v>
      </c>
      <c r="AT770" s="24" t="str">
        <f t="shared" si="231"/>
        <v>0-3 months</v>
      </c>
      <c r="AU770" s="22" t="s">
        <v>3745</v>
      </c>
    </row>
    <row r="771" spans="1:47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221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34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35"/>
        <v>35682787.057522126</v>
      </c>
      <c r="AJ771" s="19">
        <f t="shared" si="236"/>
        <v>5833368.3789623892</v>
      </c>
      <c r="AK771" s="20">
        <f t="shared" si="226"/>
        <v>0.16347849649632912</v>
      </c>
      <c r="AL771" s="17"/>
      <c r="AM771" s="17"/>
      <c r="AN771" s="17"/>
      <c r="AO771" s="17"/>
      <c r="AP771" s="28" t="str">
        <f t="shared" si="227"/>
        <v>20226</v>
      </c>
      <c r="AQ771" s="28" t="str">
        <f t="shared" si="228"/>
        <v>20226JPY</v>
      </c>
      <c r="AR771" s="206" t="str">
        <f t="shared" si="229"/>
        <v>YAMAHA_Mounter</v>
      </c>
      <c r="AS771" s="22">
        <f t="shared" si="230"/>
        <v>8</v>
      </c>
      <c r="AT771" s="24" t="str">
        <f t="shared" si="231"/>
        <v>&gt; 6 months</v>
      </c>
      <c r="AU771" s="22" t="s">
        <v>3744</v>
      </c>
    </row>
    <row r="772" spans="1:47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221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34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35"/>
        <v>22953677.784070797</v>
      </c>
      <c r="AJ772" s="19">
        <f t="shared" si="236"/>
        <v>4168706.6744155753</v>
      </c>
      <c r="AK772" s="20">
        <f t="shared" si="226"/>
        <v>0.18161388835511752</v>
      </c>
      <c r="AL772" s="17"/>
      <c r="AM772" s="17"/>
      <c r="AN772" s="17"/>
      <c r="AO772" s="17"/>
      <c r="AP772" s="28" t="str">
        <f t="shared" si="227"/>
        <v>20238</v>
      </c>
      <c r="AQ772" s="28" t="str">
        <f t="shared" si="228"/>
        <v>20238RMB</v>
      </c>
      <c r="AR772" s="206" t="str">
        <f t="shared" si="229"/>
        <v>YAMAHA_Mounter</v>
      </c>
      <c r="AS772" s="22">
        <f t="shared" si="230"/>
        <v>1</v>
      </c>
      <c r="AT772" s="24" t="str">
        <f t="shared" si="231"/>
        <v>0-3 months</v>
      </c>
      <c r="AU772" s="22" t="s">
        <v>3240</v>
      </c>
    </row>
    <row r="773" spans="1:47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221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34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35"/>
        <v>22953677.784070797</v>
      </c>
      <c r="AJ773" s="19">
        <f t="shared" si="236"/>
        <v>4168706.6744155753</v>
      </c>
      <c r="AK773" s="20">
        <f t="shared" si="226"/>
        <v>0.18161388835511752</v>
      </c>
      <c r="AL773" s="17"/>
      <c r="AM773" s="17"/>
      <c r="AN773" s="17"/>
      <c r="AO773" s="17"/>
      <c r="AP773" s="28" t="str">
        <f t="shared" si="227"/>
        <v>20238</v>
      </c>
      <c r="AQ773" s="28" t="str">
        <f t="shared" si="228"/>
        <v>20238RMB</v>
      </c>
      <c r="AR773" s="206" t="str">
        <f t="shared" si="229"/>
        <v>YAMAHA_Mounter</v>
      </c>
      <c r="AS773" s="22">
        <f t="shared" si="230"/>
        <v>1</v>
      </c>
      <c r="AT773" s="24" t="str">
        <f t="shared" si="231"/>
        <v>0-3 months</v>
      </c>
      <c r="AU773" s="22" t="s">
        <v>3240</v>
      </c>
    </row>
    <row r="774" spans="1:47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34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si="235"/>
        <v>499582152.5142017</v>
      </c>
      <c r="AJ774" s="19">
        <f t="shared" si="236"/>
        <v>59520528.679470733</v>
      </c>
      <c r="AK774" s="20">
        <f t="shared" ref="AK774:AK837" si="244">IF(AJ774&gt;0,AJ774/AI774,"")</f>
        <v>0.11914062257814291</v>
      </c>
      <c r="AL774" s="17"/>
      <c r="AM774" s="17"/>
      <c r="AN774" s="17"/>
      <c r="AO774" s="17"/>
      <c r="AP774" s="28" t="str">
        <f t="shared" ref="AP774:AP837" si="245">IF(F774="","",F774&amp;G774)</f>
        <v>CancelCancel</v>
      </c>
      <c r="AQ774" s="28" t="str">
        <f t="shared" ref="AQ774:AQ837" si="246">IF(W774="","",F774&amp;G774&amp;W774)</f>
        <v>CancelCancelRMB</v>
      </c>
      <c r="AR774" s="206" t="str">
        <f t="shared" ref="AR774:AR837" si="247">IFERROR(IF(AND(M774="YAMAHA", R774="C28"), "YAMAHA_Non_Mounter", IF(AND(M774="YAMAHA", R774="C49"), "YAMAHA_Mounter", M774)),"")</f>
        <v>YAMAHA_Mounter</v>
      </c>
      <c r="AS774" s="22" t="str">
        <f t="shared" ref="AS774:AS837" si="248">IFERROR(IF(OR(G774="TBA", G774=""), "", DATEDIF(DATE(B774, C774, 1), DATE(F774, G774, 1), "M")),"")</f>
        <v/>
      </c>
      <c r="AT774" s="24" t="str">
        <f t="shared" ref="AT774:AT837" si="249">IF(ISNUMBER(AS774), IF(AS774&gt;=0, IF(AS774&lt;=3, "0-3 months", IF(AS774&lt;=6, "4-6 months", "&gt; 6 months"))), "")</f>
        <v/>
      </c>
      <c r="AU774" s="22" t="s">
        <v>3240</v>
      </c>
    </row>
    <row r="775" spans="1:47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40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34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35"/>
        <v>24398045.86045352</v>
      </c>
      <c r="AJ775" s="19">
        <f t="shared" si="236"/>
        <v>3478417.4064663448</v>
      </c>
      <c r="AK775" s="20">
        <f t="shared" si="244"/>
        <v>0.14256950849102498</v>
      </c>
      <c r="AL775" s="17"/>
      <c r="AM775" s="17"/>
      <c r="AN775" s="17"/>
      <c r="AO775" s="17"/>
      <c r="AP775" s="28" t="str">
        <f t="shared" si="245"/>
        <v>20186</v>
      </c>
      <c r="AQ775" s="28" t="str">
        <f t="shared" si="246"/>
        <v>20186RMB</v>
      </c>
      <c r="AR775" s="206" t="str">
        <f t="shared" si="247"/>
        <v>YAMAHA_Mounter</v>
      </c>
      <c r="AS775" s="22">
        <f t="shared" si="248"/>
        <v>2</v>
      </c>
      <c r="AT775" s="24" t="str">
        <f t="shared" si="249"/>
        <v>0-3 months</v>
      </c>
      <c r="AU775" s="22" t="s">
        <v>3743</v>
      </c>
    </row>
    <row r="776" spans="1:47" s="12" customFormat="1">
      <c r="A776" s="33" t="str">
        <f t="shared" si="237"/>
        <v>cancel</v>
      </c>
      <c r="B776" s="152"/>
      <c r="C776" s="152" t="s">
        <v>185</v>
      </c>
      <c r="D776" s="33" t="str">
        <f t="shared" si="238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39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40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34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35"/>
        <v>499582152.5142017</v>
      </c>
      <c r="AJ776" s="19">
        <f t="shared" si="236"/>
        <v>59520528.679470733</v>
      </c>
      <c r="AK776" s="20">
        <f t="shared" si="244"/>
        <v>0.11914062257814291</v>
      </c>
      <c r="AL776" s="17"/>
      <c r="AM776" s="17"/>
      <c r="AN776" s="17"/>
      <c r="AO776" s="17"/>
      <c r="AP776" s="28" t="str">
        <f t="shared" si="245"/>
        <v>CancelCancel</v>
      </c>
      <c r="AQ776" s="28" t="str">
        <f t="shared" si="246"/>
        <v>CancelCancelJPY</v>
      </c>
      <c r="AR776" s="206" t="str">
        <f t="shared" si="247"/>
        <v>YAMAHA_Mounter</v>
      </c>
      <c r="AS776" s="22" t="str">
        <f t="shared" si="248"/>
        <v/>
      </c>
      <c r="AT776" s="24" t="str">
        <f t="shared" si="249"/>
        <v/>
      </c>
      <c r="AU776" s="22" t="s">
        <v>3744</v>
      </c>
    </row>
    <row r="777" spans="1:47" s="12" customFormat="1">
      <c r="A777" s="33" t="str">
        <f t="shared" si="237"/>
        <v>cancel</v>
      </c>
      <c r="B777" s="152"/>
      <c r="C777" s="152" t="s">
        <v>185</v>
      </c>
      <c r="D777" s="33" t="str">
        <f t="shared" si="238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39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40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34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35"/>
        <v>499582152.5142017</v>
      </c>
      <c r="AJ777" s="19">
        <f t="shared" si="236"/>
        <v>59520528.679470733</v>
      </c>
      <c r="AK777" s="20">
        <f t="shared" si="244"/>
        <v>0.11914062257814291</v>
      </c>
      <c r="AL777" s="17"/>
      <c r="AM777" s="17"/>
      <c r="AN777" s="17"/>
      <c r="AO777" s="17"/>
      <c r="AP777" s="28" t="str">
        <f t="shared" si="245"/>
        <v>CancelCancel</v>
      </c>
      <c r="AQ777" s="28" t="str">
        <f t="shared" si="246"/>
        <v>CancelCancelJPY</v>
      </c>
      <c r="AR777" s="206" t="str">
        <f t="shared" si="247"/>
        <v>YAMAHA_Mounter</v>
      </c>
      <c r="AS777" s="22" t="str">
        <f t="shared" si="248"/>
        <v/>
      </c>
      <c r="AT777" s="24" t="str">
        <f t="shared" si="249"/>
        <v/>
      </c>
      <c r="AU777" s="22" t="s">
        <v>3744</v>
      </c>
    </row>
    <row r="778" spans="1:47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40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34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35"/>
        <v>29500529.005044252</v>
      </c>
      <c r="AJ778" s="19">
        <f t="shared" si="236"/>
        <v>3253064.846231177</v>
      </c>
      <c r="AK778" s="20">
        <f t="shared" si="244"/>
        <v>0.11027140718984871</v>
      </c>
      <c r="AL778" s="17"/>
      <c r="AM778" s="17"/>
      <c r="AN778" s="17"/>
      <c r="AO778" s="17"/>
      <c r="AP778" s="28" t="str">
        <f t="shared" si="245"/>
        <v>202111</v>
      </c>
      <c r="AQ778" s="28" t="str">
        <f t="shared" si="246"/>
        <v>202111JPY</v>
      </c>
      <c r="AR778" s="206" t="str">
        <f t="shared" si="247"/>
        <v>YAMAHA_Mounter</v>
      </c>
      <c r="AS778" s="22">
        <f t="shared" si="248"/>
        <v>3</v>
      </c>
      <c r="AT778" s="24" t="str">
        <f t="shared" si="249"/>
        <v>0-3 months</v>
      </c>
      <c r="AU778" s="22" t="s">
        <v>3744</v>
      </c>
    </row>
    <row r="779" spans="1:47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40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34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35"/>
        <v>29500529.005044252</v>
      </c>
      <c r="AJ779" s="19">
        <f t="shared" si="236"/>
        <v>3253064.846231177</v>
      </c>
      <c r="AK779" s="20">
        <f t="shared" si="244"/>
        <v>0.11027140718984871</v>
      </c>
      <c r="AL779" s="17"/>
      <c r="AM779" s="17"/>
      <c r="AN779" s="17"/>
      <c r="AO779" s="17"/>
      <c r="AP779" s="28" t="str">
        <f t="shared" si="245"/>
        <v>202111</v>
      </c>
      <c r="AQ779" s="28" t="str">
        <f t="shared" si="246"/>
        <v>202111JPY</v>
      </c>
      <c r="AR779" s="206" t="str">
        <f t="shared" si="247"/>
        <v>YAMAHA_Mounter</v>
      </c>
      <c r="AS779" s="22">
        <f t="shared" si="248"/>
        <v>3</v>
      </c>
      <c r="AT779" s="24" t="str">
        <f t="shared" si="249"/>
        <v>0-3 months</v>
      </c>
      <c r="AU779" s="22" t="s">
        <v>3744</v>
      </c>
    </row>
    <row r="780" spans="1:47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40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34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35"/>
        <v>31750699.113741599</v>
      </c>
      <c r="AJ780" s="19">
        <f t="shared" si="236"/>
        <v>4396077.3195289988</v>
      </c>
      <c r="AK780" s="20">
        <f t="shared" si="244"/>
        <v>0.13845607946397598</v>
      </c>
      <c r="AL780" s="17"/>
      <c r="AM780" s="17"/>
      <c r="AN780" s="17"/>
      <c r="AO780" s="17"/>
      <c r="AP780" s="28" t="str">
        <f t="shared" si="245"/>
        <v>20222</v>
      </c>
      <c r="AQ780" s="28" t="str">
        <f t="shared" si="246"/>
        <v>20222JPY</v>
      </c>
      <c r="AR780" s="206" t="str">
        <f t="shared" si="247"/>
        <v>YAMAHA_Mounter</v>
      </c>
      <c r="AS780" s="22">
        <f t="shared" si="248"/>
        <v>5</v>
      </c>
      <c r="AT780" s="24" t="str">
        <f t="shared" si="249"/>
        <v>4-6 months</v>
      </c>
      <c r="AU780" s="22" t="s">
        <v>3744</v>
      </c>
    </row>
    <row r="781" spans="1:47" s="12" customFormat="1">
      <c r="A781" s="33" t="str">
        <f t="shared" si="237"/>
        <v>cancel</v>
      </c>
      <c r="B781" s="152"/>
      <c r="C781" s="152" t="s">
        <v>185</v>
      </c>
      <c r="D781" s="33" t="str">
        <f t="shared" si="238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39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40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34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35"/>
        <v>499582152.5142017</v>
      </c>
      <c r="AJ781" s="19">
        <f t="shared" si="236"/>
        <v>59520528.679470733</v>
      </c>
      <c r="AK781" s="20">
        <f t="shared" si="244"/>
        <v>0.11914062257814291</v>
      </c>
      <c r="AL781" s="17"/>
      <c r="AM781" s="17"/>
      <c r="AN781" s="17"/>
      <c r="AO781" s="17"/>
      <c r="AP781" s="28" t="str">
        <f t="shared" si="245"/>
        <v>CancelCancel</v>
      </c>
      <c r="AQ781" s="28" t="str">
        <f t="shared" si="246"/>
        <v>CancelCancelRMB</v>
      </c>
      <c r="AR781" s="206" t="str">
        <f t="shared" si="247"/>
        <v>YAMAHA_Mounter</v>
      </c>
      <c r="AS781" s="22" t="str">
        <f t="shared" si="248"/>
        <v/>
      </c>
      <c r="AT781" s="24" t="str">
        <f t="shared" si="249"/>
        <v/>
      </c>
      <c r="AU781" s="22" t="s">
        <v>3240</v>
      </c>
    </row>
    <row r="782" spans="1:47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40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34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35"/>
        <v>15533177.71460177</v>
      </c>
      <c r="AJ782" s="19">
        <f t="shared" si="236"/>
        <v>1819298.5437526547</v>
      </c>
      <c r="AK782" s="20">
        <f t="shared" si="244"/>
        <v>0.11712339723265033</v>
      </c>
      <c r="AL782" s="17"/>
      <c r="AM782" s="17"/>
      <c r="AN782" s="17"/>
      <c r="AO782" s="17"/>
      <c r="AP782" s="28" t="str">
        <f t="shared" si="245"/>
        <v>202110</v>
      </c>
      <c r="AQ782" s="28" t="str">
        <f t="shared" si="246"/>
        <v>202110RMB</v>
      </c>
      <c r="AR782" s="206" t="str">
        <f t="shared" si="247"/>
        <v>YAMAHA_Mounter</v>
      </c>
      <c r="AS782" s="22">
        <f t="shared" si="248"/>
        <v>1</v>
      </c>
      <c r="AT782" s="24" t="str">
        <f t="shared" si="249"/>
        <v>0-3 months</v>
      </c>
      <c r="AU782" s="22" t="s">
        <v>3240</v>
      </c>
    </row>
    <row r="783" spans="1:47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40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34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35"/>
        <v>23168285.927433632</v>
      </c>
      <c r="AJ783" s="19">
        <f t="shared" si="236"/>
        <v>2764878.916878053</v>
      </c>
      <c r="AK783" s="20">
        <f t="shared" si="244"/>
        <v>0.11933895004309111</v>
      </c>
      <c r="AL783" s="17"/>
      <c r="AM783" s="17"/>
      <c r="AN783" s="17"/>
      <c r="AO783" s="17"/>
      <c r="AP783" s="28" t="str">
        <f t="shared" si="245"/>
        <v>20203</v>
      </c>
      <c r="AQ783" s="28" t="str">
        <f t="shared" si="246"/>
        <v>20203RMB</v>
      </c>
      <c r="AR783" s="206" t="str">
        <f t="shared" si="247"/>
        <v>YAMAHA_Mounter</v>
      </c>
      <c r="AS783" s="22">
        <f t="shared" si="248"/>
        <v>3</v>
      </c>
      <c r="AT783" s="24" t="str">
        <f t="shared" si="249"/>
        <v>0-3 months</v>
      </c>
      <c r="AU783" s="22" t="s">
        <v>3240</v>
      </c>
    </row>
    <row r="784" spans="1:47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40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34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35"/>
        <v>23168285.927433632</v>
      </c>
      <c r="AJ784" s="19">
        <f t="shared" si="236"/>
        <v>2764878.916878053</v>
      </c>
      <c r="AK784" s="20">
        <f t="shared" si="244"/>
        <v>0.11933895004309111</v>
      </c>
      <c r="AL784" s="17"/>
      <c r="AM784" s="17"/>
      <c r="AN784" s="17"/>
      <c r="AO784" s="17"/>
      <c r="AP784" s="28" t="str">
        <f t="shared" si="245"/>
        <v>20203</v>
      </c>
      <c r="AQ784" s="28" t="str">
        <f t="shared" si="246"/>
        <v>20203RMB</v>
      </c>
      <c r="AR784" s="206" t="str">
        <f t="shared" si="247"/>
        <v>LOCAL SUPPLIER</v>
      </c>
      <c r="AS784" s="22">
        <f t="shared" si="248"/>
        <v>3</v>
      </c>
      <c r="AT784" s="24" t="str">
        <f t="shared" si="249"/>
        <v>0-3 months</v>
      </c>
      <c r="AU784" s="22" t="s">
        <v>3240</v>
      </c>
    </row>
    <row r="785" spans="1:47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40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34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35"/>
        <v>14005204.685000001</v>
      </c>
      <c r="AJ785" s="19">
        <f t="shared" si="236"/>
        <v>1436995.246084</v>
      </c>
      <c r="AK785" s="20">
        <f t="shared" si="244"/>
        <v>0.10260437304590525</v>
      </c>
      <c r="AL785" s="17"/>
      <c r="AM785" s="17"/>
      <c r="AN785" s="17"/>
      <c r="AO785" s="17"/>
      <c r="AP785" s="28" t="str">
        <f t="shared" si="245"/>
        <v>20202</v>
      </c>
      <c r="AQ785" s="28" t="str">
        <f t="shared" si="246"/>
        <v>20202JPY</v>
      </c>
      <c r="AR785" s="206" t="str">
        <f t="shared" si="247"/>
        <v>YAMAHA_Mounter</v>
      </c>
      <c r="AS785" s="22">
        <f t="shared" si="248"/>
        <v>1</v>
      </c>
      <c r="AT785" s="24" t="str">
        <f t="shared" si="249"/>
        <v>0-3 months</v>
      </c>
      <c r="AU785" s="22" t="s">
        <v>3745</v>
      </c>
    </row>
    <row r="786" spans="1:47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40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34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35"/>
        <v>14005204.685000001</v>
      </c>
      <c r="AJ786" s="19">
        <f t="shared" si="236"/>
        <v>1436995.246084</v>
      </c>
      <c r="AK786" s="20">
        <f t="shared" si="244"/>
        <v>0.10260437304590525</v>
      </c>
      <c r="AL786" s="17"/>
      <c r="AM786" s="17"/>
      <c r="AN786" s="17"/>
      <c r="AO786" s="17"/>
      <c r="AP786" s="28" t="str">
        <f t="shared" si="245"/>
        <v>20202</v>
      </c>
      <c r="AQ786" s="28" t="str">
        <f t="shared" si="246"/>
        <v>20202JPY</v>
      </c>
      <c r="AR786" s="206" t="str">
        <f t="shared" si="247"/>
        <v>YAMAHA_Mounter</v>
      </c>
      <c r="AS786" s="22">
        <f t="shared" si="248"/>
        <v>1</v>
      </c>
      <c r="AT786" s="24" t="str">
        <f t="shared" si="249"/>
        <v>0-3 months</v>
      </c>
      <c r="AU786" s="22" t="s">
        <v>3745</v>
      </c>
    </row>
    <row r="787" spans="1:47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40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34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35"/>
        <v>23237072.69172414</v>
      </c>
      <c r="AJ787" s="19">
        <f t="shared" si="236"/>
        <v>2402195.7372206897</v>
      </c>
      <c r="AK787" s="20">
        <f t="shared" si="244"/>
        <v>0.10337772614862238</v>
      </c>
      <c r="AL787" s="17"/>
      <c r="AM787" s="17"/>
      <c r="AN787" s="17"/>
      <c r="AO787" s="17"/>
      <c r="AP787" s="28" t="str">
        <f t="shared" si="245"/>
        <v>20191</v>
      </c>
      <c r="AQ787" s="28" t="str">
        <f t="shared" si="246"/>
        <v>20191RMB</v>
      </c>
      <c r="AR787" s="206" t="str">
        <f t="shared" si="247"/>
        <v>YAMAHA_Mounter</v>
      </c>
      <c r="AS787" s="22">
        <f t="shared" si="248"/>
        <v>2</v>
      </c>
      <c r="AT787" s="24" t="str">
        <f t="shared" si="249"/>
        <v>0-3 months</v>
      </c>
      <c r="AU787" s="22" t="s">
        <v>3240</v>
      </c>
    </row>
    <row r="788" spans="1:47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40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34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35"/>
        <v>23237072.69172414</v>
      </c>
      <c r="AJ788" s="19">
        <f t="shared" si="236"/>
        <v>2402195.7372206897</v>
      </c>
      <c r="AK788" s="20">
        <f t="shared" si="244"/>
        <v>0.10337772614862238</v>
      </c>
      <c r="AL788" s="17"/>
      <c r="AM788" s="17"/>
      <c r="AN788" s="17"/>
      <c r="AO788" s="17"/>
      <c r="AP788" s="28" t="str">
        <f t="shared" si="245"/>
        <v>20191</v>
      </c>
      <c r="AQ788" s="28" t="str">
        <f t="shared" si="246"/>
        <v>20191RMB</v>
      </c>
      <c r="AR788" s="206" t="str">
        <f t="shared" si="247"/>
        <v>YAMAHA_Mounter</v>
      </c>
      <c r="AS788" s="22">
        <f t="shared" si="248"/>
        <v>2</v>
      </c>
      <c r="AT788" s="24" t="str">
        <f t="shared" si="249"/>
        <v>0-3 months</v>
      </c>
      <c r="AU788" s="22" t="s">
        <v>3240</v>
      </c>
    </row>
    <row r="789" spans="1:47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40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34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35"/>
        <v>23168285.927433632</v>
      </c>
      <c r="AJ789" s="19">
        <f t="shared" si="236"/>
        <v>2764878.916878053</v>
      </c>
      <c r="AK789" s="20">
        <f t="shared" si="244"/>
        <v>0.11933895004309111</v>
      </c>
      <c r="AL789" s="17"/>
      <c r="AM789" s="17"/>
      <c r="AN789" s="17"/>
      <c r="AO789" s="17"/>
      <c r="AP789" s="28" t="str">
        <f t="shared" si="245"/>
        <v>20203</v>
      </c>
      <c r="AQ789" s="28" t="str">
        <f t="shared" si="246"/>
        <v>20203RMB</v>
      </c>
      <c r="AR789" s="206" t="str">
        <f t="shared" si="247"/>
        <v>YAMAHA_Mounter</v>
      </c>
      <c r="AS789" s="22">
        <f t="shared" si="248"/>
        <v>3</v>
      </c>
      <c r="AT789" s="24" t="str">
        <f t="shared" si="249"/>
        <v>0-3 months</v>
      </c>
      <c r="AU789" s="22" t="s">
        <v>3743</v>
      </c>
    </row>
    <row r="790" spans="1:47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40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34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35"/>
        <v>23168285.927433632</v>
      </c>
      <c r="AJ790" s="19">
        <f t="shared" si="236"/>
        <v>2764878.916878053</v>
      </c>
      <c r="AK790" s="20">
        <f t="shared" si="244"/>
        <v>0.11933895004309111</v>
      </c>
      <c r="AL790" s="17"/>
      <c r="AM790" s="17"/>
      <c r="AN790" s="17"/>
      <c r="AO790" s="17"/>
      <c r="AP790" s="28" t="str">
        <f t="shared" si="245"/>
        <v>20203</v>
      </c>
      <c r="AQ790" s="28" t="str">
        <f t="shared" si="246"/>
        <v>20203RMB</v>
      </c>
      <c r="AR790" s="206" t="str">
        <f t="shared" si="247"/>
        <v>YAMAHA_Mounter</v>
      </c>
      <c r="AS790" s="22">
        <f t="shared" si="248"/>
        <v>3</v>
      </c>
      <c r="AT790" s="24" t="str">
        <f t="shared" si="249"/>
        <v>0-3 months</v>
      </c>
      <c r="AU790" s="22" t="s">
        <v>3743</v>
      </c>
    </row>
    <row r="791" spans="1:47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40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50">IF(W791="RMB","1.13", "1")</f>
        <v>1.13</v>
      </c>
      <c r="Z791" s="18">
        <f t="shared" si="234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35"/>
        <v>63006605.696460173</v>
      </c>
      <c r="AJ791" s="19">
        <f t="shared" si="236"/>
        <v>8897485.660753984</v>
      </c>
      <c r="AK791" s="20">
        <f t="shared" si="244"/>
        <v>0.141215124388995</v>
      </c>
      <c r="AL791" s="17"/>
      <c r="AM791" s="17"/>
      <c r="AN791" s="17"/>
      <c r="AO791" s="17"/>
      <c r="AP791" s="28" t="str">
        <f t="shared" si="245"/>
        <v>20215</v>
      </c>
      <c r="AQ791" s="28" t="str">
        <f t="shared" si="246"/>
        <v>20215RMB</v>
      </c>
      <c r="AR791" s="206" t="str">
        <f t="shared" si="247"/>
        <v>YAMAHA_Mounter</v>
      </c>
      <c r="AS791" s="22">
        <f t="shared" si="248"/>
        <v>4</v>
      </c>
      <c r="AT791" s="24" t="str">
        <f t="shared" si="249"/>
        <v>4-6 months</v>
      </c>
      <c r="AU791" s="22" t="s">
        <v>3743</v>
      </c>
    </row>
    <row r="792" spans="1:47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40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50"/>
        <v>1.13</v>
      </c>
      <c r="Z792" s="18">
        <f t="shared" si="234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35"/>
        <v>63006605.696460173</v>
      </c>
      <c r="AJ792" s="19">
        <f t="shared" si="236"/>
        <v>8897485.660753984</v>
      </c>
      <c r="AK792" s="20">
        <f t="shared" si="244"/>
        <v>0.141215124388995</v>
      </c>
      <c r="AL792" s="17"/>
      <c r="AM792" s="17"/>
      <c r="AN792" s="17"/>
      <c r="AO792" s="17"/>
      <c r="AP792" s="28" t="str">
        <f t="shared" si="245"/>
        <v>20215</v>
      </c>
      <c r="AQ792" s="28" t="str">
        <f t="shared" si="246"/>
        <v>20215RMB</v>
      </c>
      <c r="AR792" s="206" t="str">
        <f t="shared" si="247"/>
        <v>YAMAHA_Mounter</v>
      </c>
      <c r="AS792" s="22">
        <f t="shared" si="248"/>
        <v>4</v>
      </c>
      <c r="AT792" s="24" t="str">
        <f t="shared" si="249"/>
        <v>4-6 months</v>
      </c>
      <c r="AU792" s="22" t="s">
        <v>3743</v>
      </c>
    </row>
    <row r="793" spans="1:47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40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50"/>
        <v>1.13</v>
      </c>
      <c r="Z793" s="18">
        <f t="shared" si="234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35"/>
        <v>63006605.696460173</v>
      </c>
      <c r="AJ793" s="19">
        <f t="shared" si="236"/>
        <v>8897485.660753984</v>
      </c>
      <c r="AK793" s="20">
        <f t="shared" si="244"/>
        <v>0.141215124388995</v>
      </c>
      <c r="AL793" s="17"/>
      <c r="AM793" s="17"/>
      <c r="AN793" s="17"/>
      <c r="AO793" s="17"/>
      <c r="AP793" s="28" t="str">
        <f t="shared" si="245"/>
        <v>20215</v>
      </c>
      <c r="AQ793" s="28" t="str">
        <f t="shared" si="246"/>
        <v>20215RMB</v>
      </c>
      <c r="AR793" s="206" t="str">
        <f t="shared" si="247"/>
        <v>YAMAHA_Mounter</v>
      </c>
      <c r="AS793" s="22">
        <f t="shared" si="248"/>
        <v>4</v>
      </c>
      <c r="AT793" s="24" t="str">
        <f t="shared" si="249"/>
        <v>4-6 months</v>
      </c>
      <c r="AU793" s="22" t="s">
        <v>3743</v>
      </c>
    </row>
    <row r="794" spans="1:47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40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50"/>
        <v>1.13</v>
      </c>
      <c r="Z794" s="18">
        <f t="shared" si="234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35"/>
        <v>63006605.696460173</v>
      </c>
      <c r="AJ794" s="19">
        <f t="shared" si="236"/>
        <v>8897485.660753984</v>
      </c>
      <c r="AK794" s="20">
        <f t="shared" si="244"/>
        <v>0.141215124388995</v>
      </c>
      <c r="AL794" s="17"/>
      <c r="AM794" s="17"/>
      <c r="AN794" s="17"/>
      <c r="AO794" s="17"/>
      <c r="AP794" s="28" t="str">
        <f t="shared" si="245"/>
        <v>20215</v>
      </c>
      <c r="AQ794" s="28" t="str">
        <f t="shared" si="246"/>
        <v>20215RMB</v>
      </c>
      <c r="AR794" s="206" t="str">
        <f t="shared" si="247"/>
        <v>YAMAHA_Mounter</v>
      </c>
      <c r="AS794" s="22">
        <f t="shared" si="248"/>
        <v>4</v>
      </c>
      <c r="AT794" s="24" t="str">
        <f t="shared" si="249"/>
        <v>4-6 months</v>
      </c>
      <c r="AU794" s="22" t="s">
        <v>3743</v>
      </c>
    </row>
    <row r="795" spans="1:47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40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50"/>
        <v>1.13</v>
      </c>
      <c r="Z795" s="18">
        <f t="shared" si="234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35"/>
        <v>31750699.113741599</v>
      </c>
      <c r="AJ795" s="19">
        <f t="shared" si="236"/>
        <v>4396077.3195289988</v>
      </c>
      <c r="AK795" s="20">
        <f t="shared" si="244"/>
        <v>0.13845607946397598</v>
      </c>
      <c r="AL795" s="17"/>
      <c r="AM795" s="17"/>
      <c r="AN795" s="17"/>
      <c r="AO795" s="17"/>
      <c r="AP795" s="28" t="str">
        <f t="shared" si="245"/>
        <v>20222</v>
      </c>
      <c r="AQ795" s="28" t="str">
        <f t="shared" si="246"/>
        <v>20222RMB</v>
      </c>
      <c r="AR795" s="206" t="str">
        <f t="shared" si="247"/>
        <v>YAMAHA_Mounter</v>
      </c>
      <c r="AS795" s="22">
        <f t="shared" si="248"/>
        <v>1</v>
      </c>
      <c r="AT795" s="24" t="str">
        <f t="shared" si="249"/>
        <v>0-3 months</v>
      </c>
      <c r="AU795" s="22" t="s">
        <v>3750</v>
      </c>
    </row>
    <row r="796" spans="1:47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40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50"/>
        <v>1.13</v>
      </c>
      <c r="Z796" s="18">
        <f t="shared" si="234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35"/>
        <v>31750699.113741599</v>
      </c>
      <c r="AJ796" s="19">
        <f t="shared" si="236"/>
        <v>4396077.3195289988</v>
      </c>
      <c r="AK796" s="20">
        <f t="shared" si="244"/>
        <v>0.13845607946397598</v>
      </c>
      <c r="AL796" s="17"/>
      <c r="AM796" s="17"/>
      <c r="AN796" s="17"/>
      <c r="AO796" s="17"/>
      <c r="AP796" s="28" t="str">
        <f t="shared" si="245"/>
        <v>20222</v>
      </c>
      <c r="AQ796" s="28" t="str">
        <f t="shared" si="246"/>
        <v>20222RMB</v>
      </c>
      <c r="AR796" s="206" t="str">
        <f t="shared" si="247"/>
        <v>YAMAHA_Mounter</v>
      </c>
      <c r="AS796" s="22">
        <f t="shared" si="248"/>
        <v>1</v>
      </c>
      <c r="AT796" s="24" t="str">
        <f t="shared" si="249"/>
        <v>0-3 months</v>
      </c>
      <c r="AU796" s="22" t="s">
        <v>3750</v>
      </c>
    </row>
    <row r="797" spans="1:47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40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50"/>
        <v>1.13</v>
      </c>
      <c r="Z797" s="18">
        <f t="shared" si="234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35"/>
        <v>31750699.113741599</v>
      </c>
      <c r="AJ797" s="19">
        <f t="shared" si="236"/>
        <v>4396077.3195289988</v>
      </c>
      <c r="AK797" s="20">
        <f t="shared" si="244"/>
        <v>0.13845607946397598</v>
      </c>
      <c r="AL797" s="17"/>
      <c r="AM797" s="17"/>
      <c r="AN797" s="17"/>
      <c r="AO797" s="17"/>
      <c r="AP797" s="28" t="str">
        <f t="shared" si="245"/>
        <v>20222</v>
      </c>
      <c r="AQ797" s="28" t="str">
        <f t="shared" si="246"/>
        <v>20222RMB</v>
      </c>
      <c r="AR797" s="206" t="str">
        <f t="shared" si="247"/>
        <v>YAMAHA_Mounter</v>
      </c>
      <c r="AS797" s="22">
        <f t="shared" si="248"/>
        <v>1</v>
      </c>
      <c r="AT797" s="24" t="str">
        <f t="shared" si="249"/>
        <v>0-3 months</v>
      </c>
      <c r="AU797" s="22" t="s">
        <v>3750</v>
      </c>
    </row>
    <row r="798" spans="1:47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40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50"/>
        <v>1.13</v>
      </c>
      <c r="Z798" s="18">
        <f t="shared" si="234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35"/>
        <v>31750699.113741599</v>
      </c>
      <c r="AJ798" s="19">
        <f t="shared" si="236"/>
        <v>4396077.3195289988</v>
      </c>
      <c r="AK798" s="20">
        <f t="shared" si="244"/>
        <v>0.13845607946397598</v>
      </c>
      <c r="AL798" s="17"/>
      <c r="AM798" s="17"/>
      <c r="AN798" s="17"/>
      <c r="AO798" s="17"/>
      <c r="AP798" s="28" t="str">
        <f t="shared" si="245"/>
        <v>20222</v>
      </c>
      <c r="AQ798" s="28" t="str">
        <f t="shared" si="246"/>
        <v>20222RMB</v>
      </c>
      <c r="AR798" s="206" t="str">
        <f t="shared" si="247"/>
        <v>YAMAHA_Mounter</v>
      </c>
      <c r="AS798" s="22">
        <f t="shared" si="248"/>
        <v>1</v>
      </c>
      <c r="AT798" s="24" t="str">
        <f t="shared" si="249"/>
        <v>0-3 months</v>
      </c>
      <c r="AU798" s="22" t="s">
        <v>3750</v>
      </c>
    </row>
    <row r="799" spans="1:47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40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50"/>
        <v>1.13</v>
      </c>
      <c r="Z799" s="18">
        <f t="shared" si="234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35"/>
        <v>31750699.113741599</v>
      </c>
      <c r="AJ799" s="19">
        <f t="shared" si="236"/>
        <v>4396077.3195289988</v>
      </c>
      <c r="AK799" s="20">
        <f t="shared" si="244"/>
        <v>0.13845607946397598</v>
      </c>
      <c r="AL799" s="17"/>
      <c r="AM799" s="17"/>
      <c r="AN799" s="17"/>
      <c r="AO799" s="17"/>
      <c r="AP799" s="28" t="str">
        <f t="shared" si="245"/>
        <v>20222</v>
      </c>
      <c r="AQ799" s="28" t="str">
        <f t="shared" si="246"/>
        <v>20222RMB</v>
      </c>
      <c r="AR799" s="206" t="str">
        <f t="shared" si="247"/>
        <v>YAMAHA_Mounter</v>
      </c>
      <c r="AS799" s="22">
        <f t="shared" si="248"/>
        <v>1</v>
      </c>
      <c r="AT799" s="24" t="str">
        <f t="shared" si="249"/>
        <v>0-3 months</v>
      </c>
      <c r="AU799" s="22" t="s">
        <v>3750</v>
      </c>
    </row>
    <row r="800" spans="1:47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40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50"/>
        <v>1.13</v>
      </c>
      <c r="Z800" s="18">
        <f t="shared" si="234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35"/>
        <v>17329060.066371687</v>
      </c>
      <c r="AJ800" s="19">
        <f t="shared" si="236"/>
        <v>2472600.2142256643</v>
      </c>
      <c r="AK800" s="20">
        <f t="shared" si="244"/>
        <v>0.14268518919984163</v>
      </c>
      <c r="AL800" s="17"/>
      <c r="AM800" s="17"/>
      <c r="AN800" s="17"/>
      <c r="AO800" s="17"/>
      <c r="AP800" s="28" t="str">
        <f t="shared" si="245"/>
        <v>202212</v>
      </c>
      <c r="AQ800" s="28" t="str">
        <f t="shared" si="246"/>
        <v>202212RMB</v>
      </c>
      <c r="AR800" s="206" t="str">
        <f t="shared" si="247"/>
        <v>YAMAHA_Mounter</v>
      </c>
      <c r="AS800" s="22">
        <f t="shared" si="248"/>
        <v>0</v>
      </c>
      <c r="AT800" s="24" t="str">
        <f t="shared" si="249"/>
        <v>0-3 months</v>
      </c>
      <c r="AU800" s="22" t="s">
        <v>3750</v>
      </c>
    </row>
    <row r="801" spans="1:47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40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50"/>
        <v>1.13</v>
      </c>
      <c r="Z801" s="18">
        <f t="shared" si="234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35"/>
        <v>17329060.066371687</v>
      </c>
      <c r="AJ801" s="19">
        <f t="shared" si="236"/>
        <v>2472600.2142256643</v>
      </c>
      <c r="AK801" s="20">
        <f t="shared" si="244"/>
        <v>0.14268518919984163</v>
      </c>
      <c r="AL801" s="17"/>
      <c r="AM801" s="17"/>
      <c r="AN801" s="17"/>
      <c r="AO801" s="17"/>
      <c r="AP801" s="28" t="str">
        <f t="shared" si="245"/>
        <v>202212</v>
      </c>
      <c r="AQ801" s="28" t="str">
        <f t="shared" si="246"/>
        <v>202212RMB</v>
      </c>
      <c r="AR801" s="206" t="str">
        <f t="shared" si="247"/>
        <v>YAMAHA_Mounter</v>
      </c>
      <c r="AS801" s="22">
        <f t="shared" si="248"/>
        <v>0</v>
      </c>
      <c r="AT801" s="24" t="str">
        <f t="shared" si="249"/>
        <v>0-3 months</v>
      </c>
      <c r="AU801" s="22" t="s">
        <v>3750</v>
      </c>
    </row>
    <row r="802" spans="1:47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40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50"/>
        <v>1.13</v>
      </c>
      <c r="Z802" s="18">
        <f t="shared" si="234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35"/>
        <v>17329060.066371687</v>
      </c>
      <c r="AJ802" s="19">
        <f t="shared" si="236"/>
        <v>2472600.2142256643</v>
      </c>
      <c r="AK802" s="20">
        <f t="shared" si="244"/>
        <v>0.14268518919984163</v>
      </c>
      <c r="AL802" s="17"/>
      <c r="AM802" s="17"/>
      <c r="AN802" s="17"/>
      <c r="AO802" s="17"/>
      <c r="AP802" s="28" t="str">
        <f t="shared" si="245"/>
        <v>202212</v>
      </c>
      <c r="AQ802" s="28" t="str">
        <f t="shared" si="246"/>
        <v>202212RMB</v>
      </c>
      <c r="AR802" s="206" t="str">
        <f t="shared" si="247"/>
        <v>YAMAHA_Mounter</v>
      </c>
      <c r="AS802" s="22">
        <f t="shared" si="248"/>
        <v>0</v>
      </c>
      <c r="AT802" s="24" t="str">
        <f t="shared" si="249"/>
        <v>0-3 months</v>
      </c>
      <c r="AU802" s="22" t="s">
        <v>3750</v>
      </c>
    </row>
    <row r="803" spans="1:47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40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50"/>
        <v>1.13</v>
      </c>
      <c r="Z803" s="18">
        <f t="shared" si="234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35"/>
        <v>30573205.452778768</v>
      </c>
      <c r="AJ803" s="19">
        <f t="shared" si="236"/>
        <v>3790930.1683151261</v>
      </c>
      <c r="AK803" s="20">
        <f t="shared" si="244"/>
        <v>0.12399518179964254</v>
      </c>
      <c r="AL803" s="17"/>
      <c r="AM803" s="17"/>
      <c r="AN803" s="17"/>
      <c r="AO803" s="17"/>
      <c r="AP803" s="28" t="str">
        <f t="shared" si="245"/>
        <v>20234</v>
      </c>
      <c r="AQ803" s="28" t="str">
        <f t="shared" si="246"/>
        <v>20234RMB</v>
      </c>
      <c r="AR803" s="206" t="str">
        <f t="shared" si="247"/>
        <v>YAMAHA_Mounter</v>
      </c>
      <c r="AS803" s="22">
        <f t="shared" si="248"/>
        <v>2</v>
      </c>
      <c r="AT803" s="24" t="str">
        <f t="shared" si="249"/>
        <v>0-3 months</v>
      </c>
      <c r="AU803" s="22" t="s">
        <v>3750</v>
      </c>
    </row>
    <row r="804" spans="1:47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40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50"/>
        <v>1.13</v>
      </c>
      <c r="Z804" s="18">
        <f t="shared" si="234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35"/>
        <v>30573205.452778768</v>
      </c>
      <c r="AJ804" s="19">
        <f t="shared" si="236"/>
        <v>3790930.1683151261</v>
      </c>
      <c r="AK804" s="20">
        <f t="shared" si="244"/>
        <v>0.12399518179964254</v>
      </c>
      <c r="AL804" s="17"/>
      <c r="AM804" s="17"/>
      <c r="AN804" s="17"/>
      <c r="AO804" s="17"/>
      <c r="AP804" s="28" t="str">
        <f t="shared" si="245"/>
        <v>20234</v>
      </c>
      <c r="AQ804" s="28" t="str">
        <f t="shared" si="246"/>
        <v>20234RMB</v>
      </c>
      <c r="AR804" s="206" t="str">
        <f t="shared" si="247"/>
        <v>YAMAHA_Mounter</v>
      </c>
      <c r="AS804" s="22">
        <f t="shared" si="248"/>
        <v>2</v>
      </c>
      <c r="AT804" s="24" t="str">
        <f t="shared" si="249"/>
        <v>0-3 months</v>
      </c>
      <c r="AU804" s="22" t="s">
        <v>3750</v>
      </c>
    </row>
    <row r="805" spans="1:47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40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50"/>
        <v>1.13</v>
      </c>
      <c r="Z805" s="18">
        <f t="shared" si="234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35"/>
        <v>30573205.452778768</v>
      </c>
      <c r="AJ805" s="19">
        <f t="shared" si="236"/>
        <v>3790930.1683151261</v>
      </c>
      <c r="AK805" s="20">
        <f t="shared" si="244"/>
        <v>0.12399518179964254</v>
      </c>
      <c r="AL805" s="17"/>
      <c r="AM805" s="17"/>
      <c r="AN805" s="17"/>
      <c r="AO805" s="17"/>
      <c r="AP805" s="28" t="str">
        <f t="shared" si="245"/>
        <v>20234</v>
      </c>
      <c r="AQ805" s="28" t="str">
        <f t="shared" si="246"/>
        <v>20234RMB</v>
      </c>
      <c r="AR805" s="206" t="str">
        <f t="shared" si="247"/>
        <v>YAMAHA_Mounter</v>
      </c>
      <c r="AS805" s="22">
        <f t="shared" si="248"/>
        <v>2</v>
      </c>
      <c r="AT805" s="24" t="str">
        <f t="shared" si="249"/>
        <v>0-3 months</v>
      </c>
      <c r="AU805" s="22" t="s">
        <v>3750</v>
      </c>
    </row>
    <row r="806" spans="1:47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40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50"/>
        <v>1.13</v>
      </c>
      <c r="Z806" s="18">
        <f t="shared" si="234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35"/>
        <v>30573205.452778768</v>
      </c>
      <c r="AJ806" s="19">
        <f t="shared" si="236"/>
        <v>3790930.1683151261</v>
      </c>
      <c r="AK806" s="20">
        <f t="shared" si="244"/>
        <v>0.12399518179964254</v>
      </c>
      <c r="AL806" s="17"/>
      <c r="AM806" s="17"/>
      <c r="AN806" s="17"/>
      <c r="AO806" s="17"/>
      <c r="AP806" s="28" t="str">
        <f t="shared" si="245"/>
        <v>20234</v>
      </c>
      <c r="AQ806" s="28" t="str">
        <f t="shared" si="246"/>
        <v>20234RMB</v>
      </c>
      <c r="AR806" s="206" t="str">
        <f t="shared" si="247"/>
        <v>YAMAHA_Mounter</v>
      </c>
      <c r="AS806" s="22">
        <f t="shared" si="248"/>
        <v>2</v>
      </c>
      <c r="AT806" s="24" t="str">
        <f t="shared" si="249"/>
        <v>0-3 months</v>
      </c>
      <c r="AU806" s="22" t="s">
        <v>3750</v>
      </c>
    </row>
    <row r="807" spans="1:47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40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50"/>
        <v>1.13</v>
      </c>
      <c r="Z807" s="18">
        <f t="shared" si="234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35"/>
        <v>28177779.013274338</v>
      </c>
      <c r="AJ807" s="19">
        <f t="shared" si="236"/>
        <v>4727216.6376190251</v>
      </c>
      <c r="AK807" s="20">
        <f t="shared" si="244"/>
        <v>0.1677639900359808</v>
      </c>
      <c r="AL807" s="17"/>
      <c r="AM807" s="17"/>
      <c r="AN807" s="17"/>
      <c r="AO807" s="17"/>
      <c r="AP807" s="28" t="str">
        <f t="shared" si="245"/>
        <v>20235</v>
      </c>
      <c r="AQ807" s="28" t="str">
        <f t="shared" si="246"/>
        <v>20235RMB</v>
      </c>
      <c r="AR807" s="206" t="str">
        <f t="shared" si="247"/>
        <v>YAMAHA_Mounter</v>
      </c>
      <c r="AS807" s="22">
        <f t="shared" si="248"/>
        <v>2</v>
      </c>
      <c r="AT807" s="24" t="str">
        <f t="shared" si="249"/>
        <v>0-3 months</v>
      </c>
      <c r="AU807" s="22" t="s">
        <v>3750</v>
      </c>
    </row>
    <row r="808" spans="1:47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40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50"/>
        <v>1.13</v>
      </c>
      <c r="Z808" s="18">
        <f t="shared" si="234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35"/>
        <v>28177779.013274338</v>
      </c>
      <c r="AJ808" s="19">
        <f t="shared" si="236"/>
        <v>4727216.6376190251</v>
      </c>
      <c r="AK808" s="20">
        <f t="shared" si="244"/>
        <v>0.1677639900359808</v>
      </c>
      <c r="AL808" s="17"/>
      <c r="AM808" s="17"/>
      <c r="AN808" s="17"/>
      <c r="AO808" s="17"/>
      <c r="AP808" s="28" t="str">
        <f t="shared" si="245"/>
        <v>20235</v>
      </c>
      <c r="AQ808" s="28" t="str">
        <f t="shared" si="246"/>
        <v>20235RMB</v>
      </c>
      <c r="AR808" s="206" t="str">
        <f t="shared" si="247"/>
        <v>YAMAHA_Mounter</v>
      </c>
      <c r="AS808" s="22">
        <f t="shared" si="248"/>
        <v>2</v>
      </c>
      <c r="AT808" s="24" t="str">
        <f t="shared" si="249"/>
        <v>0-3 months</v>
      </c>
      <c r="AU808" s="22" t="s">
        <v>3750</v>
      </c>
    </row>
    <row r="809" spans="1:47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40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34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35"/>
        <v>29840797.698275864</v>
      </c>
      <c r="AJ809" s="19">
        <f t="shared" si="236"/>
        <v>3940167.6555448272</v>
      </c>
      <c r="AK809" s="20">
        <f t="shared" si="244"/>
        <v>0.13203962224416277</v>
      </c>
      <c r="AL809" s="17"/>
      <c r="AM809" s="17"/>
      <c r="AN809" s="17"/>
      <c r="AO809" s="17"/>
      <c r="AP809" s="28" t="str">
        <f t="shared" si="245"/>
        <v>201812</v>
      </c>
      <c r="AQ809" s="28" t="str">
        <f t="shared" si="246"/>
        <v>201812RMB</v>
      </c>
      <c r="AR809" s="206" t="str">
        <f t="shared" si="247"/>
        <v>HELLER</v>
      </c>
      <c r="AS809" s="22">
        <f t="shared" si="248"/>
        <v>1</v>
      </c>
      <c r="AT809" s="24" t="str">
        <f t="shared" si="249"/>
        <v>0-3 months</v>
      </c>
      <c r="AU809" s="22" t="s">
        <v>3743</v>
      </c>
    </row>
    <row r="810" spans="1:47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40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34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35"/>
        <v>29500529.005044252</v>
      </c>
      <c r="AJ810" s="19">
        <f t="shared" si="236"/>
        <v>3253064.846231177</v>
      </c>
      <c r="AK810" s="20">
        <f t="shared" si="244"/>
        <v>0.11027140718984871</v>
      </c>
      <c r="AL810" s="17"/>
      <c r="AM810" s="17"/>
      <c r="AN810" s="17"/>
      <c r="AO810" s="17"/>
      <c r="AP810" s="28" t="str">
        <f t="shared" si="245"/>
        <v>202111</v>
      </c>
      <c r="AQ810" s="28" t="str">
        <f t="shared" si="246"/>
        <v>202111JPY</v>
      </c>
      <c r="AR810" s="206" t="str">
        <f t="shared" si="247"/>
        <v>YAMAHA_Mounter</v>
      </c>
      <c r="AS810" s="22">
        <f t="shared" si="248"/>
        <v>6</v>
      </c>
      <c r="AT810" s="24" t="str">
        <f t="shared" si="249"/>
        <v>4-6 months</v>
      </c>
      <c r="AU810" s="22" t="s">
        <v>3744</v>
      </c>
    </row>
    <row r="811" spans="1:47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40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34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35"/>
        <v>33477255.428389374</v>
      </c>
      <c r="AJ811" s="19">
        <f t="shared" si="236"/>
        <v>4578663.362915583</v>
      </c>
      <c r="AK811" s="20">
        <f t="shared" si="244"/>
        <v>0.13676937682988152</v>
      </c>
      <c r="AL811" s="17"/>
      <c r="AM811" s="17"/>
      <c r="AN811" s="17"/>
      <c r="AO811" s="17"/>
      <c r="AP811" s="28" t="str">
        <f t="shared" si="245"/>
        <v>20204</v>
      </c>
      <c r="AQ811" s="28" t="str">
        <f t="shared" si="246"/>
        <v>20204RMB</v>
      </c>
      <c r="AR811" s="206" t="str">
        <f t="shared" si="247"/>
        <v>YAMAHA_Mounter</v>
      </c>
      <c r="AS811" s="22">
        <f t="shared" si="248"/>
        <v>1</v>
      </c>
      <c r="AT811" s="24" t="str">
        <f t="shared" si="249"/>
        <v>0-3 months</v>
      </c>
      <c r="AU811" s="22" t="s">
        <v>3743</v>
      </c>
    </row>
    <row r="812" spans="1:47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40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51">IF(W812="RMB","1.13", "1")</f>
        <v>1</v>
      </c>
      <c r="Z812" s="18">
        <f t="shared" si="234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35"/>
        <v>45803245.025628321</v>
      </c>
      <c r="AJ812" s="19">
        <f t="shared" si="236"/>
        <v>5664636.2584379362</v>
      </c>
      <c r="AK812" s="20">
        <f t="shared" si="244"/>
        <v>0.12367325186825515</v>
      </c>
      <c r="AL812" s="17"/>
      <c r="AM812" s="17"/>
      <c r="AN812" s="17"/>
      <c r="AO812" s="17"/>
      <c r="AP812" s="28" t="str">
        <f t="shared" si="245"/>
        <v>20211</v>
      </c>
      <c r="AQ812" s="28" t="str">
        <f t="shared" si="246"/>
        <v>20211JPY</v>
      </c>
      <c r="AR812" s="206" t="str">
        <f t="shared" si="247"/>
        <v>YAMAHA_Mounter</v>
      </c>
      <c r="AS812" s="22">
        <f t="shared" si="248"/>
        <v>2</v>
      </c>
      <c r="AT812" s="24" t="str">
        <f t="shared" si="249"/>
        <v>0-3 months</v>
      </c>
      <c r="AU812" s="22" t="s">
        <v>3744</v>
      </c>
    </row>
    <row r="813" spans="1:47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40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51"/>
        <v>1</v>
      </c>
      <c r="Z813" s="18">
        <f t="shared" si="234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35"/>
        <v>45803245.025628321</v>
      </c>
      <c r="AJ813" s="19">
        <f t="shared" si="236"/>
        <v>5664636.2584379362</v>
      </c>
      <c r="AK813" s="20">
        <f t="shared" si="244"/>
        <v>0.12367325186825515</v>
      </c>
      <c r="AL813" s="17"/>
      <c r="AM813" s="17"/>
      <c r="AN813" s="17"/>
      <c r="AO813" s="17"/>
      <c r="AP813" s="28" t="str">
        <f t="shared" si="245"/>
        <v>20211</v>
      </c>
      <c r="AQ813" s="28" t="str">
        <f t="shared" si="246"/>
        <v>20211JPY</v>
      </c>
      <c r="AR813" s="206" t="str">
        <f t="shared" si="247"/>
        <v>YAMAHA_Mounter</v>
      </c>
      <c r="AS813" s="22">
        <f t="shared" si="248"/>
        <v>2</v>
      </c>
      <c r="AT813" s="24" t="str">
        <f t="shared" si="249"/>
        <v>0-3 months</v>
      </c>
      <c r="AU813" s="22" t="s">
        <v>3744</v>
      </c>
    </row>
    <row r="814" spans="1:47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40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51"/>
        <v>1</v>
      </c>
      <c r="Z814" s="18">
        <f t="shared" ref="Z814:Z877" si="252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35"/>
        <v>47458373.787610628</v>
      </c>
      <c r="AJ814" s="19">
        <f t="shared" si="236"/>
        <v>7436880.1411522133</v>
      </c>
      <c r="AK814" s="20">
        <f t="shared" si="244"/>
        <v>0.15670322321692506</v>
      </c>
      <c r="AL814" s="17"/>
      <c r="AM814" s="17"/>
      <c r="AN814" s="17"/>
      <c r="AO814" s="17"/>
      <c r="AP814" s="28" t="str">
        <f t="shared" si="245"/>
        <v>20218</v>
      </c>
      <c r="AQ814" s="28" t="str">
        <f t="shared" si="246"/>
        <v>20218JPY</v>
      </c>
      <c r="AR814" s="206" t="str">
        <f t="shared" si="247"/>
        <v>YAMAHA_Mounter</v>
      </c>
      <c r="AS814" s="22">
        <f t="shared" si="248"/>
        <v>9</v>
      </c>
      <c r="AT814" s="24" t="str">
        <f t="shared" si="249"/>
        <v>&gt; 6 months</v>
      </c>
      <c r="AU814" s="22" t="s">
        <v>3744</v>
      </c>
    </row>
    <row r="815" spans="1:47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40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51"/>
        <v>1</v>
      </c>
      <c r="Z815" s="18">
        <f t="shared" si="252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35"/>
        <v>47458373.787610628</v>
      </c>
      <c r="AJ815" s="19">
        <f t="shared" si="236"/>
        <v>7436880.1411522133</v>
      </c>
      <c r="AK815" s="20">
        <f t="shared" si="244"/>
        <v>0.15670322321692506</v>
      </c>
      <c r="AL815" s="17"/>
      <c r="AM815" s="17"/>
      <c r="AN815" s="17"/>
      <c r="AO815" s="17"/>
      <c r="AP815" s="28" t="str">
        <f t="shared" si="245"/>
        <v>20218</v>
      </c>
      <c r="AQ815" s="28" t="str">
        <f t="shared" si="246"/>
        <v>20218JPY</v>
      </c>
      <c r="AR815" s="206" t="str">
        <f t="shared" si="247"/>
        <v>YAMAHA_Mounter</v>
      </c>
      <c r="AS815" s="22">
        <f t="shared" si="248"/>
        <v>9</v>
      </c>
      <c r="AT815" s="24" t="str">
        <f t="shared" si="249"/>
        <v>&gt; 6 months</v>
      </c>
      <c r="AU815" s="22" t="s">
        <v>3744</v>
      </c>
    </row>
    <row r="816" spans="1:47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39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40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51"/>
        <v>1</v>
      </c>
      <c r="Z816" s="18">
        <f t="shared" si="252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35"/>
        <v>499582152.5142017</v>
      </c>
      <c r="AJ816" s="19">
        <f t="shared" si="236"/>
        <v>59520528.679470733</v>
      </c>
      <c r="AK816" s="20">
        <f t="shared" si="244"/>
        <v>0.11914062257814291</v>
      </c>
      <c r="AL816" s="17"/>
      <c r="AM816" s="17"/>
      <c r="AN816" s="17"/>
      <c r="AO816" s="17"/>
      <c r="AP816" s="28" t="str">
        <f t="shared" si="245"/>
        <v>CancelCancel</v>
      </c>
      <c r="AQ816" s="28" t="str">
        <f t="shared" si="246"/>
        <v>CancelCancelJPY</v>
      </c>
      <c r="AR816" s="206" t="str">
        <f t="shared" si="247"/>
        <v>YAMAHA_Mounter</v>
      </c>
      <c r="AS816" s="22" t="str">
        <f t="shared" si="248"/>
        <v/>
      </c>
      <c r="AT816" s="24" t="str">
        <f t="shared" si="249"/>
        <v/>
      </c>
      <c r="AU816" s="22" t="s">
        <v>3744</v>
      </c>
    </row>
    <row r="817" spans="1:47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39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40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51"/>
        <v>1</v>
      </c>
      <c r="Z817" s="18">
        <f t="shared" si="252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35"/>
        <v>499582152.5142017</v>
      </c>
      <c r="AJ817" s="19">
        <f t="shared" si="236"/>
        <v>59520528.679470733</v>
      </c>
      <c r="AK817" s="20">
        <f t="shared" si="244"/>
        <v>0.11914062257814291</v>
      </c>
      <c r="AL817" s="17"/>
      <c r="AM817" s="17"/>
      <c r="AN817" s="17"/>
      <c r="AO817" s="17"/>
      <c r="AP817" s="28" t="str">
        <f t="shared" si="245"/>
        <v>CancelCancel</v>
      </c>
      <c r="AQ817" s="28" t="str">
        <f t="shared" si="246"/>
        <v>CancelCancelJPY</v>
      </c>
      <c r="AR817" s="206" t="str">
        <f t="shared" si="247"/>
        <v>YAMAHA_Mounter</v>
      </c>
      <c r="AS817" s="22" t="str">
        <f t="shared" si="248"/>
        <v/>
      </c>
      <c r="AT817" s="24" t="str">
        <f t="shared" si="249"/>
        <v/>
      </c>
      <c r="AU817" s="22" t="s">
        <v>3744</v>
      </c>
    </row>
    <row r="818" spans="1:47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40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51"/>
        <v>1</v>
      </c>
      <c r="Z818" s="18">
        <f t="shared" si="252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35"/>
        <v>41443303.53761062</v>
      </c>
      <c r="AJ818" s="19">
        <f t="shared" si="236"/>
        <v>6194988.76643031</v>
      </c>
      <c r="AK818" s="20">
        <f t="shared" si="244"/>
        <v>0.1494810557466355</v>
      </c>
      <c r="AL818" s="17"/>
      <c r="AM818" s="17"/>
      <c r="AN818" s="17"/>
      <c r="AO818" s="17"/>
      <c r="AP818" s="28" t="str">
        <f t="shared" si="245"/>
        <v>20217</v>
      </c>
      <c r="AQ818" s="28" t="str">
        <f t="shared" si="246"/>
        <v>20217JPY</v>
      </c>
      <c r="AR818" s="206" t="str">
        <f t="shared" si="247"/>
        <v>YAMAHA_Mounter</v>
      </c>
      <c r="AS818" s="22">
        <f t="shared" si="248"/>
        <v>4</v>
      </c>
      <c r="AT818" s="24" t="str">
        <f t="shared" si="249"/>
        <v>4-6 months</v>
      </c>
      <c r="AU818" s="22" t="s">
        <v>3745</v>
      </c>
    </row>
    <row r="819" spans="1:47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40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51"/>
        <v>1</v>
      </c>
      <c r="Z819" s="18">
        <f t="shared" si="252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35"/>
        <v>10844605.840707963</v>
      </c>
      <c r="AJ819" s="19">
        <f t="shared" si="236"/>
        <v>1523130.9860707966</v>
      </c>
      <c r="AK819" s="20">
        <f t="shared" si="244"/>
        <v>0.14045056209911663</v>
      </c>
      <c r="AL819" s="17"/>
      <c r="AM819" s="17"/>
      <c r="AN819" s="17"/>
      <c r="AO819" s="17"/>
      <c r="AP819" s="28" t="str">
        <f t="shared" si="245"/>
        <v>20219</v>
      </c>
      <c r="AQ819" s="28" t="str">
        <f t="shared" si="246"/>
        <v>20219JPY</v>
      </c>
      <c r="AR819" s="206" t="str">
        <f t="shared" si="247"/>
        <v>YAMAHA_Mounter</v>
      </c>
      <c r="AS819" s="22">
        <f t="shared" si="248"/>
        <v>6</v>
      </c>
      <c r="AT819" s="24" t="str">
        <f t="shared" si="249"/>
        <v>4-6 months</v>
      </c>
      <c r="AU819" s="22" t="s">
        <v>3745</v>
      </c>
    </row>
    <row r="820" spans="1:47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39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40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51"/>
        <v>1</v>
      </c>
      <c r="Z820" s="18">
        <f t="shared" si="252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35"/>
        <v>499582152.5142017</v>
      </c>
      <c r="AJ820" s="19">
        <f t="shared" si="236"/>
        <v>59520528.679470733</v>
      </c>
      <c r="AK820" s="20">
        <f t="shared" si="244"/>
        <v>0.11914062257814291</v>
      </c>
      <c r="AL820" s="17"/>
      <c r="AM820" s="17"/>
      <c r="AN820" s="17"/>
      <c r="AO820" s="17"/>
      <c r="AP820" s="28" t="str">
        <f t="shared" si="245"/>
        <v>CancelCancel</v>
      </c>
      <c r="AQ820" s="28" t="str">
        <f t="shared" si="246"/>
        <v>CancelCancelJPY</v>
      </c>
      <c r="AR820" s="206" t="str">
        <f t="shared" si="247"/>
        <v>YAMAHA_Mounter</v>
      </c>
      <c r="AS820" s="22" t="str">
        <f t="shared" si="248"/>
        <v/>
      </c>
      <c r="AT820" s="24" t="str">
        <f t="shared" si="249"/>
        <v/>
      </c>
      <c r="AU820" s="22" t="s">
        <v>3744</v>
      </c>
    </row>
    <row r="821" spans="1:47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40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52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35"/>
        <v>48763143.537654862</v>
      </c>
      <c r="AJ821" s="19">
        <f t="shared" si="236"/>
        <v>5924029.9702154724</v>
      </c>
      <c r="AK821" s="20">
        <f t="shared" si="244"/>
        <v>0.1214858095774925</v>
      </c>
      <c r="AL821" s="17"/>
      <c r="AM821" s="17"/>
      <c r="AN821" s="17"/>
      <c r="AO821" s="17"/>
      <c r="AP821" s="28" t="str">
        <f t="shared" si="245"/>
        <v>202012</v>
      </c>
      <c r="AQ821" s="28" t="str">
        <f t="shared" si="246"/>
        <v>202012JPY</v>
      </c>
      <c r="AR821" s="206" t="str">
        <f t="shared" si="247"/>
        <v>YAMAHA_Mounter</v>
      </c>
      <c r="AS821" s="22">
        <f t="shared" si="248"/>
        <v>5</v>
      </c>
      <c r="AT821" s="24" t="str">
        <f t="shared" si="249"/>
        <v>4-6 months</v>
      </c>
      <c r="AU821" s="22" t="s">
        <v>3744</v>
      </c>
    </row>
    <row r="822" spans="1:47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40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52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35"/>
        <v>48763143.537654862</v>
      </c>
      <c r="AJ822" s="19">
        <f t="shared" si="236"/>
        <v>5924029.9702154724</v>
      </c>
      <c r="AK822" s="20">
        <f t="shared" si="244"/>
        <v>0.1214858095774925</v>
      </c>
      <c r="AL822" s="17"/>
      <c r="AM822" s="17"/>
      <c r="AN822" s="17"/>
      <c r="AO822" s="17"/>
      <c r="AP822" s="28" t="str">
        <f t="shared" si="245"/>
        <v>202012</v>
      </c>
      <c r="AQ822" s="28" t="str">
        <f t="shared" si="246"/>
        <v>202012JPY</v>
      </c>
      <c r="AR822" s="206" t="str">
        <f t="shared" si="247"/>
        <v>YAMAHA_Mounter</v>
      </c>
      <c r="AS822" s="22">
        <f t="shared" si="248"/>
        <v>5</v>
      </c>
      <c r="AT822" s="24" t="str">
        <f t="shared" si="249"/>
        <v>4-6 months</v>
      </c>
      <c r="AU822" s="22" t="s">
        <v>3744</v>
      </c>
    </row>
    <row r="823" spans="1:47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39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40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52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35"/>
        <v>499582152.5142017</v>
      </c>
      <c r="AJ823" s="19">
        <f t="shared" si="236"/>
        <v>59520528.679470733</v>
      </c>
      <c r="AK823" s="20">
        <f t="shared" si="244"/>
        <v>0.11914062257814291</v>
      </c>
      <c r="AL823" s="17"/>
      <c r="AM823" s="17"/>
      <c r="AN823" s="17"/>
      <c r="AO823" s="17"/>
      <c r="AP823" s="28" t="str">
        <f t="shared" si="245"/>
        <v>CancelCancel</v>
      </c>
      <c r="AQ823" s="28" t="str">
        <f t="shared" si="246"/>
        <v>CancelCancelJPY</v>
      </c>
      <c r="AR823" s="206" t="str">
        <f t="shared" si="247"/>
        <v>YAMAHA_Mounter</v>
      </c>
      <c r="AS823" s="22" t="str">
        <f t="shared" si="248"/>
        <v/>
      </c>
      <c r="AT823" s="24" t="str">
        <f t="shared" si="249"/>
        <v/>
      </c>
      <c r="AU823" s="22" t="s">
        <v>3744</v>
      </c>
    </row>
    <row r="824" spans="1:47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39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40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52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35"/>
        <v>499582152.5142017</v>
      </c>
      <c r="AJ824" s="19">
        <f t="shared" si="236"/>
        <v>59520528.679470733</v>
      </c>
      <c r="AK824" s="20">
        <f t="shared" si="244"/>
        <v>0.11914062257814291</v>
      </c>
      <c r="AL824" s="17"/>
      <c r="AM824" s="17"/>
      <c r="AN824" s="17"/>
      <c r="AO824" s="17"/>
      <c r="AP824" s="28" t="str">
        <f t="shared" si="245"/>
        <v>CancelCancel</v>
      </c>
      <c r="AQ824" s="28" t="str">
        <f t="shared" si="246"/>
        <v>CancelCancelJPY</v>
      </c>
      <c r="AR824" s="206" t="str">
        <f t="shared" si="247"/>
        <v>YAMAHA_Mounter</v>
      </c>
      <c r="AS824" s="22" t="str">
        <f t="shared" si="248"/>
        <v/>
      </c>
      <c r="AT824" s="24" t="str">
        <f t="shared" si="249"/>
        <v/>
      </c>
      <c r="AU824" s="22" t="s">
        <v>3744</v>
      </c>
    </row>
    <row r="825" spans="1:47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39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40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52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35"/>
        <v>499582152.5142017</v>
      </c>
      <c r="AJ825" s="19">
        <f t="shared" si="236"/>
        <v>59520528.679470733</v>
      </c>
      <c r="AK825" s="20">
        <f t="shared" si="244"/>
        <v>0.11914062257814291</v>
      </c>
      <c r="AL825" s="17"/>
      <c r="AM825" s="17"/>
      <c r="AN825" s="17"/>
      <c r="AO825" s="17"/>
      <c r="AP825" s="28" t="str">
        <f t="shared" si="245"/>
        <v>CancelCancel</v>
      </c>
      <c r="AQ825" s="28" t="str">
        <f t="shared" si="246"/>
        <v>CancelCancelJPY</v>
      </c>
      <c r="AR825" s="206" t="str">
        <f t="shared" si="247"/>
        <v>YAMAHA_Mounter</v>
      </c>
      <c r="AS825" s="22" t="str">
        <f t="shared" si="248"/>
        <v/>
      </c>
      <c r="AT825" s="24" t="str">
        <f t="shared" si="249"/>
        <v/>
      </c>
      <c r="AU825" s="22" t="s">
        <v>3744</v>
      </c>
    </row>
    <row r="826" spans="1:47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40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52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35"/>
        <v>20319282.700884953</v>
      </c>
      <c r="AJ826" s="27">
        <f t="shared" si="236"/>
        <v>2408851.9638623013</v>
      </c>
      <c r="AK826" s="28">
        <f t="shared" si="244"/>
        <v>0.11855004919821259</v>
      </c>
      <c r="AL826" s="24"/>
      <c r="AM826" s="24"/>
      <c r="AN826" s="24"/>
      <c r="AO826" s="24"/>
      <c r="AP826" s="28" t="str">
        <f t="shared" si="245"/>
        <v>20244</v>
      </c>
      <c r="AQ826" s="28" t="str">
        <f t="shared" si="246"/>
        <v>20244JPY</v>
      </c>
      <c r="AR826" s="206" t="str">
        <f t="shared" si="247"/>
        <v>YAMAHA_Mounter</v>
      </c>
      <c r="AS826" s="22">
        <f t="shared" si="248"/>
        <v>1</v>
      </c>
      <c r="AT826" s="24" t="str">
        <f t="shared" si="249"/>
        <v>0-3 months</v>
      </c>
      <c r="AU826" s="22" t="s">
        <v>3744</v>
      </c>
    </row>
    <row r="827" spans="1:47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40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52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35"/>
        <v>20319282.700884953</v>
      </c>
      <c r="AJ827" s="27">
        <f t="shared" si="236"/>
        <v>2408851.9638623013</v>
      </c>
      <c r="AK827" s="28">
        <f t="shared" si="244"/>
        <v>0.11855004919821259</v>
      </c>
      <c r="AL827" s="24"/>
      <c r="AM827" s="24"/>
      <c r="AN827" s="24"/>
      <c r="AO827" s="24"/>
      <c r="AP827" s="28" t="str">
        <f t="shared" si="245"/>
        <v>20244</v>
      </c>
      <c r="AQ827" s="28" t="str">
        <f t="shared" si="246"/>
        <v>20244JPY</v>
      </c>
      <c r="AR827" s="206" t="str">
        <f t="shared" si="247"/>
        <v>YAMAHA_Non_Mounter</v>
      </c>
      <c r="AS827" s="22">
        <f t="shared" si="248"/>
        <v>3</v>
      </c>
      <c r="AT827" s="24" t="str">
        <f t="shared" si="249"/>
        <v>0-3 months</v>
      </c>
      <c r="AU827" s="22" t="s">
        <v>3745</v>
      </c>
    </row>
    <row r="828" spans="1:47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40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52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35"/>
        <v>20319282.700884953</v>
      </c>
      <c r="AJ828" s="27">
        <f t="shared" si="236"/>
        <v>2408851.9638623013</v>
      </c>
      <c r="AK828" s="28">
        <f t="shared" si="244"/>
        <v>0.11855004919821259</v>
      </c>
      <c r="AL828" s="24"/>
      <c r="AM828" s="24"/>
      <c r="AN828" s="24"/>
      <c r="AO828" s="24"/>
      <c r="AP828" s="28" t="str">
        <f t="shared" si="245"/>
        <v>20244</v>
      </c>
      <c r="AQ828" s="28" t="str">
        <f t="shared" si="246"/>
        <v>20244JPY</v>
      </c>
      <c r="AR828" s="206" t="str">
        <f t="shared" si="247"/>
        <v>YAMAHA_Mounter</v>
      </c>
      <c r="AS828" s="22">
        <f t="shared" si="248"/>
        <v>1</v>
      </c>
      <c r="AT828" s="24" t="str">
        <f t="shared" si="249"/>
        <v>0-3 months</v>
      </c>
      <c r="AU828" s="22" t="s">
        <v>3240</v>
      </c>
    </row>
    <row r="829" spans="1:47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40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52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35"/>
        <v>44078731.611185849</v>
      </c>
      <c r="AJ829" s="19">
        <f t="shared" si="236"/>
        <v>5508173.2163771465</v>
      </c>
      <c r="AK829" s="20">
        <f t="shared" si="244"/>
        <v>0.12496215328889679</v>
      </c>
      <c r="AL829" s="17"/>
      <c r="AM829" s="17"/>
      <c r="AN829" s="17"/>
      <c r="AO829" s="17"/>
      <c r="AP829" s="28" t="str">
        <f t="shared" si="245"/>
        <v>202011</v>
      </c>
      <c r="AQ829" s="28" t="str">
        <f t="shared" si="246"/>
        <v>202011JPY</v>
      </c>
      <c r="AR829" s="206" t="str">
        <f t="shared" si="247"/>
        <v>YAMAHA_Mounter</v>
      </c>
      <c r="AS829" s="22">
        <f t="shared" si="248"/>
        <v>2</v>
      </c>
      <c r="AT829" s="24" t="str">
        <f t="shared" si="249"/>
        <v>0-3 months</v>
      </c>
      <c r="AU829" s="22" t="s">
        <v>3744</v>
      </c>
    </row>
    <row r="830" spans="1:47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40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52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35"/>
        <v>28647263.974455759</v>
      </c>
      <c r="AJ830" s="19">
        <f t="shared" si="236"/>
        <v>3219855.6912513468</v>
      </c>
      <c r="AK830" s="20">
        <f t="shared" si="244"/>
        <v>0.11239662168514358</v>
      </c>
      <c r="AL830" s="17"/>
      <c r="AM830" s="17"/>
      <c r="AN830" s="17"/>
      <c r="AO830" s="17"/>
      <c r="AP830" s="28" t="str">
        <f t="shared" si="245"/>
        <v>201910</v>
      </c>
      <c r="AQ830" s="28" t="str">
        <f t="shared" si="246"/>
        <v>201910JPY</v>
      </c>
      <c r="AR830" s="206" t="str">
        <f t="shared" si="247"/>
        <v>SIGMA</v>
      </c>
      <c r="AS830" s="22">
        <f t="shared" si="248"/>
        <v>2</v>
      </c>
      <c r="AT830" s="24" t="str">
        <f t="shared" si="249"/>
        <v>0-3 months</v>
      </c>
      <c r="AU830" s="22" t="s">
        <v>3745</v>
      </c>
    </row>
    <row r="831" spans="1:47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40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52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35"/>
        <v>28647263.974455759</v>
      </c>
      <c r="AJ831" s="19">
        <f t="shared" si="236"/>
        <v>3219855.6912513468</v>
      </c>
      <c r="AK831" s="20">
        <f t="shared" si="244"/>
        <v>0.11239662168514358</v>
      </c>
      <c r="AL831" s="17"/>
      <c r="AM831" s="17"/>
      <c r="AN831" s="17"/>
      <c r="AO831" s="17"/>
      <c r="AP831" s="28" t="str">
        <f t="shared" si="245"/>
        <v>201910</v>
      </c>
      <c r="AQ831" s="28" t="str">
        <f t="shared" si="246"/>
        <v>201910JPY</v>
      </c>
      <c r="AR831" s="206" t="str">
        <f t="shared" si="247"/>
        <v>SIGMA</v>
      </c>
      <c r="AS831" s="22">
        <f t="shared" si="248"/>
        <v>2</v>
      </c>
      <c r="AT831" s="24" t="str">
        <f t="shared" si="249"/>
        <v>0-3 months</v>
      </c>
      <c r="AU831" s="22" t="s">
        <v>3745</v>
      </c>
    </row>
    <row r="832" spans="1:47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40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52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35"/>
        <v>21386017.707964607</v>
      </c>
      <c r="AJ832" s="19">
        <f t="shared" si="236"/>
        <v>2238764.3265707968</v>
      </c>
      <c r="AK832" s="20">
        <f t="shared" si="244"/>
        <v>0.10468355339185161</v>
      </c>
      <c r="AL832" s="17"/>
      <c r="AM832" s="17"/>
      <c r="AN832" s="17"/>
      <c r="AO832" s="17"/>
      <c r="AP832" s="28" t="str">
        <f t="shared" si="245"/>
        <v>20198</v>
      </c>
      <c r="AQ832" s="28" t="str">
        <f t="shared" si="246"/>
        <v>20198JPY</v>
      </c>
      <c r="AR832" s="206" t="str">
        <f t="shared" si="247"/>
        <v>SIGMA</v>
      </c>
      <c r="AS832" s="22">
        <f t="shared" si="248"/>
        <v>2</v>
      </c>
      <c r="AT832" s="24" t="str">
        <f t="shared" si="249"/>
        <v>0-3 months</v>
      </c>
      <c r="AU832" s="22" t="s">
        <v>3745</v>
      </c>
    </row>
    <row r="833" spans="1:47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40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52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35"/>
        <v>21386017.707964607</v>
      </c>
      <c r="AJ833" s="19">
        <f t="shared" si="236"/>
        <v>2238764.3265707968</v>
      </c>
      <c r="AK833" s="20">
        <f t="shared" si="244"/>
        <v>0.10468355339185161</v>
      </c>
      <c r="AL833" s="17"/>
      <c r="AM833" s="17"/>
      <c r="AN833" s="17"/>
      <c r="AO833" s="17"/>
      <c r="AP833" s="28" t="str">
        <f t="shared" si="245"/>
        <v>20198</v>
      </c>
      <c r="AQ833" s="28" t="str">
        <f t="shared" si="246"/>
        <v>20198JPY</v>
      </c>
      <c r="AR833" s="206" t="str">
        <f t="shared" si="247"/>
        <v>SIGMA</v>
      </c>
      <c r="AS833" s="22">
        <f t="shared" si="248"/>
        <v>2</v>
      </c>
      <c r="AT833" s="24" t="str">
        <f t="shared" si="249"/>
        <v>0-3 months</v>
      </c>
      <c r="AU833" s="22" t="s">
        <v>3745</v>
      </c>
    </row>
    <row r="834" spans="1:47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40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52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ref="AI834:AI897" si="253">IF(P834="C66 SERVICE","",SUMIFS(AB:AB,F:F,F834,G:G,G834,E:E,E834))</f>
        <v>29183109.05575221</v>
      </c>
      <c r="AJ834" s="19">
        <f t="shared" ref="AJ834:AJ897" si="254">IF(P834="C66 SERVICE","",SUMIFS(AC:AC,F:F,F834,G:G,G834,E:E,E834))</f>
        <v>3741266.5648721238</v>
      </c>
      <c r="AK834" s="20">
        <f t="shared" si="244"/>
        <v>0.12819972531798121</v>
      </c>
      <c r="AL834" s="17"/>
      <c r="AM834" s="17"/>
      <c r="AN834" s="17"/>
      <c r="AO834" s="17"/>
      <c r="AP834" s="28" t="str">
        <f t="shared" si="245"/>
        <v>20206</v>
      </c>
      <c r="AQ834" s="28" t="str">
        <f t="shared" si="246"/>
        <v>20206JPY</v>
      </c>
      <c r="AR834" s="206" t="str">
        <f t="shared" si="247"/>
        <v>SIGMA</v>
      </c>
      <c r="AS834" s="22">
        <f t="shared" si="248"/>
        <v>2</v>
      </c>
      <c r="AT834" s="24" t="str">
        <f t="shared" si="249"/>
        <v>0-3 months</v>
      </c>
      <c r="AU834" s="22" t="s">
        <v>3745</v>
      </c>
    </row>
    <row r="835" spans="1:47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40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52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53"/>
        <v>54700260.692079648</v>
      </c>
      <c r="AJ835" s="19">
        <f t="shared" si="254"/>
        <v>7482899.5749188727</v>
      </c>
      <c r="AK835" s="20">
        <f t="shared" si="244"/>
        <v>0.13679824337660537</v>
      </c>
      <c r="AL835" s="17"/>
      <c r="AM835" s="17"/>
      <c r="AN835" s="17"/>
      <c r="AO835" s="17"/>
      <c r="AP835" s="28" t="str">
        <f t="shared" si="245"/>
        <v>20216</v>
      </c>
      <c r="AQ835" s="28" t="str">
        <f t="shared" si="246"/>
        <v>20216JPY</v>
      </c>
      <c r="AR835" s="206" t="str">
        <f t="shared" si="247"/>
        <v>SIGMA</v>
      </c>
      <c r="AS835" s="22">
        <f t="shared" si="248"/>
        <v>4</v>
      </c>
      <c r="AT835" s="24" t="str">
        <f t="shared" si="249"/>
        <v>4-6 months</v>
      </c>
      <c r="AU835" s="22" t="s">
        <v>3745</v>
      </c>
    </row>
    <row r="836" spans="1:47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40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52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53"/>
        <v>41443303.53761062</v>
      </c>
      <c r="AJ836" s="19">
        <f t="shared" si="254"/>
        <v>6194988.76643031</v>
      </c>
      <c r="AK836" s="20">
        <f t="shared" si="244"/>
        <v>0.1494810557466355</v>
      </c>
      <c r="AL836" s="17"/>
      <c r="AM836" s="17"/>
      <c r="AN836" s="17"/>
      <c r="AO836" s="17"/>
      <c r="AP836" s="28" t="str">
        <f t="shared" si="245"/>
        <v>20217</v>
      </c>
      <c r="AQ836" s="28" t="str">
        <f t="shared" si="246"/>
        <v>20217JPY</v>
      </c>
      <c r="AR836" s="206" t="str">
        <f t="shared" si="247"/>
        <v>YAMAHA_Mounter</v>
      </c>
      <c r="AS836" s="22">
        <f t="shared" si="248"/>
        <v>1</v>
      </c>
      <c r="AT836" s="24" t="str">
        <f t="shared" si="249"/>
        <v>0-3 months</v>
      </c>
      <c r="AU836" s="22" t="s">
        <v>3745</v>
      </c>
    </row>
    <row r="837" spans="1:47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40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52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53"/>
        <v>41443303.53761062</v>
      </c>
      <c r="AJ837" s="19">
        <f t="shared" si="254"/>
        <v>6194988.76643031</v>
      </c>
      <c r="AK837" s="20">
        <f t="shared" si="244"/>
        <v>0.1494810557466355</v>
      </c>
      <c r="AL837" s="17"/>
      <c r="AM837" s="17"/>
      <c r="AN837" s="17"/>
      <c r="AO837" s="17"/>
      <c r="AP837" s="28" t="str">
        <f t="shared" si="245"/>
        <v>20217</v>
      </c>
      <c r="AQ837" s="28" t="str">
        <f t="shared" si="246"/>
        <v>20217JPY</v>
      </c>
      <c r="AR837" s="206" t="str">
        <f t="shared" si="247"/>
        <v>YAMAHA_Mounter</v>
      </c>
      <c r="AS837" s="22">
        <f t="shared" si="248"/>
        <v>1</v>
      </c>
      <c r="AT837" s="24" t="str">
        <f t="shared" si="249"/>
        <v>0-3 months</v>
      </c>
      <c r="AU837" s="22" t="s">
        <v>3745</v>
      </c>
    </row>
    <row r="838" spans="1:47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52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si="253"/>
        <v>47416008.333399981</v>
      </c>
      <c r="AJ838" s="19">
        <f t="shared" si="254"/>
        <v>6981738.4465290187</v>
      </c>
      <c r="AK838" s="20">
        <f t="shared" ref="AK838:AK901" si="262">IF(AJ838&gt;0,AJ838/AI838,"")</f>
        <v>0.14724433143839863</v>
      </c>
      <c r="AL838" s="17"/>
      <c r="AM838" s="17"/>
      <c r="AN838" s="17"/>
      <c r="AO838" s="17"/>
      <c r="AP838" s="28" t="str">
        <f t="shared" ref="AP838:AP901" si="263">IF(F838="","",F838&amp;G838)</f>
        <v>20193</v>
      </c>
      <c r="AQ838" s="28" t="str">
        <f t="shared" ref="AQ838:AQ901" si="264">IF(W838="","",F838&amp;G838&amp;W838)</f>
        <v>20193JPY</v>
      </c>
      <c r="AR838" s="206" t="str">
        <f t="shared" ref="AR838:AR901" si="265">IFERROR(IF(AND(M838="YAMAHA", R838="C28"), "YAMAHA_Non_Mounter", IF(AND(M838="YAMAHA", R838="C49"), "YAMAHA_Mounter", M838)),"")</f>
        <v>YAMAHA_Mounter</v>
      </c>
      <c r="AS838" s="22">
        <f t="shared" ref="AS838:AS901" si="266">IFERROR(IF(OR(G838="TBA", G838=""), "", DATEDIF(DATE(B838, C838, 1), DATE(F838, G838, 1), "M")),"")</f>
        <v>2</v>
      </c>
      <c r="AT838" s="24" t="str">
        <f t="shared" ref="AT838:AT901" si="267">IF(ISNUMBER(AS838), IF(AS838&gt;=0, IF(AS838&lt;=3, "0-3 months", IF(AS838&lt;=6, "4-6 months", "&gt; 6 months"))), "")</f>
        <v>0-3 months</v>
      </c>
      <c r="AU838" s="22" t="s">
        <v>3745</v>
      </c>
    </row>
    <row r="839" spans="1:47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58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52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53"/>
        <v>47416008.333399981</v>
      </c>
      <c r="AJ839" s="19">
        <f t="shared" si="254"/>
        <v>6981738.4465290187</v>
      </c>
      <c r="AK839" s="20">
        <f t="shared" si="262"/>
        <v>0.14724433143839863</v>
      </c>
      <c r="AL839" s="17"/>
      <c r="AM839" s="17"/>
      <c r="AN839" s="17"/>
      <c r="AO839" s="17"/>
      <c r="AP839" s="28" t="str">
        <f t="shared" si="263"/>
        <v>20193</v>
      </c>
      <c r="AQ839" s="28" t="str">
        <f t="shared" si="264"/>
        <v>20193JPY</v>
      </c>
      <c r="AR839" s="206" t="str">
        <f t="shared" si="265"/>
        <v>YAMAHA_Mounter</v>
      </c>
      <c r="AS839" s="22">
        <f t="shared" si="266"/>
        <v>2</v>
      </c>
      <c r="AT839" s="24" t="str">
        <f t="shared" si="267"/>
        <v>0-3 months</v>
      </c>
      <c r="AU839" s="22" t="s">
        <v>3745</v>
      </c>
    </row>
    <row r="840" spans="1:47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58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52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53"/>
        <v>47416008.333399981</v>
      </c>
      <c r="AJ840" s="19">
        <f t="shared" si="254"/>
        <v>6981738.4465290187</v>
      </c>
      <c r="AK840" s="20">
        <f t="shared" si="262"/>
        <v>0.14724433143839863</v>
      </c>
      <c r="AL840" s="17"/>
      <c r="AM840" s="17"/>
      <c r="AN840" s="17"/>
      <c r="AO840" s="17"/>
      <c r="AP840" s="28" t="str">
        <f t="shared" si="263"/>
        <v>20193</v>
      </c>
      <c r="AQ840" s="28" t="str">
        <f t="shared" si="264"/>
        <v>20193JPY</v>
      </c>
      <c r="AR840" s="206" t="str">
        <f t="shared" si="265"/>
        <v>YAMAHA_Mounter</v>
      </c>
      <c r="AS840" s="22">
        <f t="shared" si="266"/>
        <v>2</v>
      </c>
      <c r="AT840" s="24" t="str">
        <f t="shared" si="267"/>
        <v>0-3 months</v>
      </c>
      <c r="AU840" s="22" t="s">
        <v>3745</v>
      </c>
    </row>
    <row r="841" spans="1:47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58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52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53"/>
        <v>29183109.05575221</v>
      </c>
      <c r="AJ841" s="19">
        <f t="shared" si="254"/>
        <v>3741266.5648721238</v>
      </c>
      <c r="AK841" s="20">
        <f t="shared" si="262"/>
        <v>0.12819972531798121</v>
      </c>
      <c r="AL841" s="17"/>
      <c r="AM841" s="17"/>
      <c r="AN841" s="17"/>
      <c r="AO841" s="17"/>
      <c r="AP841" s="28" t="str">
        <f t="shared" si="263"/>
        <v>20206</v>
      </c>
      <c r="AQ841" s="28" t="str">
        <f t="shared" si="264"/>
        <v>20206JPY</v>
      </c>
      <c r="AR841" s="206" t="str">
        <f t="shared" si="265"/>
        <v>YAMAHA_Mounter</v>
      </c>
      <c r="AS841" s="22">
        <f t="shared" si="266"/>
        <v>1</v>
      </c>
      <c r="AT841" s="24" t="str">
        <f t="shared" si="267"/>
        <v>0-3 months</v>
      </c>
      <c r="AU841" s="22" t="s">
        <v>3745</v>
      </c>
    </row>
    <row r="842" spans="1:47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58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52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53"/>
        <v>29183109.05575221</v>
      </c>
      <c r="AJ842" s="19">
        <f t="shared" si="254"/>
        <v>3741266.5648721238</v>
      </c>
      <c r="AK842" s="20">
        <f t="shared" si="262"/>
        <v>0.12819972531798121</v>
      </c>
      <c r="AL842" s="17"/>
      <c r="AM842" s="17"/>
      <c r="AN842" s="17"/>
      <c r="AO842" s="17"/>
      <c r="AP842" s="28" t="str">
        <f t="shared" si="263"/>
        <v>20206</v>
      </c>
      <c r="AQ842" s="28" t="str">
        <f t="shared" si="264"/>
        <v>20206JPY</v>
      </c>
      <c r="AR842" s="206" t="str">
        <f t="shared" si="265"/>
        <v>YAMAHA_Mounter</v>
      </c>
      <c r="AS842" s="22">
        <f t="shared" si="266"/>
        <v>1</v>
      </c>
      <c r="AT842" s="24" t="str">
        <f t="shared" si="267"/>
        <v>0-3 months</v>
      </c>
      <c r="AU842" s="22" t="s">
        <v>3745</v>
      </c>
    </row>
    <row r="843" spans="1:47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58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52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53"/>
        <v>29183109.05575221</v>
      </c>
      <c r="AJ843" s="19">
        <f t="shared" si="254"/>
        <v>3741266.5648721238</v>
      </c>
      <c r="AK843" s="20">
        <f t="shared" si="262"/>
        <v>0.12819972531798121</v>
      </c>
      <c r="AL843" s="17"/>
      <c r="AM843" s="17"/>
      <c r="AN843" s="17"/>
      <c r="AO843" s="17"/>
      <c r="AP843" s="28" t="str">
        <f t="shared" si="263"/>
        <v>20206</v>
      </c>
      <c r="AQ843" s="28" t="str">
        <f t="shared" si="264"/>
        <v>20206JPY</v>
      </c>
      <c r="AR843" s="206" t="str">
        <f t="shared" si="265"/>
        <v>YAMAHA_Mounter</v>
      </c>
      <c r="AS843" s="22">
        <f t="shared" si="266"/>
        <v>1</v>
      </c>
      <c r="AT843" s="24" t="str">
        <f t="shared" si="267"/>
        <v>0-3 months</v>
      </c>
      <c r="AU843" s="22" t="s">
        <v>3745</v>
      </c>
    </row>
    <row r="844" spans="1:47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58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68">IF(W844="RMB","1.13", "1")</f>
        <v>1</v>
      </c>
      <c r="Z844" s="18">
        <f t="shared" si="252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53"/>
        <v>48763143.537654862</v>
      </c>
      <c r="AJ844" s="19">
        <f t="shared" si="254"/>
        <v>5924029.9702154724</v>
      </c>
      <c r="AK844" s="20">
        <f t="shared" si="262"/>
        <v>0.1214858095774925</v>
      </c>
      <c r="AL844" s="17"/>
      <c r="AM844" s="17"/>
      <c r="AN844" s="17"/>
      <c r="AO844" s="17"/>
      <c r="AP844" s="28" t="str">
        <f t="shared" si="263"/>
        <v>202012</v>
      </c>
      <c r="AQ844" s="28" t="str">
        <f t="shared" si="264"/>
        <v>202012JPY</v>
      </c>
      <c r="AR844" s="206" t="str">
        <f t="shared" si="265"/>
        <v>YAMAHA_Mounter</v>
      </c>
      <c r="AS844" s="22">
        <f t="shared" si="266"/>
        <v>3</v>
      </c>
      <c r="AT844" s="24" t="str">
        <f t="shared" si="267"/>
        <v>0-3 months</v>
      </c>
      <c r="AU844" s="22" t="s">
        <v>3745</v>
      </c>
    </row>
    <row r="845" spans="1:47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58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68"/>
        <v>1</v>
      </c>
      <c r="Z845" s="18">
        <f t="shared" si="252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53"/>
        <v>48763143.537654862</v>
      </c>
      <c r="AJ845" s="19">
        <f t="shared" si="254"/>
        <v>5924029.9702154724</v>
      </c>
      <c r="AK845" s="20">
        <f t="shared" si="262"/>
        <v>0.1214858095774925</v>
      </c>
      <c r="AL845" s="17"/>
      <c r="AM845" s="17"/>
      <c r="AN845" s="17"/>
      <c r="AO845" s="17"/>
      <c r="AP845" s="28" t="str">
        <f t="shared" si="263"/>
        <v>202012</v>
      </c>
      <c r="AQ845" s="28" t="str">
        <f t="shared" si="264"/>
        <v>202012JPY</v>
      </c>
      <c r="AR845" s="206" t="str">
        <f t="shared" si="265"/>
        <v>YAMAHA_Mounter</v>
      </c>
      <c r="AS845" s="22">
        <f t="shared" si="266"/>
        <v>3</v>
      </c>
      <c r="AT845" s="24" t="str">
        <f t="shared" si="267"/>
        <v>0-3 months</v>
      </c>
      <c r="AU845" s="22" t="s">
        <v>3745</v>
      </c>
    </row>
    <row r="846" spans="1:47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58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68"/>
        <v>1</v>
      </c>
      <c r="Z846" s="18">
        <f t="shared" si="252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53"/>
        <v>48763143.537654862</v>
      </c>
      <c r="AJ846" s="19">
        <f t="shared" si="254"/>
        <v>5924029.9702154724</v>
      </c>
      <c r="AK846" s="20">
        <f t="shared" si="262"/>
        <v>0.1214858095774925</v>
      </c>
      <c r="AL846" s="17"/>
      <c r="AM846" s="17"/>
      <c r="AN846" s="17"/>
      <c r="AO846" s="17"/>
      <c r="AP846" s="28" t="str">
        <f t="shared" si="263"/>
        <v>202012</v>
      </c>
      <c r="AQ846" s="28" t="str">
        <f t="shared" si="264"/>
        <v>202012JPY</v>
      </c>
      <c r="AR846" s="206" t="str">
        <f t="shared" si="265"/>
        <v>YAMAHA_Mounter</v>
      </c>
      <c r="AS846" s="22">
        <f t="shared" si="266"/>
        <v>3</v>
      </c>
      <c r="AT846" s="24" t="str">
        <f t="shared" si="267"/>
        <v>0-3 months</v>
      </c>
      <c r="AU846" s="22" t="s">
        <v>3745</v>
      </c>
    </row>
    <row r="847" spans="1:47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58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68"/>
        <v>1</v>
      </c>
      <c r="Z847" s="18">
        <f t="shared" si="252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53"/>
        <v>48763143.537654862</v>
      </c>
      <c r="AJ847" s="19">
        <f t="shared" si="254"/>
        <v>5924029.9702154724</v>
      </c>
      <c r="AK847" s="20">
        <f t="shared" si="262"/>
        <v>0.1214858095774925</v>
      </c>
      <c r="AL847" s="17"/>
      <c r="AM847" s="17"/>
      <c r="AN847" s="17"/>
      <c r="AO847" s="17"/>
      <c r="AP847" s="28" t="str">
        <f t="shared" si="263"/>
        <v>202012</v>
      </c>
      <c r="AQ847" s="28" t="str">
        <f t="shared" si="264"/>
        <v>202012JPY</v>
      </c>
      <c r="AR847" s="206" t="str">
        <f t="shared" si="265"/>
        <v>YAMAHA_Mounter</v>
      </c>
      <c r="AS847" s="22">
        <f t="shared" si="266"/>
        <v>3</v>
      </c>
      <c r="AT847" s="24" t="str">
        <f t="shared" si="267"/>
        <v>0-3 months</v>
      </c>
      <c r="AU847" s="22" t="s">
        <v>3745</v>
      </c>
    </row>
    <row r="848" spans="1:47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58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68"/>
        <v>1</v>
      </c>
      <c r="Z848" s="18">
        <f t="shared" si="252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53"/>
        <v>63006605.696460173</v>
      </c>
      <c r="AJ848" s="19">
        <f t="shared" si="254"/>
        <v>8897485.660753984</v>
      </c>
      <c r="AK848" s="20">
        <f t="shared" si="262"/>
        <v>0.141215124388995</v>
      </c>
      <c r="AL848" s="17"/>
      <c r="AM848" s="17"/>
      <c r="AN848" s="17"/>
      <c r="AO848" s="17"/>
      <c r="AP848" s="28" t="str">
        <f t="shared" si="263"/>
        <v>20215</v>
      </c>
      <c r="AQ848" s="28" t="str">
        <f t="shared" si="264"/>
        <v>20215JPY</v>
      </c>
      <c r="AR848" s="206" t="str">
        <f t="shared" si="265"/>
        <v>YAMAHA_Mounter</v>
      </c>
      <c r="AS848" s="22">
        <f t="shared" si="266"/>
        <v>1</v>
      </c>
      <c r="AT848" s="24" t="str">
        <f t="shared" si="267"/>
        <v>0-3 months</v>
      </c>
      <c r="AU848" s="22" t="s">
        <v>3744</v>
      </c>
    </row>
    <row r="849" spans="1:47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58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68"/>
        <v>1</v>
      </c>
      <c r="Z849" s="18">
        <f t="shared" si="252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53"/>
        <v>63006605.696460173</v>
      </c>
      <c r="AJ849" s="19">
        <f t="shared" si="254"/>
        <v>8897485.660753984</v>
      </c>
      <c r="AK849" s="20">
        <f t="shared" si="262"/>
        <v>0.141215124388995</v>
      </c>
      <c r="AL849" s="17"/>
      <c r="AM849" s="17"/>
      <c r="AN849" s="17"/>
      <c r="AO849" s="17"/>
      <c r="AP849" s="28" t="str">
        <f t="shared" si="263"/>
        <v>20215</v>
      </c>
      <c r="AQ849" s="28" t="str">
        <f t="shared" si="264"/>
        <v>20215JPY</v>
      </c>
      <c r="AR849" s="206" t="str">
        <f t="shared" si="265"/>
        <v>YAMAHA_Mounter</v>
      </c>
      <c r="AS849" s="22">
        <f t="shared" si="266"/>
        <v>1</v>
      </c>
      <c r="AT849" s="24" t="str">
        <f t="shared" si="267"/>
        <v>0-3 months</v>
      </c>
      <c r="AU849" s="22" t="s">
        <v>3744</v>
      </c>
    </row>
    <row r="850" spans="1:47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58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68"/>
        <v>1.13</v>
      </c>
      <c r="Z850" s="18">
        <f t="shared" si="252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53"/>
        <v>33543315.897345133</v>
      </c>
      <c r="AJ850" s="19">
        <f t="shared" si="254"/>
        <v>4706169.3252984071</v>
      </c>
      <c r="AK850" s="20">
        <f t="shared" si="262"/>
        <v>0.14030125523967318</v>
      </c>
      <c r="AL850" s="17"/>
      <c r="AM850" s="17"/>
      <c r="AN850" s="17"/>
      <c r="AO850" s="17"/>
      <c r="AP850" s="28" t="str">
        <f t="shared" si="263"/>
        <v>20233</v>
      </c>
      <c r="AQ850" s="28" t="str">
        <f t="shared" si="264"/>
        <v>20233RMB</v>
      </c>
      <c r="AR850" s="206" t="str">
        <f t="shared" si="265"/>
        <v>YAMAHA_Mounter</v>
      </c>
      <c r="AS850" s="22">
        <f t="shared" si="266"/>
        <v>1</v>
      </c>
      <c r="AT850" s="24" t="str">
        <f t="shared" si="267"/>
        <v>0-3 months</v>
      </c>
      <c r="AU850" s="22" t="s">
        <v>3750</v>
      </c>
    </row>
    <row r="851" spans="1:47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58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68"/>
        <v>1.13</v>
      </c>
      <c r="Z851" s="18">
        <f t="shared" si="252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53"/>
        <v>33543315.897345133</v>
      </c>
      <c r="AJ851" s="19">
        <f t="shared" si="254"/>
        <v>4706169.3252984071</v>
      </c>
      <c r="AK851" s="20">
        <f t="shared" si="262"/>
        <v>0.14030125523967318</v>
      </c>
      <c r="AL851" s="17"/>
      <c r="AM851" s="17"/>
      <c r="AN851" s="17"/>
      <c r="AO851" s="17"/>
      <c r="AP851" s="28" t="str">
        <f t="shared" si="263"/>
        <v>20233</v>
      </c>
      <c r="AQ851" s="28" t="str">
        <f t="shared" si="264"/>
        <v>20233RMB</v>
      </c>
      <c r="AR851" s="206" t="str">
        <f t="shared" si="265"/>
        <v>YAMAHA_Mounter</v>
      </c>
      <c r="AS851" s="22">
        <f t="shared" si="266"/>
        <v>1</v>
      </c>
      <c r="AT851" s="24" t="str">
        <f t="shared" si="267"/>
        <v>0-3 months</v>
      </c>
      <c r="AU851" s="22" t="s">
        <v>3750</v>
      </c>
    </row>
    <row r="852" spans="1:47" s="12" customFormat="1">
      <c r="A852" s="33" t="str">
        <f t="shared" si="255"/>
        <v>cancel</v>
      </c>
      <c r="B852" s="152"/>
      <c r="C852" s="152" t="s">
        <v>185</v>
      </c>
      <c r="D852" s="33" t="str">
        <f t="shared" si="256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57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58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52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53"/>
        <v>499582152.5142017</v>
      </c>
      <c r="AJ852" s="19">
        <f t="shared" si="254"/>
        <v>59520528.679470733</v>
      </c>
      <c r="AK852" s="20">
        <f t="shared" si="262"/>
        <v>0.11914062257814291</v>
      </c>
      <c r="AL852" s="17"/>
      <c r="AM852" s="17"/>
      <c r="AN852" s="17"/>
      <c r="AO852" s="17"/>
      <c r="AP852" s="28" t="str">
        <f t="shared" si="263"/>
        <v>CancelCancel</v>
      </c>
      <c r="AQ852" s="28" t="str">
        <f t="shared" si="264"/>
        <v>CancelCancelJPY</v>
      </c>
      <c r="AR852" s="206" t="str">
        <f t="shared" si="265"/>
        <v>YAMAHA_Mounter</v>
      </c>
      <c r="AS852" s="22" t="str">
        <f t="shared" si="266"/>
        <v/>
      </c>
      <c r="AT852" s="24" t="str">
        <f t="shared" si="267"/>
        <v/>
      </c>
      <c r="AU852" s="22" t="s">
        <v>3745</v>
      </c>
    </row>
    <row r="853" spans="1:47" s="12" customFormat="1">
      <c r="A853" s="33" t="str">
        <f t="shared" si="255"/>
        <v>cancel</v>
      </c>
      <c r="B853" s="152"/>
      <c r="C853" s="152" t="s">
        <v>185</v>
      </c>
      <c r="D853" s="33" t="str">
        <f t="shared" si="256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57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58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52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53"/>
        <v>499582152.5142017</v>
      </c>
      <c r="AJ853" s="19">
        <f t="shared" si="254"/>
        <v>59520528.679470733</v>
      </c>
      <c r="AK853" s="20">
        <f t="shared" si="262"/>
        <v>0.11914062257814291</v>
      </c>
      <c r="AL853" s="17"/>
      <c r="AM853" s="17"/>
      <c r="AN853" s="17"/>
      <c r="AO853" s="17"/>
      <c r="AP853" s="28" t="str">
        <f t="shared" si="263"/>
        <v>CancelCancel</v>
      </c>
      <c r="AQ853" s="28" t="str">
        <f t="shared" si="264"/>
        <v>CancelCancelJPY</v>
      </c>
      <c r="AR853" s="206" t="str">
        <f t="shared" si="265"/>
        <v>YAMAHA_Mounter</v>
      </c>
      <c r="AS853" s="22" t="str">
        <f t="shared" si="266"/>
        <v/>
      </c>
      <c r="AT853" s="24" t="str">
        <f t="shared" si="267"/>
        <v/>
      </c>
      <c r="AU853" s="22" t="s">
        <v>3745</v>
      </c>
    </row>
    <row r="854" spans="1:47" s="12" customFormat="1">
      <c r="A854" s="33" t="str">
        <f t="shared" si="255"/>
        <v>cancel</v>
      </c>
      <c r="B854" s="152"/>
      <c r="C854" s="152" t="s">
        <v>185</v>
      </c>
      <c r="D854" s="33" t="str">
        <f t="shared" si="256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57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58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52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53"/>
        <v>499582152.5142017</v>
      </c>
      <c r="AJ854" s="19">
        <f t="shared" si="254"/>
        <v>59520528.679470733</v>
      </c>
      <c r="AK854" s="20">
        <f t="shared" si="262"/>
        <v>0.11914062257814291</v>
      </c>
      <c r="AL854" s="17"/>
      <c r="AM854" s="17"/>
      <c r="AN854" s="17"/>
      <c r="AO854" s="17"/>
      <c r="AP854" s="28" t="str">
        <f t="shared" si="263"/>
        <v>CancelCancel</v>
      </c>
      <c r="AQ854" s="28" t="str">
        <f t="shared" si="264"/>
        <v>CancelCancelJPY</v>
      </c>
      <c r="AR854" s="206" t="str">
        <f t="shared" si="265"/>
        <v>YAMAHA_Mounter</v>
      </c>
      <c r="AS854" s="22" t="str">
        <f t="shared" si="266"/>
        <v/>
      </c>
      <c r="AT854" s="24" t="str">
        <f t="shared" si="267"/>
        <v/>
      </c>
      <c r="AU854" s="22" t="s">
        <v>3745</v>
      </c>
    </row>
    <row r="855" spans="1:47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58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2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53"/>
        <v>20319282.700884953</v>
      </c>
      <c r="AJ855" s="27">
        <f t="shared" si="254"/>
        <v>2408851.9638623013</v>
      </c>
      <c r="AK855" s="28">
        <f t="shared" si="262"/>
        <v>0.11855004919821259</v>
      </c>
      <c r="AL855" s="24"/>
      <c r="AM855" s="24"/>
      <c r="AN855" s="24"/>
      <c r="AO855" s="24"/>
      <c r="AP855" s="28" t="str">
        <f t="shared" si="263"/>
        <v>20244</v>
      </c>
      <c r="AQ855" s="28" t="str">
        <f t="shared" si="264"/>
        <v/>
      </c>
      <c r="AR855" s="206" t="str">
        <f t="shared" si="265"/>
        <v>C66 SERVICE</v>
      </c>
      <c r="AS855" s="22" t="str">
        <f t="shared" si="266"/>
        <v/>
      </c>
      <c r="AT855" s="24" t="str">
        <f t="shared" si="267"/>
        <v/>
      </c>
      <c r="AU855" s="22">
        <v>0</v>
      </c>
    </row>
    <row r="856" spans="1:47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58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2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53"/>
        <v>20319282.700884953</v>
      </c>
      <c r="AJ856" s="27">
        <f t="shared" si="254"/>
        <v>2408851.9638623013</v>
      </c>
      <c r="AK856" s="28">
        <f t="shared" si="262"/>
        <v>0.11855004919821259</v>
      </c>
      <c r="AL856" s="24"/>
      <c r="AM856" s="24"/>
      <c r="AN856" s="24"/>
      <c r="AO856" s="24"/>
      <c r="AP856" s="28" t="str">
        <f t="shared" si="263"/>
        <v>20244</v>
      </c>
      <c r="AQ856" s="28" t="str">
        <f t="shared" si="264"/>
        <v/>
      </c>
      <c r="AR856" s="206" t="str">
        <f t="shared" si="265"/>
        <v>C66 SERVICE</v>
      </c>
      <c r="AS856" s="22" t="str">
        <f t="shared" si="266"/>
        <v/>
      </c>
      <c r="AT856" s="24" t="str">
        <f t="shared" si="267"/>
        <v/>
      </c>
      <c r="AU856" s="22">
        <v>0</v>
      </c>
    </row>
    <row r="857" spans="1:47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58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2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53"/>
        <v>20319282.700884953</v>
      </c>
      <c r="AJ857" s="27">
        <f t="shared" si="254"/>
        <v>2408851.9638623013</v>
      </c>
      <c r="AK857" s="28">
        <f t="shared" si="262"/>
        <v>0.11855004919821259</v>
      </c>
      <c r="AL857" s="24"/>
      <c r="AM857" s="24"/>
      <c r="AN857" s="24"/>
      <c r="AO857" s="24"/>
      <c r="AP857" s="28" t="str">
        <f t="shared" si="263"/>
        <v>20244</v>
      </c>
      <c r="AQ857" s="28" t="str">
        <f t="shared" si="264"/>
        <v/>
      </c>
      <c r="AR857" s="206" t="str">
        <f t="shared" si="265"/>
        <v>C66 SERVICE</v>
      </c>
      <c r="AS857" s="22" t="str">
        <f t="shared" si="266"/>
        <v/>
      </c>
      <c r="AT857" s="24" t="str">
        <f t="shared" si="267"/>
        <v/>
      </c>
      <c r="AU857" s="22">
        <v>0</v>
      </c>
    </row>
    <row r="858" spans="1:47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58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2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53"/>
        <v>20319282.700884953</v>
      </c>
      <c r="AJ858" s="27">
        <f t="shared" si="254"/>
        <v>2408851.9638623013</v>
      </c>
      <c r="AK858" s="28">
        <f t="shared" si="262"/>
        <v>0.11855004919821259</v>
      </c>
      <c r="AL858" s="24"/>
      <c r="AM858" s="24"/>
      <c r="AN858" s="24"/>
      <c r="AO858" s="24"/>
      <c r="AP858" s="28" t="str">
        <f t="shared" si="263"/>
        <v>20244</v>
      </c>
      <c r="AQ858" s="28" t="str">
        <f t="shared" si="264"/>
        <v/>
      </c>
      <c r="AR858" s="206" t="str">
        <f t="shared" si="265"/>
        <v>C66 SERVICE</v>
      </c>
      <c r="AS858" s="22" t="str">
        <f t="shared" si="266"/>
        <v/>
      </c>
      <c r="AT858" s="24" t="str">
        <f t="shared" si="267"/>
        <v/>
      </c>
      <c r="AU858" s="22">
        <v>0</v>
      </c>
    </row>
    <row r="859" spans="1:47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58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52"/>
        <v>7150000</v>
      </c>
      <c r="AA859" s="13">
        <v>7.2700000000000001E-2</v>
      </c>
      <c r="AB859" s="21">
        <f t="shared" ref="AB859:AB922" si="269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53"/>
        <v>14005204.685000001</v>
      </c>
      <c r="AJ859" s="19">
        <f t="shared" si="254"/>
        <v>1436995.246084</v>
      </c>
      <c r="AK859" s="20">
        <f t="shared" si="262"/>
        <v>0.10260437304590525</v>
      </c>
      <c r="AL859" s="17"/>
      <c r="AM859" s="17"/>
      <c r="AN859" s="17"/>
      <c r="AO859" s="17"/>
      <c r="AP859" s="28" t="str">
        <f t="shared" si="263"/>
        <v>20202</v>
      </c>
      <c r="AQ859" s="28" t="str">
        <f t="shared" si="264"/>
        <v>20202JPY</v>
      </c>
      <c r="AR859" s="206" t="str">
        <f t="shared" si="265"/>
        <v>YAMAHA_Mounter</v>
      </c>
      <c r="AS859" s="22">
        <f t="shared" si="266"/>
        <v>2</v>
      </c>
      <c r="AT859" s="24" t="str">
        <f t="shared" si="267"/>
        <v>0-3 months</v>
      </c>
      <c r="AU859" s="22" t="s">
        <v>3745</v>
      </c>
    </row>
    <row r="860" spans="1:47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58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52"/>
        <v>7771400</v>
      </c>
      <c r="AA860" s="13">
        <v>7.6100000000000001E-2</v>
      </c>
      <c r="AB860" s="21">
        <f t="shared" si="269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53"/>
        <v>44078731.611185849</v>
      </c>
      <c r="AJ860" s="19">
        <f t="shared" si="254"/>
        <v>5508173.2163771465</v>
      </c>
      <c r="AK860" s="20">
        <f t="shared" si="262"/>
        <v>0.12496215328889679</v>
      </c>
      <c r="AL860" s="17"/>
      <c r="AM860" s="17"/>
      <c r="AN860" s="17"/>
      <c r="AO860" s="17"/>
      <c r="AP860" s="28" t="str">
        <f t="shared" si="263"/>
        <v>202011</v>
      </c>
      <c r="AQ860" s="28" t="str">
        <f t="shared" si="264"/>
        <v>202011JPY</v>
      </c>
      <c r="AR860" s="206" t="str">
        <f t="shared" si="265"/>
        <v>YAMAHA_Mounter</v>
      </c>
      <c r="AS860" s="22">
        <f t="shared" si="266"/>
        <v>4</v>
      </c>
      <c r="AT860" s="24" t="str">
        <f t="shared" si="267"/>
        <v>4-6 months</v>
      </c>
      <c r="AU860" s="22" t="s">
        <v>3744</v>
      </c>
    </row>
    <row r="861" spans="1:47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58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52"/>
        <v>7771400</v>
      </c>
      <c r="AA861" s="13">
        <v>7.6799999999999993E-2</v>
      </c>
      <c r="AB861" s="21">
        <f t="shared" si="269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53"/>
        <v>45803245.025628321</v>
      </c>
      <c r="AJ861" s="19">
        <f t="shared" si="254"/>
        <v>5664636.2584379362</v>
      </c>
      <c r="AK861" s="20">
        <f t="shared" si="262"/>
        <v>0.12367325186825515</v>
      </c>
      <c r="AL861" s="17"/>
      <c r="AM861" s="17"/>
      <c r="AN861" s="17"/>
      <c r="AO861" s="17"/>
      <c r="AP861" s="28" t="str">
        <f t="shared" si="263"/>
        <v>20211</v>
      </c>
      <c r="AQ861" s="28" t="str">
        <f t="shared" si="264"/>
        <v>20211JPY</v>
      </c>
      <c r="AR861" s="206" t="str">
        <f t="shared" si="265"/>
        <v>YAMAHA_Mounter</v>
      </c>
      <c r="AS861" s="22">
        <f t="shared" si="266"/>
        <v>0</v>
      </c>
      <c r="AT861" s="24" t="str">
        <f t="shared" si="267"/>
        <v>0-3 months</v>
      </c>
      <c r="AU861" s="22" t="s">
        <v>3744</v>
      </c>
    </row>
    <row r="862" spans="1:47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58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52"/>
        <v>7771400</v>
      </c>
      <c r="AA862" s="13">
        <v>7.6799999999999993E-2</v>
      </c>
      <c r="AB862" s="21">
        <f t="shared" si="269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53"/>
        <v>45803245.025628321</v>
      </c>
      <c r="AJ862" s="19">
        <f t="shared" si="254"/>
        <v>5664636.2584379362</v>
      </c>
      <c r="AK862" s="20">
        <f t="shared" si="262"/>
        <v>0.12367325186825515</v>
      </c>
      <c r="AL862" s="17"/>
      <c r="AM862" s="17"/>
      <c r="AN862" s="17"/>
      <c r="AO862" s="17"/>
      <c r="AP862" s="28" t="str">
        <f t="shared" si="263"/>
        <v>20211</v>
      </c>
      <c r="AQ862" s="28" t="str">
        <f t="shared" si="264"/>
        <v>20211JPY</v>
      </c>
      <c r="AR862" s="206" t="str">
        <f t="shared" si="265"/>
        <v>YAMAHA_Mounter</v>
      </c>
      <c r="AS862" s="22">
        <f t="shared" si="266"/>
        <v>0</v>
      </c>
      <c r="AT862" s="24" t="str">
        <f t="shared" si="267"/>
        <v>0-3 months</v>
      </c>
      <c r="AU862" s="22" t="s">
        <v>3744</v>
      </c>
    </row>
    <row r="863" spans="1:47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58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52"/>
        <v>471400</v>
      </c>
      <c r="AA863" s="13">
        <v>1.135</v>
      </c>
      <c r="AB863" s="21">
        <f t="shared" si="269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53"/>
        <v>15948576.102654871</v>
      </c>
      <c r="AJ863" s="19">
        <f t="shared" si="254"/>
        <v>2739848.7004853105</v>
      </c>
      <c r="AK863" s="20">
        <f t="shared" si="262"/>
        <v>0.17179268436567344</v>
      </c>
      <c r="AL863" s="17"/>
      <c r="AM863" s="17"/>
      <c r="AN863" s="17"/>
      <c r="AO863" s="17"/>
      <c r="AP863" s="28" t="str">
        <f t="shared" si="263"/>
        <v>20229</v>
      </c>
      <c r="AQ863" s="28" t="str">
        <f t="shared" si="264"/>
        <v>20229RMB</v>
      </c>
      <c r="AR863" s="206" t="str">
        <f t="shared" si="265"/>
        <v>YAMAHA_Mounter</v>
      </c>
      <c r="AS863" s="22">
        <f t="shared" si="266"/>
        <v>1</v>
      </c>
      <c r="AT863" s="24" t="str">
        <f t="shared" si="267"/>
        <v>0-3 months</v>
      </c>
      <c r="AU863" s="22" t="s">
        <v>3240</v>
      </c>
    </row>
    <row r="864" spans="1:47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58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52"/>
        <v>14300000</v>
      </c>
      <c r="AA864" s="13">
        <v>7.22E-2</v>
      </c>
      <c r="AB864" s="21">
        <f t="shared" si="269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53"/>
        <v>47416008.333399981</v>
      </c>
      <c r="AJ864" s="19">
        <f t="shared" si="254"/>
        <v>6981738.4465290187</v>
      </c>
      <c r="AK864" s="20">
        <f t="shared" si="262"/>
        <v>0.14724433143839863</v>
      </c>
      <c r="AL864" s="17"/>
      <c r="AM864" s="17"/>
      <c r="AN864" s="17"/>
      <c r="AO864" s="17"/>
      <c r="AP864" s="28" t="str">
        <f t="shared" si="263"/>
        <v>20193</v>
      </c>
      <c r="AQ864" s="28" t="str">
        <f t="shared" si="264"/>
        <v>20193JPY</v>
      </c>
      <c r="AR864" s="206" t="str">
        <f t="shared" si="265"/>
        <v>YAMAHA_Mounter</v>
      </c>
      <c r="AS864" s="22">
        <f t="shared" si="266"/>
        <v>0</v>
      </c>
      <c r="AT864" s="24" t="str">
        <f t="shared" si="267"/>
        <v>0-3 months</v>
      </c>
      <c r="AU864" s="22" t="s">
        <v>3744</v>
      </c>
    </row>
    <row r="865" spans="1:47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58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52"/>
        <v>840000</v>
      </c>
      <c r="AA865" s="13">
        <v>1.105</v>
      </c>
      <c r="AB865" s="21">
        <f t="shared" si="269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53"/>
        <v>37969334.083628319</v>
      </c>
      <c r="AJ865" s="19">
        <f t="shared" si="254"/>
        <v>5097226.4551657084</v>
      </c>
      <c r="AK865" s="20">
        <f t="shared" si="262"/>
        <v>0.13424587441904964</v>
      </c>
      <c r="AL865" s="17"/>
      <c r="AM865" s="17"/>
      <c r="AN865" s="17"/>
      <c r="AO865" s="17"/>
      <c r="AP865" s="28" t="str">
        <f t="shared" si="263"/>
        <v>20208</v>
      </c>
      <c r="AQ865" s="28" t="str">
        <f t="shared" si="264"/>
        <v>20208RMB</v>
      </c>
      <c r="AR865" s="206" t="str">
        <f t="shared" si="265"/>
        <v>YAMAHA_Mounter</v>
      </c>
      <c r="AS865" s="22">
        <f t="shared" si="266"/>
        <v>1</v>
      </c>
      <c r="AT865" s="24" t="str">
        <f t="shared" si="267"/>
        <v>0-3 months</v>
      </c>
      <c r="AU865" s="22" t="s">
        <v>3743</v>
      </c>
    </row>
    <row r="866" spans="1:47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58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52"/>
        <v>13730000</v>
      </c>
      <c r="AA866" s="13">
        <v>7.0699999999999999E-2</v>
      </c>
      <c r="AB866" s="21">
        <f t="shared" si="269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53"/>
        <v>10785027.603448275</v>
      </c>
      <c r="AJ866" s="19">
        <f t="shared" si="254"/>
        <v>1540894.1297982759</v>
      </c>
      <c r="AK866" s="20">
        <f t="shared" si="262"/>
        <v>0.1428734525728621</v>
      </c>
      <c r="AL866" s="17"/>
      <c r="AM866" s="17"/>
      <c r="AN866" s="17"/>
      <c r="AO866" s="17"/>
      <c r="AP866" s="28" t="str">
        <f t="shared" si="263"/>
        <v>201811</v>
      </c>
      <c r="AQ866" s="28" t="str">
        <f t="shared" si="264"/>
        <v>201811JPY</v>
      </c>
      <c r="AR866" s="206" t="str">
        <f t="shared" si="265"/>
        <v>YAMAHA_Mounter</v>
      </c>
      <c r="AS866" s="22">
        <f t="shared" si="266"/>
        <v>3</v>
      </c>
      <c r="AT866" s="24" t="str">
        <f t="shared" si="267"/>
        <v>0-3 months</v>
      </c>
      <c r="AU866" s="22" t="s">
        <v>3745</v>
      </c>
    </row>
    <row r="867" spans="1:47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58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52"/>
        <v>13730000</v>
      </c>
      <c r="AA867" s="13">
        <v>7.0699999999999999E-2</v>
      </c>
      <c r="AB867" s="21">
        <f t="shared" si="269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53"/>
        <v>10785027.603448275</v>
      </c>
      <c r="AJ867" s="19">
        <f t="shared" si="254"/>
        <v>1540894.1297982759</v>
      </c>
      <c r="AK867" s="20">
        <f t="shared" si="262"/>
        <v>0.1428734525728621</v>
      </c>
      <c r="AL867" s="17"/>
      <c r="AM867" s="17"/>
      <c r="AN867" s="17"/>
      <c r="AO867" s="17"/>
      <c r="AP867" s="28" t="str">
        <f t="shared" si="263"/>
        <v>201811</v>
      </c>
      <c r="AQ867" s="28" t="str">
        <f t="shared" si="264"/>
        <v>201811JPY</v>
      </c>
      <c r="AR867" s="206" t="str">
        <f t="shared" si="265"/>
        <v>YAMAHA_Mounter</v>
      </c>
      <c r="AS867" s="22">
        <f t="shared" si="266"/>
        <v>3</v>
      </c>
      <c r="AT867" s="24" t="str">
        <f t="shared" si="267"/>
        <v>0-3 months</v>
      </c>
      <c r="AU867" s="22" t="s">
        <v>3745</v>
      </c>
    </row>
    <row r="868" spans="1:47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58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70">IF(W868="RMB","1.13", "1")</f>
        <v>1</v>
      </c>
      <c r="Z868" s="18">
        <f t="shared" si="252"/>
        <v>15000000</v>
      </c>
      <c r="AA868" s="13">
        <v>7.17E-2</v>
      </c>
      <c r="AB868" s="21">
        <f t="shared" si="269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53"/>
        <v>41443303.53761062</v>
      </c>
      <c r="AJ868" s="19">
        <f t="shared" si="254"/>
        <v>6194988.76643031</v>
      </c>
      <c r="AK868" s="20">
        <f t="shared" si="262"/>
        <v>0.1494810557466355</v>
      </c>
      <c r="AL868" s="17"/>
      <c r="AM868" s="17"/>
      <c r="AN868" s="17"/>
      <c r="AO868" s="17"/>
      <c r="AP868" s="28" t="str">
        <f t="shared" si="263"/>
        <v>20217</v>
      </c>
      <c r="AQ868" s="28" t="str">
        <f t="shared" si="264"/>
        <v>20217JPY</v>
      </c>
      <c r="AR868" s="206" t="str">
        <f t="shared" si="265"/>
        <v>YAMAHA_Mounter</v>
      </c>
      <c r="AS868" s="22">
        <f t="shared" si="266"/>
        <v>10</v>
      </c>
      <c r="AT868" s="24" t="str">
        <f t="shared" si="267"/>
        <v>&gt; 6 months</v>
      </c>
      <c r="AU868" s="22" t="s">
        <v>3744</v>
      </c>
    </row>
    <row r="869" spans="1:47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58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70"/>
        <v>1</v>
      </c>
      <c r="Z869" s="18">
        <f t="shared" si="252"/>
        <v>15000000</v>
      </c>
      <c r="AA869" s="13">
        <v>7.17E-2</v>
      </c>
      <c r="AB869" s="21">
        <f t="shared" si="269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53"/>
        <v>41443303.53761062</v>
      </c>
      <c r="AJ869" s="19">
        <f t="shared" si="254"/>
        <v>6194988.76643031</v>
      </c>
      <c r="AK869" s="20">
        <f t="shared" si="262"/>
        <v>0.1494810557466355</v>
      </c>
      <c r="AL869" s="17"/>
      <c r="AM869" s="17"/>
      <c r="AN869" s="17"/>
      <c r="AO869" s="17"/>
      <c r="AP869" s="28" t="str">
        <f t="shared" si="263"/>
        <v>20217</v>
      </c>
      <c r="AQ869" s="28" t="str">
        <f t="shared" si="264"/>
        <v>20217JPY</v>
      </c>
      <c r="AR869" s="206" t="str">
        <f t="shared" si="265"/>
        <v>YAMAHA_Mounter</v>
      </c>
      <c r="AS869" s="22">
        <f t="shared" si="266"/>
        <v>10</v>
      </c>
      <c r="AT869" s="24" t="str">
        <f t="shared" si="267"/>
        <v>&gt; 6 months</v>
      </c>
      <c r="AU869" s="22" t="s">
        <v>3744</v>
      </c>
    </row>
    <row r="870" spans="1:47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58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70"/>
        <v>1</v>
      </c>
      <c r="Z870" s="18">
        <f t="shared" si="252"/>
        <v>6800000</v>
      </c>
      <c r="AA870" s="13">
        <v>7.17E-2</v>
      </c>
      <c r="AB870" s="21">
        <f t="shared" si="269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53"/>
        <v>41443303.53761062</v>
      </c>
      <c r="AJ870" s="19">
        <f t="shared" si="254"/>
        <v>6194988.76643031</v>
      </c>
      <c r="AK870" s="20">
        <f t="shared" si="262"/>
        <v>0.1494810557466355</v>
      </c>
      <c r="AL870" s="17"/>
      <c r="AM870" s="17"/>
      <c r="AN870" s="17"/>
      <c r="AO870" s="17"/>
      <c r="AP870" s="28" t="str">
        <f t="shared" si="263"/>
        <v>20217</v>
      </c>
      <c r="AQ870" s="28" t="str">
        <f t="shared" si="264"/>
        <v>20217JPY</v>
      </c>
      <c r="AR870" s="206" t="str">
        <f t="shared" si="265"/>
        <v>YAMAHA_Mounter</v>
      </c>
      <c r="AS870" s="22">
        <f t="shared" si="266"/>
        <v>10</v>
      </c>
      <c r="AT870" s="24" t="str">
        <f t="shared" si="267"/>
        <v>&gt; 6 months</v>
      </c>
      <c r="AU870" s="22" t="s">
        <v>3744</v>
      </c>
    </row>
    <row r="871" spans="1:47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57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58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70"/>
        <v>1</v>
      </c>
      <c r="Z871" s="18">
        <f t="shared" si="252"/>
        <v>12600000</v>
      </c>
      <c r="AA871" s="13">
        <v>7.2400000000000006E-2</v>
      </c>
      <c r="AB871" s="21">
        <f t="shared" si="269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53"/>
        <v>499582152.5142017</v>
      </c>
      <c r="AJ871" s="19">
        <f t="shared" si="254"/>
        <v>59520528.679470733</v>
      </c>
      <c r="AK871" s="20">
        <f t="shared" si="262"/>
        <v>0.11914062257814291</v>
      </c>
      <c r="AL871" s="17"/>
      <c r="AM871" s="17"/>
      <c r="AN871" s="17"/>
      <c r="AO871" s="17"/>
      <c r="AP871" s="28" t="str">
        <f t="shared" si="263"/>
        <v>CancelCANCEL</v>
      </c>
      <c r="AQ871" s="28" t="str">
        <f t="shared" si="264"/>
        <v>CancelCANCELJPY</v>
      </c>
      <c r="AR871" s="206" t="str">
        <f t="shared" si="265"/>
        <v>YAMAHA_Mounter</v>
      </c>
      <c r="AS871" s="22" t="str">
        <f t="shared" si="266"/>
        <v/>
      </c>
      <c r="AT871" s="24" t="str">
        <f t="shared" si="267"/>
        <v/>
      </c>
      <c r="AU871" s="22" t="s">
        <v>3744</v>
      </c>
    </row>
    <row r="872" spans="1:47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57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58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70"/>
        <v>1</v>
      </c>
      <c r="Z872" s="18">
        <f t="shared" si="252"/>
        <v>12600000</v>
      </c>
      <c r="AA872" s="13">
        <v>7.2400000000000006E-2</v>
      </c>
      <c r="AB872" s="21">
        <f t="shared" si="269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53"/>
        <v>499582152.5142017</v>
      </c>
      <c r="AJ872" s="19">
        <f t="shared" si="254"/>
        <v>59520528.679470733</v>
      </c>
      <c r="AK872" s="20">
        <f t="shared" si="262"/>
        <v>0.11914062257814291</v>
      </c>
      <c r="AL872" s="17"/>
      <c r="AM872" s="17"/>
      <c r="AN872" s="17"/>
      <c r="AO872" s="17"/>
      <c r="AP872" s="28" t="str">
        <f t="shared" si="263"/>
        <v>CancelCANCEL</v>
      </c>
      <c r="AQ872" s="28" t="str">
        <f t="shared" si="264"/>
        <v>CancelCANCELJPY</v>
      </c>
      <c r="AR872" s="206" t="str">
        <f t="shared" si="265"/>
        <v>YAMAHA_Mounter</v>
      </c>
      <c r="AS872" s="22" t="str">
        <f t="shared" si="266"/>
        <v/>
      </c>
      <c r="AT872" s="24" t="str">
        <f t="shared" si="267"/>
        <v/>
      </c>
      <c r="AU872" s="22" t="s">
        <v>3744</v>
      </c>
    </row>
    <row r="873" spans="1:47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57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58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70"/>
        <v>1</v>
      </c>
      <c r="Z873" s="18">
        <f t="shared" si="252"/>
        <v>11498600</v>
      </c>
      <c r="AA873" s="13">
        <v>7.2400000000000006E-2</v>
      </c>
      <c r="AB873" s="21">
        <f t="shared" si="269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53"/>
        <v>499582152.5142017</v>
      </c>
      <c r="AJ873" s="19">
        <f t="shared" si="254"/>
        <v>59520528.679470733</v>
      </c>
      <c r="AK873" s="20">
        <f t="shared" si="262"/>
        <v>0.11914062257814291</v>
      </c>
      <c r="AL873" s="17"/>
      <c r="AM873" s="17"/>
      <c r="AN873" s="17"/>
      <c r="AO873" s="17"/>
      <c r="AP873" s="28" t="str">
        <f t="shared" si="263"/>
        <v>CancelCANCEL</v>
      </c>
      <c r="AQ873" s="28" t="str">
        <f t="shared" si="264"/>
        <v>CancelCANCELJPY</v>
      </c>
      <c r="AR873" s="206" t="str">
        <f t="shared" si="265"/>
        <v>YAMAHA_Mounter</v>
      </c>
      <c r="AS873" s="22" t="str">
        <f t="shared" si="266"/>
        <v/>
      </c>
      <c r="AT873" s="24" t="str">
        <f t="shared" si="267"/>
        <v/>
      </c>
      <c r="AU873" s="22" t="s">
        <v>3744</v>
      </c>
    </row>
    <row r="874" spans="1:47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57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58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70"/>
        <v>1</v>
      </c>
      <c r="Z874" s="18">
        <f t="shared" si="252"/>
        <v>11498600</v>
      </c>
      <c r="AA874" s="13">
        <v>7.2400000000000006E-2</v>
      </c>
      <c r="AB874" s="21">
        <f t="shared" si="269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53"/>
        <v>499582152.5142017</v>
      </c>
      <c r="AJ874" s="19">
        <f t="shared" si="254"/>
        <v>59520528.679470733</v>
      </c>
      <c r="AK874" s="20">
        <f t="shared" si="262"/>
        <v>0.11914062257814291</v>
      </c>
      <c r="AL874" s="17"/>
      <c r="AM874" s="17"/>
      <c r="AN874" s="17"/>
      <c r="AO874" s="17"/>
      <c r="AP874" s="28" t="str">
        <f t="shared" si="263"/>
        <v>CancelCANCEL</v>
      </c>
      <c r="AQ874" s="28" t="str">
        <f t="shared" si="264"/>
        <v>CancelCANCELJPY</v>
      </c>
      <c r="AR874" s="206" t="str">
        <f t="shared" si="265"/>
        <v>YAMAHA_Mounter</v>
      </c>
      <c r="AS874" s="22" t="str">
        <f t="shared" si="266"/>
        <v/>
      </c>
      <c r="AT874" s="24" t="str">
        <f t="shared" si="267"/>
        <v/>
      </c>
      <c r="AU874" s="22" t="s">
        <v>3744</v>
      </c>
    </row>
    <row r="875" spans="1:47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58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71">IF(W875="","",IF(W875="RMB","1.13", "1"))</f>
        <v>1</v>
      </c>
      <c r="Z875" s="18">
        <f t="shared" si="252"/>
        <v>13000000</v>
      </c>
      <c r="AA875" s="13">
        <v>5.6300000000000003E-2</v>
      </c>
      <c r="AB875" s="21">
        <f t="shared" si="269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53"/>
        <v>23146578.081415929</v>
      </c>
      <c r="AJ875" s="19">
        <f t="shared" si="254"/>
        <v>2745231.3889985834</v>
      </c>
      <c r="AK875" s="20">
        <f t="shared" si="262"/>
        <v>0.11860204041143742</v>
      </c>
      <c r="AL875" s="17"/>
      <c r="AM875" s="17"/>
      <c r="AN875" s="17"/>
      <c r="AO875" s="17"/>
      <c r="AP875" s="28" t="str">
        <f t="shared" si="263"/>
        <v>20241</v>
      </c>
      <c r="AQ875" s="28" t="str">
        <f t="shared" si="264"/>
        <v>20241JPY</v>
      </c>
      <c r="AR875" s="206" t="str">
        <f t="shared" si="265"/>
        <v>YAMAHA_Mounter</v>
      </c>
      <c r="AS875" s="22">
        <f t="shared" si="266"/>
        <v>2</v>
      </c>
      <c r="AT875" s="24" t="str">
        <f t="shared" si="267"/>
        <v>0-3 months</v>
      </c>
      <c r="AU875" s="22" t="s">
        <v>3744</v>
      </c>
    </row>
    <row r="876" spans="1:47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58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71"/>
        <v>1</v>
      </c>
      <c r="Z876" s="18">
        <f t="shared" si="252"/>
        <v>13000000</v>
      </c>
      <c r="AA876" s="13">
        <v>5.6300000000000003E-2</v>
      </c>
      <c r="AB876" s="21">
        <f t="shared" si="269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53"/>
        <v>23146578.081415929</v>
      </c>
      <c r="AJ876" s="19">
        <f t="shared" si="254"/>
        <v>2745231.3889985834</v>
      </c>
      <c r="AK876" s="20">
        <f t="shared" si="262"/>
        <v>0.11860204041143742</v>
      </c>
      <c r="AL876" s="17"/>
      <c r="AM876" s="17"/>
      <c r="AN876" s="17"/>
      <c r="AO876" s="17"/>
      <c r="AP876" s="28" t="str">
        <f t="shared" si="263"/>
        <v>20241</v>
      </c>
      <c r="AQ876" s="28" t="str">
        <f t="shared" si="264"/>
        <v>20241JPY</v>
      </c>
      <c r="AR876" s="206" t="str">
        <f t="shared" si="265"/>
        <v>YAMAHA_Mounter</v>
      </c>
      <c r="AS876" s="22">
        <f t="shared" si="266"/>
        <v>2</v>
      </c>
      <c r="AT876" s="24" t="str">
        <f t="shared" si="267"/>
        <v>0-3 months</v>
      </c>
      <c r="AU876" s="22" t="s">
        <v>3744</v>
      </c>
    </row>
    <row r="877" spans="1:47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58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71"/>
        <v>1</v>
      </c>
      <c r="Z877" s="18">
        <f t="shared" si="252"/>
        <v>13000000</v>
      </c>
      <c r="AA877" s="13">
        <v>5.6300000000000003E-2</v>
      </c>
      <c r="AB877" s="21">
        <f t="shared" si="269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53"/>
        <v>23146578.081415929</v>
      </c>
      <c r="AJ877" s="19">
        <f t="shared" si="254"/>
        <v>2745231.3889985834</v>
      </c>
      <c r="AK877" s="20">
        <f t="shared" si="262"/>
        <v>0.11860204041143742</v>
      </c>
      <c r="AL877" s="17"/>
      <c r="AM877" s="17"/>
      <c r="AN877" s="17"/>
      <c r="AO877" s="17"/>
      <c r="AP877" s="28" t="str">
        <f t="shared" si="263"/>
        <v>20241</v>
      </c>
      <c r="AQ877" s="28" t="str">
        <f t="shared" si="264"/>
        <v>20241JPY</v>
      </c>
      <c r="AR877" s="206" t="str">
        <f t="shared" si="265"/>
        <v>YAMAHA_Mounter</v>
      </c>
      <c r="AS877" s="22">
        <f t="shared" si="266"/>
        <v>2</v>
      </c>
      <c r="AT877" s="24" t="str">
        <f t="shared" si="267"/>
        <v>0-3 months</v>
      </c>
      <c r="AU877" s="22" t="s">
        <v>3744</v>
      </c>
    </row>
    <row r="878" spans="1:47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58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71"/>
        <v>1</v>
      </c>
      <c r="Z878" s="18">
        <f t="shared" ref="Z878:Z941" si="272">IF(X878="","",X878*MAX(O878,N878))</f>
        <v>13000000</v>
      </c>
      <c r="AA878" s="13">
        <v>5.6300000000000003E-2</v>
      </c>
      <c r="AB878" s="21">
        <f t="shared" si="269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53"/>
        <v>23146578.081415929</v>
      </c>
      <c r="AJ878" s="19">
        <f t="shared" si="254"/>
        <v>2745231.3889985834</v>
      </c>
      <c r="AK878" s="20">
        <f t="shared" si="262"/>
        <v>0.11860204041143742</v>
      </c>
      <c r="AL878" s="17"/>
      <c r="AM878" s="17"/>
      <c r="AN878" s="17"/>
      <c r="AO878" s="17"/>
      <c r="AP878" s="28" t="str">
        <f t="shared" si="263"/>
        <v>20241</v>
      </c>
      <c r="AQ878" s="28" t="str">
        <f t="shared" si="264"/>
        <v>20241JPY</v>
      </c>
      <c r="AR878" s="206" t="str">
        <f t="shared" si="265"/>
        <v>YAMAHA_Mounter</v>
      </c>
      <c r="AS878" s="22">
        <f t="shared" si="266"/>
        <v>2</v>
      </c>
      <c r="AT878" s="24" t="str">
        <f t="shared" si="267"/>
        <v>0-3 months</v>
      </c>
      <c r="AU878" s="22" t="s">
        <v>3744</v>
      </c>
    </row>
    <row r="879" spans="1:47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58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71"/>
        <v>1</v>
      </c>
      <c r="Z879" s="18">
        <f t="shared" si="272"/>
        <v>8500000</v>
      </c>
      <c r="AA879" s="13">
        <v>5.6300000000000003E-2</v>
      </c>
      <c r="AB879" s="21">
        <f t="shared" si="269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53"/>
        <v>23146578.081415929</v>
      </c>
      <c r="AJ879" s="19">
        <f t="shared" si="254"/>
        <v>2745231.3889985834</v>
      </c>
      <c r="AK879" s="20">
        <f t="shared" si="262"/>
        <v>0.11860204041143742</v>
      </c>
      <c r="AL879" s="17"/>
      <c r="AM879" s="17"/>
      <c r="AN879" s="17"/>
      <c r="AO879" s="17"/>
      <c r="AP879" s="28" t="str">
        <f t="shared" si="263"/>
        <v>20241</v>
      </c>
      <c r="AQ879" s="28" t="str">
        <f t="shared" si="264"/>
        <v>20241JPY</v>
      </c>
      <c r="AR879" s="206" t="str">
        <f t="shared" si="265"/>
        <v>YAMAHA_Mounter</v>
      </c>
      <c r="AS879" s="22">
        <f t="shared" si="266"/>
        <v>2</v>
      </c>
      <c r="AT879" s="24" t="str">
        <f t="shared" si="267"/>
        <v>0-3 months</v>
      </c>
      <c r="AU879" s="22" t="s">
        <v>3744</v>
      </c>
    </row>
    <row r="880" spans="1:47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58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71"/>
        <v>1</v>
      </c>
      <c r="Z880" s="18">
        <f t="shared" si="272"/>
        <v>8500000</v>
      </c>
      <c r="AA880" s="13">
        <v>5.6300000000000003E-2</v>
      </c>
      <c r="AB880" s="21">
        <f t="shared" si="269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53"/>
        <v>23146578.081415929</v>
      </c>
      <c r="AJ880" s="19">
        <f t="shared" si="254"/>
        <v>2745231.3889985834</v>
      </c>
      <c r="AK880" s="20">
        <f t="shared" si="262"/>
        <v>0.11860204041143742</v>
      </c>
      <c r="AL880" s="17"/>
      <c r="AM880" s="17"/>
      <c r="AN880" s="17"/>
      <c r="AO880" s="17"/>
      <c r="AP880" s="28" t="str">
        <f t="shared" si="263"/>
        <v>20241</v>
      </c>
      <c r="AQ880" s="28" t="str">
        <f t="shared" si="264"/>
        <v>20241JPY</v>
      </c>
      <c r="AR880" s="206" t="str">
        <f t="shared" si="265"/>
        <v>YAMAHA_Mounter</v>
      </c>
      <c r="AS880" s="22">
        <f t="shared" si="266"/>
        <v>2</v>
      </c>
      <c r="AT880" s="24" t="str">
        <f t="shared" si="267"/>
        <v>0-3 months</v>
      </c>
      <c r="AU880" s="22" t="s">
        <v>3744</v>
      </c>
    </row>
    <row r="881" spans="1:47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58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71"/>
        <v>1</v>
      </c>
      <c r="Z881" s="18">
        <f t="shared" si="272"/>
        <v>8500000</v>
      </c>
      <c r="AA881" s="13">
        <v>5.6300000000000003E-2</v>
      </c>
      <c r="AB881" s="21">
        <f t="shared" si="269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53"/>
        <v>23146578.081415929</v>
      </c>
      <c r="AJ881" s="19">
        <f t="shared" si="254"/>
        <v>2745231.3889985834</v>
      </c>
      <c r="AK881" s="20">
        <f t="shared" si="262"/>
        <v>0.11860204041143742</v>
      </c>
      <c r="AL881" s="17"/>
      <c r="AM881" s="17"/>
      <c r="AN881" s="17"/>
      <c r="AO881" s="17"/>
      <c r="AP881" s="28" t="str">
        <f t="shared" si="263"/>
        <v>20241</v>
      </c>
      <c r="AQ881" s="28" t="str">
        <f t="shared" si="264"/>
        <v>20241JPY</v>
      </c>
      <c r="AR881" s="206" t="str">
        <f t="shared" si="265"/>
        <v>YAMAHA_Mounter</v>
      </c>
      <c r="AS881" s="22">
        <f t="shared" si="266"/>
        <v>2</v>
      </c>
      <c r="AT881" s="24" t="str">
        <f t="shared" si="267"/>
        <v>0-3 months</v>
      </c>
      <c r="AU881" s="22" t="s">
        <v>3744</v>
      </c>
    </row>
    <row r="882" spans="1:47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58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71"/>
        <v>1</v>
      </c>
      <c r="Z882" s="18">
        <f t="shared" si="272"/>
        <v>8500000</v>
      </c>
      <c r="AA882" s="13">
        <v>5.6300000000000003E-2</v>
      </c>
      <c r="AB882" s="21">
        <f t="shared" si="269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53"/>
        <v>23146578.081415929</v>
      </c>
      <c r="AJ882" s="19">
        <f t="shared" si="254"/>
        <v>2745231.3889985834</v>
      </c>
      <c r="AK882" s="20">
        <f t="shared" si="262"/>
        <v>0.11860204041143742</v>
      </c>
      <c r="AL882" s="17"/>
      <c r="AM882" s="17"/>
      <c r="AN882" s="17"/>
      <c r="AO882" s="17"/>
      <c r="AP882" s="28" t="str">
        <f t="shared" si="263"/>
        <v>20241</v>
      </c>
      <c r="AQ882" s="28" t="str">
        <f t="shared" si="264"/>
        <v>20241JPY</v>
      </c>
      <c r="AR882" s="206" t="str">
        <f t="shared" si="265"/>
        <v>YAMAHA_Mounter</v>
      </c>
      <c r="AS882" s="22">
        <f t="shared" si="266"/>
        <v>2</v>
      </c>
      <c r="AT882" s="24" t="str">
        <f t="shared" si="267"/>
        <v>0-3 months</v>
      </c>
      <c r="AU882" s="22" t="s">
        <v>3744</v>
      </c>
    </row>
    <row r="883" spans="1:47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58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71"/>
        <v>1</v>
      </c>
      <c r="Z883" s="18">
        <f t="shared" si="272"/>
        <v>8500000</v>
      </c>
      <c r="AA883" s="13">
        <v>5.6300000000000003E-2</v>
      </c>
      <c r="AB883" s="21">
        <f t="shared" si="269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53"/>
        <v>23146578.081415929</v>
      </c>
      <c r="AJ883" s="19">
        <f t="shared" si="254"/>
        <v>2745231.3889985834</v>
      </c>
      <c r="AK883" s="20">
        <f t="shared" si="262"/>
        <v>0.11860204041143742</v>
      </c>
      <c r="AL883" s="17"/>
      <c r="AM883" s="17"/>
      <c r="AN883" s="17"/>
      <c r="AO883" s="17"/>
      <c r="AP883" s="28" t="str">
        <f t="shared" si="263"/>
        <v>20241</v>
      </c>
      <c r="AQ883" s="28" t="str">
        <f t="shared" si="264"/>
        <v>20241JPY</v>
      </c>
      <c r="AR883" s="206" t="str">
        <f t="shared" si="265"/>
        <v>YAMAHA_Mounter</v>
      </c>
      <c r="AS883" s="22">
        <f t="shared" si="266"/>
        <v>2</v>
      </c>
      <c r="AT883" s="24" t="str">
        <f t="shared" si="267"/>
        <v>0-3 months</v>
      </c>
      <c r="AU883" s="22" t="s">
        <v>3744</v>
      </c>
    </row>
    <row r="884" spans="1:47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58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71"/>
        <v>1</v>
      </c>
      <c r="Z884" s="18">
        <f t="shared" si="272"/>
        <v>8500000</v>
      </c>
      <c r="AA884" s="13">
        <v>5.6300000000000003E-2</v>
      </c>
      <c r="AB884" s="21">
        <f t="shared" si="269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53"/>
        <v>23146578.081415929</v>
      </c>
      <c r="AJ884" s="19">
        <f t="shared" si="254"/>
        <v>2745231.3889985834</v>
      </c>
      <c r="AK884" s="20">
        <f t="shared" si="262"/>
        <v>0.11860204041143742</v>
      </c>
      <c r="AL884" s="17"/>
      <c r="AM884" s="17"/>
      <c r="AN884" s="17"/>
      <c r="AO884" s="17"/>
      <c r="AP884" s="28" t="str">
        <f t="shared" si="263"/>
        <v>20241</v>
      </c>
      <c r="AQ884" s="28" t="str">
        <f t="shared" si="264"/>
        <v>20241JPY</v>
      </c>
      <c r="AR884" s="206" t="str">
        <f t="shared" si="265"/>
        <v>YAMAHA_Mounter</v>
      </c>
      <c r="AS884" s="22">
        <f t="shared" si="266"/>
        <v>2</v>
      </c>
      <c r="AT884" s="24" t="str">
        <f t="shared" si="267"/>
        <v>0-3 months</v>
      </c>
      <c r="AU884" s="22" t="s">
        <v>3744</v>
      </c>
    </row>
    <row r="885" spans="1:47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58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71"/>
        <v>1</v>
      </c>
      <c r="Z885" s="18">
        <f t="shared" si="272"/>
        <v>8500000</v>
      </c>
      <c r="AA885" s="13">
        <v>5.6300000000000003E-2</v>
      </c>
      <c r="AB885" s="21">
        <f t="shared" si="269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53"/>
        <v>23146578.081415929</v>
      </c>
      <c r="AJ885" s="19">
        <f t="shared" si="254"/>
        <v>2745231.3889985834</v>
      </c>
      <c r="AK885" s="20">
        <f t="shared" si="262"/>
        <v>0.11860204041143742</v>
      </c>
      <c r="AL885" s="17"/>
      <c r="AM885" s="17"/>
      <c r="AN885" s="17"/>
      <c r="AO885" s="17"/>
      <c r="AP885" s="28" t="str">
        <f t="shared" si="263"/>
        <v>20241</v>
      </c>
      <c r="AQ885" s="28" t="str">
        <f t="shared" si="264"/>
        <v>20241JPY</v>
      </c>
      <c r="AR885" s="206" t="str">
        <f t="shared" si="265"/>
        <v>YAMAHA_Mounter</v>
      </c>
      <c r="AS885" s="22">
        <f t="shared" si="266"/>
        <v>2</v>
      </c>
      <c r="AT885" s="24" t="str">
        <f t="shared" si="267"/>
        <v>0-3 months</v>
      </c>
      <c r="AU885" s="22" t="s">
        <v>3744</v>
      </c>
    </row>
    <row r="886" spans="1:47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58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71"/>
        <v>1</v>
      </c>
      <c r="Z886" s="18">
        <f t="shared" si="272"/>
        <v>8500000</v>
      </c>
      <c r="AA886" s="13">
        <v>5.6300000000000003E-2</v>
      </c>
      <c r="AB886" s="21">
        <f t="shared" si="269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53"/>
        <v>23146578.081415929</v>
      </c>
      <c r="AJ886" s="19">
        <f t="shared" si="254"/>
        <v>2745231.3889985834</v>
      </c>
      <c r="AK886" s="20">
        <f t="shared" si="262"/>
        <v>0.11860204041143742</v>
      </c>
      <c r="AL886" s="17"/>
      <c r="AM886" s="17"/>
      <c r="AN886" s="17"/>
      <c r="AO886" s="17"/>
      <c r="AP886" s="28" t="str">
        <f t="shared" si="263"/>
        <v>20241</v>
      </c>
      <c r="AQ886" s="28" t="str">
        <f t="shared" si="264"/>
        <v>20241JPY</v>
      </c>
      <c r="AR886" s="206" t="str">
        <f t="shared" si="265"/>
        <v>YAMAHA_Mounter</v>
      </c>
      <c r="AS886" s="22">
        <f t="shared" si="266"/>
        <v>2</v>
      </c>
      <c r="AT886" s="24" t="str">
        <f t="shared" si="267"/>
        <v>0-3 months</v>
      </c>
      <c r="AU886" s="22" t="s">
        <v>3744</v>
      </c>
    </row>
    <row r="887" spans="1:47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58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72"/>
        <v>830000</v>
      </c>
      <c r="AA887" s="13">
        <v>1.0920000000000001</v>
      </c>
      <c r="AB887" s="21">
        <f t="shared" si="269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53"/>
        <v>22953677.784070797</v>
      </c>
      <c r="AJ887" s="19">
        <f t="shared" si="254"/>
        <v>4168706.6744155753</v>
      </c>
      <c r="AK887" s="20">
        <f t="shared" si="262"/>
        <v>0.18161388835511752</v>
      </c>
      <c r="AL887" s="17"/>
      <c r="AM887" s="17"/>
      <c r="AN887" s="17"/>
      <c r="AO887" s="17"/>
      <c r="AP887" s="28" t="str">
        <f t="shared" si="263"/>
        <v>20238</v>
      </c>
      <c r="AQ887" s="28" t="str">
        <f t="shared" si="264"/>
        <v>20238RMB</v>
      </c>
      <c r="AR887" s="206" t="str">
        <f t="shared" si="265"/>
        <v>YAMAHA_Mounter</v>
      </c>
      <c r="AS887" s="22">
        <f t="shared" si="266"/>
        <v>1</v>
      </c>
      <c r="AT887" s="24" t="str">
        <f t="shared" si="267"/>
        <v>0-3 months</v>
      </c>
      <c r="AU887" s="22" t="s">
        <v>3750</v>
      </c>
    </row>
    <row r="888" spans="1:47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58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72"/>
        <v>8374200</v>
      </c>
      <c r="AA888" s="22">
        <v>5.3100000000000001E-2</v>
      </c>
      <c r="AB888" s="21">
        <f t="shared" si="269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53"/>
        <v>21241742.157380536</v>
      </c>
      <c r="AJ888" s="27">
        <f t="shared" si="254"/>
        <v>2987081.1613773629</v>
      </c>
      <c r="AK888" s="28">
        <f t="shared" si="262"/>
        <v>0.14062317201884914</v>
      </c>
      <c r="AL888" s="24"/>
      <c r="AM888" s="24"/>
      <c r="AN888" s="24"/>
      <c r="AO888" s="24"/>
      <c r="AP888" s="28" t="str">
        <f t="shared" si="263"/>
        <v>20243</v>
      </c>
      <c r="AQ888" s="28" t="str">
        <f t="shared" si="264"/>
        <v>20243JPY</v>
      </c>
      <c r="AR888" s="206" t="str">
        <f t="shared" si="265"/>
        <v>YAMAHA_Mounter</v>
      </c>
      <c r="AS888" s="22">
        <f t="shared" si="266"/>
        <v>0</v>
      </c>
      <c r="AT888" s="24" t="str">
        <f t="shared" si="267"/>
        <v>0-3 months</v>
      </c>
      <c r="AU888" s="22" t="s">
        <v>3744</v>
      </c>
    </row>
    <row r="889" spans="1:47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58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72"/>
        <v>12800000</v>
      </c>
      <c r="AA889" s="13">
        <v>7.2999999999999995E-2</v>
      </c>
      <c r="AB889" s="21">
        <f t="shared" si="269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53"/>
        <v>11620538.477876106</v>
      </c>
      <c r="AJ889" s="19">
        <f t="shared" si="254"/>
        <v>1598596.3145221241</v>
      </c>
      <c r="AK889" s="20">
        <f t="shared" si="262"/>
        <v>0.13756645766163331</v>
      </c>
      <c r="AL889" s="17"/>
      <c r="AM889" s="17"/>
      <c r="AN889" s="17"/>
      <c r="AO889" s="17"/>
      <c r="AP889" s="28" t="str">
        <f t="shared" si="263"/>
        <v>20201</v>
      </c>
      <c r="AQ889" s="28" t="str">
        <f t="shared" si="264"/>
        <v>20201JPY</v>
      </c>
      <c r="AR889" s="206" t="str">
        <f t="shared" si="265"/>
        <v>YAMAHA_Mounter</v>
      </c>
      <c r="AS889" s="22">
        <f t="shared" si="266"/>
        <v>2</v>
      </c>
      <c r="AT889" s="24" t="str">
        <f t="shared" si="267"/>
        <v>0-3 months</v>
      </c>
      <c r="AU889" s="22" t="s">
        <v>3745</v>
      </c>
    </row>
    <row r="890" spans="1:47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58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72"/>
        <v>15943175</v>
      </c>
      <c r="AA890" s="13">
        <v>7.5200000000000003E-2</v>
      </c>
      <c r="AB890" s="21">
        <f t="shared" si="269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53"/>
        <v>37599388.802345134</v>
      </c>
      <c r="AJ890" s="19">
        <f t="shared" si="254"/>
        <v>4866784.3630338367</v>
      </c>
      <c r="AK890" s="20">
        <f t="shared" si="262"/>
        <v>0.12943785838163113</v>
      </c>
      <c r="AL890" s="17"/>
      <c r="AM890" s="17"/>
      <c r="AN890" s="17"/>
      <c r="AO890" s="17"/>
      <c r="AP890" s="28" t="str">
        <f t="shared" si="263"/>
        <v>20199</v>
      </c>
      <c r="AQ890" s="28" t="str">
        <f t="shared" si="264"/>
        <v>20199JPY</v>
      </c>
      <c r="AR890" s="206" t="str">
        <f t="shared" si="265"/>
        <v>YAMAHA_Mounter</v>
      </c>
      <c r="AS890" s="22">
        <f t="shared" si="266"/>
        <v>2</v>
      </c>
      <c r="AT890" s="24" t="str">
        <f t="shared" si="267"/>
        <v>0-3 months</v>
      </c>
      <c r="AU890" s="22" t="s">
        <v>3744</v>
      </c>
    </row>
    <row r="891" spans="1:47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58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72"/>
        <v>15943175</v>
      </c>
      <c r="AA891" s="13">
        <v>7.5200000000000003E-2</v>
      </c>
      <c r="AB891" s="21">
        <f t="shared" si="269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53"/>
        <v>37599388.802345134</v>
      </c>
      <c r="AJ891" s="19">
        <f t="shared" si="254"/>
        <v>4866784.3630338367</v>
      </c>
      <c r="AK891" s="20">
        <f t="shared" si="262"/>
        <v>0.12943785838163113</v>
      </c>
      <c r="AL891" s="17"/>
      <c r="AM891" s="17"/>
      <c r="AN891" s="17"/>
      <c r="AO891" s="17"/>
      <c r="AP891" s="28" t="str">
        <f t="shared" si="263"/>
        <v>20199</v>
      </c>
      <c r="AQ891" s="28" t="str">
        <f t="shared" si="264"/>
        <v>20199JPY</v>
      </c>
      <c r="AR891" s="206" t="str">
        <f t="shared" si="265"/>
        <v>YAMAHA_Mounter</v>
      </c>
      <c r="AS891" s="22">
        <f t="shared" si="266"/>
        <v>2</v>
      </c>
      <c r="AT891" s="24" t="str">
        <f t="shared" si="267"/>
        <v>0-3 months</v>
      </c>
      <c r="AU891" s="22" t="s">
        <v>3744</v>
      </c>
    </row>
    <row r="892" spans="1:47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58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72"/>
        <v>11000000</v>
      </c>
      <c r="AA892" s="13">
        <v>7.5200000000000003E-2</v>
      </c>
      <c r="AB892" s="21">
        <f t="shared" si="269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53"/>
        <v>37599388.802345134</v>
      </c>
      <c r="AJ892" s="19">
        <f t="shared" si="254"/>
        <v>4866784.3630338367</v>
      </c>
      <c r="AK892" s="20">
        <f t="shared" si="262"/>
        <v>0.12943785838163113</v>
      </c>
      <c r="AL892" s="17"/>
      <c r="AM892" s="17"/>
      <c r="AN892" s="17"/>
      <c r="AO892" s="17"/>
      <c r="AP892" s="28" t="str">
        <f t="shared" si="263"/>
        <v>20199</v>
      </c>
      <c r="AQ892" s="28" t="str">
        <f t="shared" si="264"/>
        <v>20199JPY</v>
      </c>
      <c r="AR892" s="206" t="str">
        <f t="shared" si="265"/>
        <v>YAMAHA_Mounter</v>
      </c>
      <c r="AS892" s="22">
        <f t="shared" si="266"/>
        <v>2</v>
      </c>
      <c r="AT892" s="24" t="str">
        <f t="shared" si="267"/>
        <v>0-3 months</v>
      </c>
      <c r="AU892" s="22" t="s">
        <v>3744</v>
      </c>
    </row>
    <row r="893" spans="1:47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58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72"/>
        <v>11000000</v>
      </c>
      <c r="AA893" s="13">
        <v>7.5200000000000003E-2</v>
      </c>
      <c r="AB893" s="21">
        <f t="shared" si="269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53"/>
        <v>37599388.802345134</v>
      </c>
      <c r="AJ893" s="19">
        <f t="shared" si="254"/>
        <v>4866784.3630338367</v>
      </c>
      <c r="AK893" s="20">
        <f t="shared" si="262"/>
        <v>0.12943785838163113</v>
      </c>
      <c r="AL893" s="17"/>
      <c r="AM893" s="17"/>
      <c r="AN893" s="17"/>
      <c r="AO893" s="17"/>
      <c r="AP893" s="28" t="str">
        <f t="shared" si="263"/>
        <v>20199</v>
      </c>
      <c r="AQ893" s="28" t="str">
        <f t="shared" si="264"/>
        <v>20199JPY</v>
      </c>
      <c r="AR893" s="206" t="str">
        <f t="shared" si="265"/>
        <v>YAMAHA_Mounter</v>
      </c>
      <c r="AS893" s="22">
        <f t="shared" si="266"/>
        <v>2</v>
      </c>
      <c r="AT893" s="24" t="str">
        <f t="shared" si="267"/>
        <v>0-3 months</v>
      </c>
      <c r="AU893" s="22" t="s">
        <v>3744</v>
      </c>
    </row>
    <row r="894" spans="1:47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58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72"/>
        <v>15943175</v>
      </c>
      <c r="AA894" s="13">
        <v>7.4300000000000005E-2</v>
      </c>
      <c r="AB894" s="21">
        <f t="shared" si="269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53"/>
        <v>28065694.408805311</v>
      </c>
      <c r="AJ894" s="19">
        <f t="shared" si="254"/>
        <v>4157433.2906989697</v>
      </c>
      <c r="AK894" s="20">
        <f t="shared" si="262"/>
        <v>0.14813220831602228</v>
      </c>
      <c r="AL894" s="17"/>
      <c r="AM894" s="17"/>
      <c r="AN894" s="17"/>
      <c r="AO894" s="17"/>
      <c r="AP894" s="28" t="str">
        <f t="shared" si="263"/>
        <v>20205</v>
      </c>
      <c r="AQ894" s="28" t="str">
        <f t="shared" si="264"/>
        <v>20205JPY</v>
      </c>
      <c r="AR894" s="206" t="str">
        <f t="shared" si="265"/>
        <v>YAMAHA_Mounter</v>
      </c>
      <c r="AS894" s="22">
        <f t="shared" si="266"/>
        <v>2</v>
      </c>
      <c r="AT894" s="24" t="str">
        <f t="shared" si="267"/>
        <v>0-3 months</v>
      </c>
      <c r="AU894" s="22" t="s">
        <v>3744</v>
      </c>
    </row>
    <row r="895" spans="1:47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58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72"/>
        <v>15943175</v>
      </c>
      <c r="AA895" s="13">
        <v>7.4300000000000005E-2</v>
      </c>
      <c r="AB895" s="21">
        <f t="shared" si="269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53"/>
        <v>28065694.408805311</v>
      </c>
      <c r="AJ895" s="19">
        <f t="shared" si="254"/>
        <v>4157433.2906989697</v>
      </c>
      <c r="AK895" s="20">
        <f t="shared" si="262"/>
        <v>0.14813220831602228</v>
      </c>
      <c r="AL895" s="17"/>
      <c r="AM895" s="17"/>
      <c r="AN895" s="17"/>
      <c r="AO895" s="17"/>
      <c r="AP895" s="28" t="str">
        <f t="shared" si="263"/>
        <v>20205</v>
      </c>
      <c r="AQ895" s="28" t="str">
        <f t="shared" si="264"/>
        <v>20205JPY</v>
      </c>
      <c r="AR895" s="206" t="str">
        <f t="shared" si="265"/>
        <v>YAMAHA_Mounter</v>
      </c>
      <c r="AS895" s="22">
        <f t="shared" si="266"/>
        <v>2</v>
      </c>
      <c r="AT895" s="24" t="str">
        <f t="shared" si="267"/>
        <v>0-3 months</v>
      </c>
      <c r="AU895" s="22" t="s">
        <v>3744</v>
      </c>
    </row>
    <row r="896" spans="1:47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58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72"/>
        <v>11000000</v>
      </c>
      <c r="AA896" s="13">
        <v>7.4300000000000005E-2</v>
      </c>
      <c r="AB896" s="21">
        <f t="shared" si="269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53"/>
        <v>28065694.408805311</v>
      </c>
      <c r="AJ896" s="19">
        <f t="shared" si="254"/>
        <v>4157433.2906989697</v>
      </c>
      <c r="AK896" s="20">
        <f t="shared" si="262"/>
        <v>0.14813220831602228</v>
      </c>
      <c r="AL896" s="17"/>
      <c r="AM896" s="17"/>
      <c r="AN896" s="17"/>
      <c r="AO896" s="17"/>
      <c r="AP896" s="28" t="str">
        <f t="shared" si="263"/>
        <v>20205</v>
      </c>
      <c r="AQ896" s="28" t="str">
        <f t="shared" si="264"/>
        <v>20205JPY</v>
      </c>
      <c r="AR896" s="206" t="str">
        <f t="shared" si="265"/>
        <v>YAMAHA_Mounter</v>
      </c>
      <c r="AS896" s="22">
        <f t="shared" si="266"/>
        <v>2</v>
      </c>
      <c r="AT896" s="24" t="str">
        <f t="shared" si="267"/>
        <v>0-3 months</v>
      </c>
      <c r="AU896" s="22" t="s">
        <v>3744</v>
      </c>
    </row>
    <row r="897" spans="1:47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58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72"/>
        <v>11000000</v>
      </c>
      <c r="AA897" s="13">
        <v>7.4300000000000005E-2</v>
      </c>
      <c r="AB897" s="21">
        <f t="shared" si="269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53"/>
        <v>28065694.408805311</v>
      </c>
      <c r="AJ897" s="19">
        <f t="shared" si="254"/>
        <v>4157433.2906989697</v>
      </c>
      <c r="AK897" s="20">
        <f t="shared" si="262"/>
        <v>0.14813220831602228</v>
      </c>
      <c r="AL897" s="17"/>
      <c r="AM897" s="17"/>
      <c r="AN897" s="17"/>
      <c r="AO897" s="17"/>
      <c r="AP897" s="28" t="str">
        <f t="shared" si="263"/>
        <v>20205</v>
      </c>
      <c r="AQ897" s="28" t="str">
        <f t="shared" si="264"/>
        <v>20205JPY</v>
      </c>
      <c r="AR897" s="206" t="str">
        <f t="shared" si="265"/>
        <v>YAMAHA_Mounter</v>
      </c>
      <c r="AS897" s="22">
        <f t="shared" si="266"/>
        <v>2</v>
      </c>
      <c r="AT897" s="24" t="str">
        <f t="shared" si="267"/>
        <v>0-3 months</v>
      </c>
      <c r="AU897" s="22" t="s">
        <v>3744</v>
      </c>
    </row>
    <row r="898" spans="1:47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58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72"/>
        <v>11256350</v>
      </c>
      <c r="AA898" s="13">
        <v>7.4300000000000005E-2</v>
      </c>
      <c r="AB898" s="21">
        <f t="shared" si="269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ref="AI898:AI961" si="273">IF(P898="C66 SERVICE","",SUMIFS(AB:AB,F:F,F898,G:G,G898,E:E,E898))</f>
        <v>28065694.408805311</v>
      </c>
      <c r="AJ898" s="19">
        <f t="shared" ref="AJ898:AJ961" si="274">IF(P898="C66 SERVICE","",SUMIFS(AC:AC,F:F,F898,G:G,G898,E:E,E898))</f>
        <v>4157433.2906989697</v>
      </c>
      <c r="AK898" s="20">
        <f t="shared" si="262"/>
        <v>0.14813220831602228</v>
      </c>
      <c r="AL898" s="17"/>
      <c r="AM898" s="17"/>
      <c r="AN898" s="17"/>
      <c r="AO898" s="17"/>
      <c r="AP898" s="28" t="str">
        <f t="shared" si="263"/>
        <v>20205</v>
      </c>
      <c r="AQ898" s="28" t="str">
        <f t="shared" si="264"/>
        <v>20205JPY</v>
      </c>
      <c r="AR898" s="206" t="str">
        <f t="shared" si="265"/>
        <v>YAMAHA_Mounter</v>
      </c>
      <c r="AS898" s="22">
        <f t="shared" si="266"/>
        <v>0</v>
      </c>
      <c r="AT898" s="24" t="str">
        <f t="shared" si="267"/>
        <v>0-3 months</v>
      </c>
      <c r="AU898" s="22" t="s">
        <v>3744</v>
      </c>
    </row>
    <row r="899" spans="1:47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58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72"/>
        <v>11256350</v>
      </c>
      <c r="AA899" s="13">
        <v>7.4300000000000005E-2</v>
      </c>
      <c r="AB899" s="21">
        <f t="shared" si="269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73"/>
        <v>28065694.408805311</v>
      </c>
      <c r="AJ899" s="19">
        <f t="shared" si="274"/>
        <v>4157433.2906989697</v>
      </c>
      <c r="AK899" s="20">
        <f t="shared" si="262"/>
        <v>0.14813220831602228</v>
      </c>
      <c r="AL899" s="17"/>
      <c r="AM899" s="17"/>
      <c r="AN899" s="17"/>
      <c r="AO899" s="17"/>
      <c r="AP899" s="28" t="str">
        <f t="shared" si="263"/>
        <v>20205</v>
      </c>
      <c r="AQ899" s="28" t="str">
        <f t="shared" si="264"/>
        <v>20205JPY</v>
      </c>
      <c r="AR899" s="206" t="str">
        <f t="shared" si="265"/>
        <v>YAMAHA_Mounter</v>
      </c>
      <c r="AS899" s="22">
        <f t="shared" si="266"/>
        <v>0</v>
      </c>
      <c r="AT899" s="24" t="str">
        <f t="shared" si="267"/>
        <v>0-3 months</v>
      </c>
      <c r="AU899" s="22" t="s">
        <v>3744</v>
      </c>
    </row>
    <row r="900" spans="1:47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58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75">IF(W900="RMB","1.13", "1")</f>
        <v>1</v>
      </c>
      <c r="Z900" s="18">
        <f t="shared" si="272"/>
        <v>12034882</v>
      </c>
      <c r="AA900" s="13">
        <v>7.17E-2</v>
      </c>
      <c r="AB900" s="21">
        <f t="shared" si="269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73"/>
        <v>43684091.636631854</v>
      </c>
      <c r="AJ900" s="19">
        <f t="shared" si="274"/>
        <v>6483951.8242071122</v>
      </c>
      <c r="AK900" s="20">
        <f t="shared" si="262"/>
        <v>0.14842821680123736</v>
      </c>
      <c r="AL900" s="17"/>
      <c r="AM900" s="17"/>
      <c r="AN900" s="17"/>
      <c r="AO900" s="17"/>
      <c r="AP900" s="28" t="str">
        <f t="shared" si="263"/>
        <v>20214</v>
      </c>
      <c r="AQ900" s="28" t="str">
        <f t="shared" si="264"/>
        <v>20214JPY</v>
      </c>
      <c r="AR900" s="206" t="str">
        <f t="shared" si="265"/>
        <v>YAMAHA_Mounter</v>
      </c>
      <c r="AS900" s="22">
        <f t="shared" si="266"/>
        <v>1</v>
      </c>
      <c r="AT900" s="24" t="str">
        <f t="shared" si="267"/>
        <v>0-3 months</v>
      </c>
      <c r="AU900" s="22" t="s">
        <v>3744</v>
      </c>
    </row>
    <row r="901" spans="1:47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58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75"/>
        <v>1</v>
      </c>
      <c r="Z901" s="18">
        <f t="shared" si="272"/>
        <v>8000000</v>
      </c>
      <c r="AA901" s="13">
        <v>7.17E-2</v>
      </c>
      <c r="AB901" s="21">
        <f t="shared" si="269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73"/>
        <v>43684091.636631854</v>
      </c>
      <c r="AJ901" s="19">
        <f t="shared" si="274"/>
        <v>6483951.8242071122</v>
      </c>
      <c r="AK901" s="20">
        <f t="shared" si="262"/>
        <v>0.14842821680123736</v>
      </c>
      <c r="AL901" s="17"/>
      <c r="AM901" s="17"/>
      <c r="AN901" s="17"/>
      <c r="AO901" s="17"/>
      <c r="AP901" s="28" t="str">
        <f t="shared" si="263"/>
        <v>20214</v>
      </c>
      <c r="AQ901" s="28" t="str">
        <f t="shared" si="264"/>
        <v>20214JPY</v>
      </c>
      <c r="AR901" s="206" t="str">
        <f t="shared" si="265"/>
        <v>YAMAHA_Mounter</v>
      </c>
      <c r="AS901" s="22">
        <f t="shared" si="266"/>
        <v>1</v>
      </c>
      <c r="AT901" s="24" t="str">
        <f t="shared" si="267"/>
        <v>0-3 months</v>
      </c>
      <c r="AU901" s="22" t="s">
        <v>3744</v>
      </c>
    </row>
    <row r="902" spans="1:47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75"/>
        <v>1</v>
      </c>
      <c r="Z902" s="18">
        <f t="shared" si="272"/>
        <v>11918157</v>
      </c>
      <c r="AA902" s="13">
        <v>6.25E-2</v>
      </c>
      <c r="AB902" s="21">
        <f t="shared" si="269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si="273"/>
        <v>499582152.5142017</v>
      </c>
      <c r="AJ902" s="19">
        <f t="shared" si="274"/>
        <v>59520528.679470733</v>
      </c>
      <c r="AK902" s="20">
        <f t="shared" ref="AK902:AK965" si="282">IF(AJ902&gt;0,AJ902/AI902,"")</f>
        <v>0.11914062257814291</v>
      </c>
      <c r="AL902" s="17"/>
      <c r="AM902" s="17"/>
      <c r="AN902" s="17"/>
      <c r="AO902" s="17"/>
      <c r="AP902" s="28" t="str">
        <f t="shared" ref="AP902:AP965" si="283">IF(F902="","",F902&amp;G902)</f>
        <v>CancelCancel</v>
      </c>
      <c r="AQ902" s="28" t="str">
        <f t="shared" ref="AQ902:AQ965" si="284">IF(W902="","",F902&amp;G902&amp;W902)</f>
        <v>CancelCancelJPY</v>
      </c>
      <c r="AR902" s="206" t="str">
        <f t="shared" ref="AR902:AR965" si="285">IFERROR(IF(AND(M902="YAMAHA", R902="C28"), "YAMAHA_Non_Mounter", IF(AND(M902="YAMAHA", R902="C49"), "YAMAHA_Mounter", M902)),"")</f>
        <v>YAMAHA_Mounter</v>
      </c>
      <c r="AS902" s="22" t="str">
        <f t="shared" ref="AS902:AS965" si="286">IFERROR(IF(OR(G902="TBA", G902=""), "", DATEDIF(DATE(B902, C902, 1), DATE(F902, G902, 1), "M")),"")</f>
        <v/>
      </c>
      <c r="AT902" s="24" t="str">
        <f t="shared" ref="AT902:AT965" si="287">IF(ISNUMBER(AS902), IF(AS902&gt;=0, IF(AS902&lt;=3, "0-3 months", IF(AS902&lt;=6, "4-6 months", "&gt; 6 months"))), "")</f>
        <v/>
      </c>
      <c r="AU902" s="22" t="s">
        <v>3744</v>
      </c>
    </row>
    <row r="903" spans="1:47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7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7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75"/>
        <v>1</v>
      </c>
      <c r="Z903" s="18">
        <f t="shared" si="272"/>
        <v>11918157</v>
      </c>
      <c r="AA903" s="13">
        <v>6.25E-2</v>
      </c>
      <c r="AB903" s="21">
        <f t="shared" si="269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73"/>
        <v>499582152.5142017</v>
      </c>
      <c r="AJ903" s="19">
        <f t="shared" si="274"/>
        <v>59520528.679470733</v>
      </c>
      <c r="AK903" s="20">
        <f t="shared" si="282"/>
        <v>0.11914062257814291</v>
      </c>
      <c r="AL903" s="17"/>
      <c r="AM903" s="17"/>
      <c r="AN903" s="17"/>
      <c r="AO903" s="17"/>
      <c r="AP903" s="28" t="str">
        <f t="shared" si="283"/>
        <v>CancelCancel</v>
      </c>
      <c r="AQ903" s="28" t="str">
        <f t="shared" si="284"/>
        <v>CancelCancelJPY</v>
      </c>
      <c r="AR903" s="206" t="str">
        <f t="shared" si="285"/>
        <v>YAMAHA_Mounter</v>
      </c>
      <c r="AS903" s="22" t="str">
        <f t="shared" si="286"/>
        <v/>
      </c>
      <c r="AT903" s="24" t="str">
        <f t="shared" si="287"/>
        <v/>
      </c>
      <c r="AU903" s="22" t="s">
        <v>3744</v>
      </c>
    </row>
    <row r="904" spans="1:47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7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7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75"/>
        <v>1</v>
      </c>
      <c r="Z904" s="18">
        <f t="shared" si="272"/>
        <v>11918157</v>
      </c>
      <c r="AA904" s="13">
        <v>6.25E-2</v>
      </c>
      <c r="AB904" s="21">
        <f t="shared" si="269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73"/>
        <v>499582152.5142017</v>
      </c>
      <c r="AJ904" s="19">
        <f t="shared" si="274"/>
        <v>59520528.679470733</v>
      </c>
      <c r="AK904" s="20">
        <f t="shared" si="282"/>
        <v>0.11914062257814291</v>
      </c>
      <c r="AL904" s="17"/>
      <c r="AM904" s="17"/>
      <c r="AN904" s="17"/>
      <c r="AO904" s="17"/>
      <c r="AP904" s="28" t="str">
        <f t="shared" si="283"/>
        <v>CancelCancel</v>
      </c>
      <c r="AQ904" s="28" t="str">
        <f t="shared" si="284"/>
        <v>CancelCancelJPY</v>
      </c>
      <c r="AR904" s="206" t="str">
        <f t="shared" si="285"/>
        <v>YAMAHA_Mounter</v>
      </c>
      <c r="AS904" s="22" t="str">
        <f t="shared" si="286"/>
        <v/>
      </c>
      <c r="AT904" s="24" t="str">
        <f t="shared" si="287"/>
        <v/>
      </c>
      <c r="AU904" s="22" t="s">
        <v>3744</v>
      </c>
    </row>
    <row r="905" spans="1:47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7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7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75"/>
        <v>1</v>
      </c>
      <c r="Z905" s="18">
        <f t="shared" si="272"/>
        <v>8000000</v>
      </c>
      <c r="AA905" s="13">
        <v>6.25E-2</v>
      </c>
      <c r="AB905" s="21">
        <f t="shared" si="269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73"/>
        <v>499582152.5142017</v>
      </c>
      <c r="AJ905" s="19">
        <f t="shared" si="274"/>
        <v>59520528.679470733</v>
      </c>
      <c r="AK905" s="20">
        <f t="shared" si="282"/>
        <v>0.11914062257814291</v>
      </c>
      <c r="AL905" s="17"/>
      <c r="AM905" s="17"/>
      <c r="AN905" s="17"/>
      <c r="AO905" s="17"/>
      <c r="AP905" s="28" t="str">
        <f t="shared" si="283"/>
        <v>CancelCancel</v>
      </c>
      <c r="AQ905" s="28" t="str">
        <f t="shared" si="284"/>
        <v>CancelCancelJPY</v>
      </c>
      <c r="AR905" s="206" t="str">
        <f t="shared" si="285"/>
        <v>YAMAHA_Mounter</v>
      </c>
      <c r="AS905" s="22" t="str">
        <f t="shared" si="286"/>
        <v/>
      </c>
      <c r="AT905" s="24" t="str">
        <f t="shared" si="287"/>
        <v/>
      </c>
      <c r="AU905" s="22" t="s">
        <v>3744</v>
      </c>
    </row>
    <row r="906" spans="1:47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7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7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75"/>
        <v>1</v>
      </c>
      <c r="Z906" s="18">
        <f t="shared" si="272"/>
        <v>8000000</v>
      </c>
      <c r="AA906" s="13">
        <v>6.25E-2</v>
      </c>
      <c r="AB906" s="21">
        <f t="shared" si="269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73"/>
        <v>499582152.5142017</v>
      </c>
      <c r="AJ906" s="19">
        <f t="shared" si="274"/>
        <v>59520528.679470733</v>
      </c>
      <c r="AK906" s="20">
        <f t="shared" si="282"/>
        <v>0.11914062257814291</v>
      </c>
      <c r="AL906" s="17"/>
      <c r="AM906" s="17"/>
      <c r="AN906" s="17"/>
      <c r="AO906" s="17"/>
      <c r="AP906" s="28" t="str">
        <f t="shared" si="283"/>
        <v>CancelCancel</v>
      </c>
      <c r="AQ906" s="28" t="str">
        <f t="shared" si="284"/>
        <v>CancelCancelJPY</v>
      </c>
      <c r="AR906" s="206" t="str">
        <f t="shared" si="285"/>
        <v>YAMAHA_Mounter</v>
      </c>
      <c r="AS906" s="22" t="str">
        <f t="shared" si="286"/>
        <v/>
      </c>
      <c r="AT906" s="24" t="str">
        <f t="shared" si="287"/>
        <v/>
      </c>
      <c r="AU906" s="22" t="s">
        <v>3744</v>
      </c>
    </row>
    <row r="907" spans="1:47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7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7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75"/>
        <v>1</v>
      </c>
      <c r="Z907" s="18">
        <f t="shared" si="272"/>
        <v>8000000</v>
      </c>
      <c r="AA907" s="13">
        <v>6.25E-2</v>
      </c>
      <c r="AB907" s="21">
        <f t="shared" si="269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73"/>
        <v>499582152.5142017</v>
      </c>
      <c r="AJ907" s="19">
        <f t="shared" si="274"/>
        <v>59520528.679470733</v>
      </c>
      <c r="AK907" s="20">
        <f t="shared" si="282"/>
        <v>0.11914062257814291</v>
      </c>
      <c r="AL907" s="17"/>
      <c r="AM907" s="17"/>
      <c r="AN907" s="17"/>
      <c r="AO907" s="17"/>
      <c r="AP907" s="28" t="str">
        <f t="shared" si="283"/>
        <v>CancelCancel</v>
      </c>
      <c r="AQ907" s="28" t="str">
        <f t="shared" si="284"/>
        <v>CancelCancelJPY</v>
      </c>
      <c r="AR907" s="206" t="str">
        <f t="shared" si="285"/>
        <v>YAMAHA_Mounter</v>
      </c>
      <c r="AS907" s="22" t="str">
        <f t="shared" si="286"/>
        <v/>
      </c>
      <c r="AT907" s="24" t="str">
        <f t="shared" si="287"/>
        <v/>
      </c>
      <c r="AU907" s="22" t="s">
        <v>3744</v>
      </c>
    </row>
    <row r="908" spans="1:47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7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75"/>
        <v>1</v>
      </c>
      <c r="Z908" s="18">
        <f t="shared" si="272"/>
        <v>12669000</v>
      </c>
      <c r="AA908" s="13">
        <v>5.7500000000000002E-2</v>
      </c>
      <c r="AB908" s="21">
        <f t="shared" si="269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73"/>
        <v>17329060.066371687</v>
      </c>
      <c r="AJ908" s="19">
        <f t="shared" si="274"/>
        <v>2472600.2142256643</v>
      </c>
      <c r="AK908" s="20">
        <f t="shared" si="282"/>
        <v>0.14268518919984163</v>
      </c>
      <c r="AL908" s="17"/>
      <c r="AM908" s="17"/>
      <c r="AN908" s="17"/>
      <c r="AO908" s="17"/>
      <c r="AP908" s="28" t="str">
        <f t="shared" si="283"/>
        <v>202212</v>
      </c>
      <c r="AQ908" s="28" t="str">
        <f t="shared" si="284"/>
        <v>202212JPY</v>
      </c>
      <c r="AR908" s="206" t="str">
        <f t="shared" si="285"/>
        <v>YAMAHA_Mounter</v>
      </c>
      <c r="AS908" s="22">
        <f t="shared" si="286"/>
        <v>3</v>
      </c>
      <c r="AT908" s="24" t="str">
        <f t="shared" si="287"/>
        <v>0-3 months</v>
      </c>
      <c r="AU908" s="22" t="s">
        <v>3744</v>
      </c>
    </row>
    <row r="909" spans="1:47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7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75"/>
        <v>1</v>
      </c>
      <c r="Z909" s="18">
        <f t="shared" si="272"/>
        <v>7416000</v>
      </c>
      <c r="AA909" s="13">
        <v>5.7500000000000002E-2</v>
      </c>
      <c r="AB909" s="21">
        <f t="shared" si="269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73"/>
        <v>17329060.066371687</v>
      </c>
      <c r="AJ909" s="19">
        <f t="shared" si="274"/>
        <v>2472600.2142256643</v>
      </c>
      <c r="AK909" s="20">
        <f t="shared" si="282"/>
        <v>0.14268518919984163</v>
      </c>
      <c r="AL909" s="17"/>
      <c r="AM909" s="17"/>
      <c r="AN909" s="17"/>
      <c r="AO909" s="17"/>
      <c r="AP909" s="28" t="str">
        <f t="shared" si="283"/>
        <v>202212</v>
      </c>
      <c r="AQ909" s="28" t="str">
        <f t="shared" si="284"/>
        <v>202212JPY</v>
      </c>
      <c r="AR909" s="206" t="str">
        <f t="shared" si="285"/>
        <v>YAMAHA_Mounter</v>
      </c>
      <c r="AS909" s="22">
        <f t="shared" si="286"/>
        <v>3</v>
      </c>
      <c r="AT909" s="24" t="str">
        <f t="shared" si="287"/>
        <v>0-3 months</v>
      </c>
      <c r="AU909" s="22" t="s">
        <v>3744</v>
      </c>
    </row>
    <row r="910" spans="1:47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7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75"/>
        <v>1.13</v>
      </c>
      <c r="Z910" s="18">
        <f t="shared" si="272"/>
        <v>516500</v>
      </c>
      <c r="AA910" s="13">
        <v>1.1950000000000001</v>
      </c>
      <c r="AB910" s="21">
        <f t="shared" si="269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73"/>
        <v>44014086.982070789</v>
      </c>
      <c r="AJ910" s="19">
        <f t="shared" si="274"/>
        <v>6419974.0221889298</v>
      </c>
      <c r="AK910" s="20">
        <f t="shared" si="282"/>
        <v>0.14586180158193709</v>
      </c>
      <c r="AL910" s="17"/>
      <c r="AM910" s="17"/>
      <c r="AN910" s="17"/>
      <c r="AO910" s="17"/>
      <c r="AP910" s="28" t="str">
        <f t="shared" si="283"/>
        <v>20225</v>
      </c>
      <c r="AQ910" s="28" t="str">
        <f t="shared" si="284"/>
        <v>20225RMB</v>
      </c>
      <c r="AR910" s="206" t="str">
        <f t="shared" si="285"/>
        <v>YAMAHA_Mounter</v>
      </c>
      <c r="AS910" s="22">
        <f t="shared" si="286"/>
        <v>2</v>
      </c>
      <c r="AT910" s="24" t="str">
        <f t="shared" si="287"/>
        <v>0-3 months</v>
      </c>
      <c r="AU910" s="22" t="s">
        <v>3750</v>
      </c>
    </row>
    <row r="911" spans="1:47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7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75"/>
        <v>1.13</v>
      </c>
      <c r="Z911" s="18">
        <f t="shared" si="272"/>
        <v>516500</v>
      </c>
      <c r="AA911" s="13">
        <v>1.1950000000000001</v>
      </c>
      <c r="AB911" s="21">
        <f t="shared" si="269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73"/>
        <v>44014086.982070789</v>
      </c>
      <c r="AJ911" s="19">
        <f t="shared" si="274"/>
        <v>6419974.0221889298</v>
      </c>
      <c r="AK911" s="20">
        <f t="shared" si="282"/>
        <v>0.14586180158193709</v>
      </c>
      <c r="AL911" s="17"/>
      <c r="AM911" s="17"/>
      <c r="AN911" s="17"/>
      <c r="AO911" s="17"/>
      <c r="AP911" s="28" t="str">
        <f t="shared" si="283"/>
        <v>20225</v>
      </c>
      <c r="AQ911" s="28" t="str">
        <f t="shared" si="284"/>
        <v>20225RMB</v>
      </c>
      <c r="AR911" s="206" t="str">
        <f t="shared" si="285"/>
        <v>YAMAHA_Mounter</v>
      </c>
      <c r="AS911" s="22">
        <f t="shared" si="286"/>
        <v>2</v>
      </c>
      <c r="AT911" s="24" t="str">
        <f t="shared" si="287"/>
        <v>0-3 months</v>
      </c>
      <c r="AU911" s="22" t="s">
        <v>3750</v>
      </c>
    </row>
    <row r="912" spans="1:47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7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72"/>
        <v>440000</v>
      </c>
      <c r="AA912" s="22">
        <v>1.0900000000000001</v>
      </c>
      <c r="AB912" s="21">
        <f t="shared" si="269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73"/>
        <v>21241742.157380536</v>
      </c>
      <c r="AJ912" s="27">
        <f t="shared" si="274"/>
        <v>2987081.1613773629</v>
      </c>
      <c r="AK912" s="28">
        <f t="shared" si="282"/>
        <v>0.14062317201884914</v>
      </c>
      <c r="AL912" s="24"/>
      <c r="AM912" s="24"/>
      <c r="AN912" s="24"/>
      <c r="AO912" s="24"/>
      <c r="AP912" s="28" t="str">
        <f t="shared" si="283"/>
        <v>20243</v>
      </c>
      <c r="AQ912" s="28" t="str">
        <f t="shared" si="284"/>
        <v>20243RMB</v>
      </c>
      <c r="AR912" s="206" t="str">
        <f t="shared" si="285"/>
        <v>YAMAHA_Mounter</v>
      </c>
      <c r="AS912" s="22">
        <f t="shared" si="286"/>
        <v>2</v>
      </c>
      <c r="AT912" s="24" t="str">
        <f t="shared" si="287"/>
        <v>0-3 months</v>
      </c>
      <c r="AU912" s="22" t="s">
        <v>3750</v>
      </c>
    </row>
    <row r="913" spans="1:47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7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72"/>
        <v>6600000</v>
      </c>
      <c r="AA913" s="13">
        <v>7.4899999999999994E-2</v>
      </c>
      <c r="AB913" s="21">
        <f t="shared" si="269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73"/>
        <v>47907808.356810622</v>
      </c>
      <c r="AJ913" s="19">
        <f t="shared" si="274"/>
        <v>6027384.8806384448</v>
      </c>
      <c r="AK913" s="20">
        <f t="shared" si="282"/>
        <v>0.12581216063459488</v>
      </c>
      <c r="AL913" s="17"/>
      <c r="AM913" s="17"/>
      <c r="AN913" s="17"/>
      <c r="AO913" s="17"/>
      <c r="AP913" s="28" t="str">
        <f t="shared" si="283"/>
        <v>20209</v>
      </c>
      <c r="AQ913" s="28" t="str">
        <f t="shared" si="284"/>
        <v>20209JPY</v>
      </c>
      <c r="AR913" s="206" t="str">
        <f t="shared" si="285"/>
        <v>YAMAHA_Mounter</v>
      </c>
      <c r="AS913" s="22">
        <f t="shared" si="286"/>
        <v>2</v>
      </c>
      <c r="AT913" s="24" t="str">
        <f t="shared" si="287"/>
        <v>0-3 months</v>
      </c>
      <c r="AU913" s="22" t="s">
        <v>3744</v>
      </c>
    </row>
    <row r="914" spans="1:47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7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7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72"/>
        <v>25633800</v>
      </c>
      <c r="AA914" s="13">
        <v>7.0199999999999999E-2</v>
      </c>
      <c r="AB914" s="21">
        <f t="shared" si="269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73"/>
        <v>499582152.5142017</v>
      </c>
      <c r="AJ914" s="19">
        <f t="shared" si="274"/>
        <v>59520528.679470733</v>
      </c>
      <c r="AK914" s="20">
        <f t="shared" si="282"/>
        <v>0.11914062257814291</v>
      </c>
      <c r="AL914" s="17"/>
      <c r="AM914" s="17"/>
      <c r="AN914" s="17"/>
      <c r="AO914" s="17"/>
      <c r="AP914" s="28" t="str">
        <f t="shared" si="283"/>
        <v>CancelCancel</v>
      </c>
      <c r="AQ914" s="28" t="str">
        <f t="shared" si="284"/>
        <v>CancelCancelJPY</v>
      </c>
      <c r="AR914" s="206" t="str">
        <f t="shared" si="285"/>
        <v>YAMAHA_Mounter</v>
      </c>
      <c r="AS914" s="22" t="str">
        <f t="shared" si="286"/>
        <v/>
      </c>
      <c r="AT914" s="24" t="str">
        <f t="shared" si="287"/>
        <v/>
      </c>
      <c r="AU914" s="22" t="s">
        <v>3744</v>
      </c>
    </row>
    <row r="915" spans="1:47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7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72"/>
        <v>882530</v>
      </c>
      <c r="AA915" s="13">
        <v>1.1100000000000001</v>
      </c>
      <c r="AB915" s="21">
        <f t="shared" si="269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73"/>
        <v>23168285.927433632</v>
      </c>
      <c r="AJ915" s="19">
        <f t="shared" si="274"/>
        <v>2764878.916878053</v>
      </c>
      <c r="AK915" s="20">
        <f t="shared" si="282"/>
        <v>0.11933895004309111</v>
      </c>
      <c r="AL915" s="17"/>
      <c r="AM915" s="17"/>
      <c r="AN915" s="17"/>
      <c r="AO915" s="17"/>
      <c r="AP915" s="28" t="str">
        <f t="shared" si="283"/>
        <v>20203</v>
      </c>
      <c r="AQ915" s="28" t="str">
        <f t="shared" si="284"/>
        <v>20203RMB</v>
      </c>
      <c r="AR915" s="206" t="str">
        <f t="shared" si="285"/>
        <v>YAMAHA_Mounter</v>
      </c>
      <c r="AS915" s="22">
        <f t="shared" si="286"/>
        <v>0</v>
      </c>
      <c r="AT915" s="24" t="str">
        <f t="shared" si="287"/>
        <v>0-3 months</v>
      </c>
      <c r="AU915" s="22" t="s">
        <v>3743</v>
      </c>
    </row>
    <row r="916" spans="1:47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7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72"/>
        <v>6950000</v>
      </c>
      <c r="AA916" s="13">
        <v>7.2800000000000004E-2</v>
      </c>
      <c r="AB916" s="21">
        <f t="shared" si="269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73"/>
        <v>63006605.696460173</v>
      </c>
      <c r="AJ916" s="19">
        <f t="shared" si="274"/>
        <v>8897485.660753984</v>
      </c>
      <c r="AK916" s="20">
        <f t="shared" si="282"/>
        <v>0.141215124388995</v>
      </c>
      <c r="AL916" s="17"/>
      <c r="AM916" s="17"/>
      <c r="AN916" s="17"/>
      <c r="AO916" s="17"/>
      <c r="AP916" s="28" t="str">
        <f t="shared" si="283"/>
        <v>20215</v>
      </c>
      <c r="AQ916" s="28" t="str">
        <f t="shared" si="284"/>
        <v>20215JPY</v>
      </c>
      <c r="AR916" s="206" t="str">
        <f t="shared" si="285"/>
        <v>YAMAHA_Mounter</v>
      </c>
      <c r="AS916" s="22">
        <f t="shared" si="286"/>
        <v>4</v>
      </c>
      <c r="AT916" s="24" t="str">
        <f t="shared" si="287"/>
        <v>4-6 months</v>
      </c>
      <c r="AU916" s="22" t="s">
        <v>3744</v>
      </c>
    </row>
    <row r="917" spans="1:47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7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72"/>
        <v>10300000</v>
      </c>
      <c r="AA917" s="13">
        <v>7.2800000000000004E-2</v>
      </c>
      <c r="AB917" s="21">
        <f t="shared" si="269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73"/>
        <v>63006605.696460173</v>
      </c>
      <c r="AJ917" s="19">
        <f t="shared" si="274"/>
        <v>8897485.660753984</v>
      </c>
      <c r="AK917" s="20">
        <f t="shared" si="282"/>
        <v>0.141215124388995</v>
      </c>
      <c r="AL917" s="17"/>
      <c r="AM917" s="17"/>
      <c r="AN917" s="17"/>
      <c r="AO917" s="17"/>
      <c r="AP917" s="28" t="str">
        <f t="shared" si="283"/>
        <v>20215</v>
      </c>
      <c r="AQ917" s="28" t="str">
        <f t="shared" si="284"/>
        <v>20215JPY</v>
      </c>
      <c r="AR917" s="206" t="str">
        <f t="shared" si="285"/>
        <v>YAMAHA_Mounter</v>
      </c>
      <c r="AS917" s="22">
        <f t="shared" si="286"/>
        <v>1</v>
      </c>
      <c r="AT917" s="24" t="str">
        <f t="shared" si="287"/>
        <v>0-3 months</v>
      </c>
      <c r="AU917" s="22" t="s">
        <v>3744</v>
      </c>
    </row>
    <row r="918" spans="1:47" s="12" customFormat="1">
      <c r="A918" s="33" t="str">
        <f t="shared" si="276"/>
        <v>cancel</v>
      </c>
      <c r="B918" s="152"/>
      <c r="C918" s="152" t="s">
        <v>185</v>
      </c>
      <c r="D918" s="33" t="str">
        <f t="shared" si="27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7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7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72"/>
        <v>8544600</v>
      </c>
      <c r="AA918" s="13">
        <v>7.2999999999999995E-2</v>
      </c>
      <c r="AB918" s="21">
        <f t="shared" si="269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73"/>
        <v>499582152.5142017</v>
      </c>
      <c r="AJ918" s="19">
        <f t="shared" si="274"/>
        <v>59520528.679470733</v>
      </c>
      <c r="AK918" s="20">
        <f t="shared" si="282"/>
        <v>0.11914062257814291</v>
      </c>
      <c r="AL918" s="17"/>
      <c r="AM918" s="17"/>
      <c r="AN918" s="17"/>
      <c r="AO918" s="17"/>
      <c r="AP918" s="28" t="str">
        <f t="shared" si="283"/>
        <v>CancelCancel</v>
      </c>
      <c r="AQ918" s="28" t="str">
        <f t="shared" si="284"/>
        <v>CancelCancelJPY</v>
      </c>
      <c r="AR918" s="206" t="str">
        <f t="shared" si="285"/>
        <v>YAMAHA_Mounter</v>
      </c>
      <c r="AS918" s="22" t="str">
        <f t="shared" si="286"/>
        <v/>
      </c>
      <c r="AT918" s="24" t="str">
        <f t="shared" si="287"/>
        <v/>
      </c>
      <c r="AU918" s="22" t="s">
        <v>3744</v>
      </c>
    </row>
    <row r="919" spans="1:47" s="12" customFormat="1">
      <c r="A919" s="33" t="str">
        <f t="shared" si="276"/>
        <v>cancel</v>
      </c>
      <c r="B919" s="152"/>
      <c r="C919" s="152" t="s">
        <v>185</v>
      </c>
      <c r="D919" s="33" t="str">
        <f t="shared" si="27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7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7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72"/>
        <v>8544600</v>
      </c>
      <c r="AA919" s="13">
        <v>7.2999999999999995E-2</v>
      </c>
      <c r="AB919" s="21">
        <f t="shared" si="269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73"/>
        <v>499582152.5142017</v>
      </c>
      <c r="AJ919" s="19">
        <f t="shared" si="274"/>
        <v>59520528.679470733</v>
      </c>
      <c r="AK919" s="20">
        <f t="shared" si="282"/>
        <v>0.11914062257814291</v>
      </c>
      <c r="AL919" s="17"/>
      <c r="AM919" s="17"/>
      <c r="AN919" s="17"/>
      <c r="AO919" s="17"/>
      <c r="AP919" s="28" t="str">
        <f t="shared" si="283"/>
        <v>CancelCancel</v>
      </c>
      <c r="AQ919" s="28" t="str">
        <f t="shared" si="284"/>
        <v>CancelCancelJPY</v>
      </c>
      <c r="AR919" s="206" t="str">
        <f t="shared" si="285"/>
        <v>YAMAHA_Mounter</v>
      </c>
      <c r="AS919" s="22" t="str">
        <f t="shared" si="286"/>
        <v/>
      </c>
      <c r="AT919" s="24" t="str">
        <f t="shared" si="287"/>
        <v/>
      </c>
      <c r="AU919" s="22" t="s">
        <v>3744</v>
      </c>
    </row>
    <row r="920" spans="1:47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7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72"/>
        <v>19923769</v>
      </c>
      <c r="AA920" s="13">
        <v>7.3599999999999999E-2</v>
      </c>
      <c r="AB920" s="21">
        <f t="shared" si="269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73"/>
        <v>24398045.86045352</v>
      </c>
      <c r="AJ920" s="19">
        <f t="shared" si="274"/>
        <v>3478417.4064663448</v>
      </c>
      <c r="AK920" s="20">
        <f t="shared" si="282"/>
        <v>0.14256950849102498</v>
      </c>
      <c r="AL920" s="17"/>
      <c r="AM920" s="17"/>
      <c r="AN920" s="17"/>
      <c r="AO920" s="17"/>
      <c r="AP920" s="28" t="str">
        <f t="shared" si="283"/>
        <v>20186</v>
      </c>
      <c r="AQ920" s="28" t="str">
        <f t="shared" si="284"/>
        <v>20186JPY</v>
      </c>
      <c r="AR920" s="206" t="str">
        <f t="shared" si="285"/>
        <v>YAMAHA_Mounter</v>
      </c>
      <c r="AS920" s="22">
        <f t="shared" si="286"/>
        <v>3</v>
      </c>
      <c r="AT920" s="24" t="str">
        <f t="shared" si="287"/>
        <v>0-3 months</v>
      </c>
      <c r="AU920" s="22" t="s">
        <v>3744</v>
      </c>
    </row>
    <row r="921" spans="1:47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7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72"/>
        <v>550000</v>
      </c>
      <c r="AA921" s="13">
        <v>1.135</v>
      </c>
      <c r="AB921" s="21">
        <f t="shared" si="269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73"/>
        <v>28177779.013274338</v>
      </c>
      <c r="AJ921" s="19">
        <f t="shared" si="274"/>
        <v>4727216.6376190251</v>
      </c>
      <c r="AK921" s="20">
        <f t="shared" si="282"/>
        <v>0.1677639900359808</v>
      </c>
      <c r="AL921" s="17"/>
      <c r="AM921" s="17"/>
      <c r="AN921" s="17"/>
      <c r="AO921" s="17"/>
      <c r="AP921" s="28" t="str">
        <f t="shared" si="283"/>
        <v>20235</v>
      </c>
      <c r="AQ921" s="28" t="str">
        <f t="shared" si="284"/>
        <v>20235RMB</v>
      </c>
      <c r="AR921" s="206" t="str">
        <f t="shared" si="285"/>
        <v>YAMAHA_Mounter</v>
      </c>
      <c r="AS921" s="22">
        <f t="shared" si="286"/>
        <v>9</v>
      </c>
      <c r="AT921" s="24" t="str">
        <f t="shared" si="287"/>
        <v>&gt; 6 months</v>
      </c>
      <c r="AU921" s="22" t="s">
        <v>3750</v>
      </c>
    </row>
    <row r="922" spans="1:47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7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72"/>
        <v>11900000</v>
      </c>
      <c r="AA922" s="13">
        <v>7.5700000000000003E-2</v>
      </c>
      <c r="AB922" s="21">
        <f t="shared" si="269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73"/>
        <v>31097187.02948761</v>
      </c>
      <c r="AJ922" s="19">
        <f t="shared" si="274"/>
        <v>3892353.6644401965</v>
      </c>
      <c r="AK922" s="20">
        <f t="shared" si="282"/>
        <v>0.12516738767237401</v>
      </c>
      <c r="AL922" s="17"/>
      <c r="AM922" s="17"/>
      <c r="AN922" s="17"/>
      <c r="AO922" s="17"/>
      <c r="AP922" s="28" t="str">
        <f t="shared" si="283"/>
        <v>20212</v>
      </c>
      <c r="AQ922" s="28" t="str">
        <f t="shared" si="284"/>
        <v>20212JPY</v>
      </c>
      <c r="AR922" s="206" t="str">
        <f t="shared" si="285"/>
        <v>YAMAHA_Mounter</v>
      </c>
      <c r="AS922" s="22">
        <f t="shared" si="286"/>
        <v>2</v>
      </c>
      <c r="AT922" s="24" t="str">
        <f t="shared" si="287"/>
        <v>0-3 months</v>
      </c>
      <c r="AU922" s="22" t="s">
        <v>3744</v>
      </c>
    </row>
    <row r="923" spans="1:47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7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72"/>
        <v>1450000</v>
      </c>
      <c r="AA923" s="13">
        <v>1.155</v>
      </c>
      <c r="AB923" s="21">
        <f t="shared" ref="AB923:AB986" si="288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73"/>
        <v>44078731.611185849</v>
      </c>
      <c r="AJ923" s="19">
        <f t="shared" si="274"/>
        <v>5508173.2163771465</v>
      </c>
      <c r="AK923" s="20">
        <f t="shared" si="282"/>
        <v>0.12496215328889679</v>
      </c>
      <c r="AL923" s="17"/>
      <c r="AM923" s="17"/>
      <c r="AN923" s="17"/>
      <c r="AO923" s="17"/>
      <c r="AP923" s="28" t="str">
        <f t="shared" si="283"/>
        <v>202011</v>
      </c>
      <c r="AQ923" s="28" t="str">
        <f t="shared" si="284"/>
        <v>202011RMB</v>
      </c>
      <c r="AR923" s="206" t="str">
        <f t="shared" si="285"/>
        <v>YAMAHA_Mounter</v>
      </c>
      <c r="AS923" s="22">
        <f t="shared" si="286"/>
        <v>1</v>
      </c>
      <c r="AT923" s="24" t="str">
        <f t="shared" si="287"/>
        <v>0-3 months</v>
      </c>
      <c r="AU923" s="22" t="s">
        <v>3743</v>
      </c>
    </row>
    <row r="924" spans="1:47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7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72"/>
        <v>10068000</v>
      </c>
      <c r="AA924" s="13">
        <v>6.2799999999999995E-2</v>
      </c>
      <c r="AB924" s="21">
        <f t="shared" si="288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73"/>
        <v>44014086.982070789</v>
      </c>
      <c r="AJ924" s="19">
        <f t="shared" si="274"/>
        <v>6419974.0221889298</v>
      </c>
      <c r="AK924" s="20">
        <f t="shared" si="282"/>
        <v>0.14586180158193709</v>
      </c>
      <c r="AL924" s="17"/>
      <c r="AM924" s="17"/>
      <c r="AN924" s="17"/>
      <c r="AO924" s="17"/>
      <c r="AP924" s="28" t="str">
        <f t="shared" si="283"/>
        <v>20225</v>
      </c>
      <c r="AQ924" s="28" t="str">
        <f t="shared" si="284"/>
        <v>20225JPY</v>
      </c>
      <c r="AR924" s="206" t="str">
        <f t="shared" si="285"/>
        <v>YAMAHA_Mounter</v>
      </c>
      <c r="AS924" s="22">
        <f t="shared" si="286"/>
        <v>2</v>
      </c>
      <c r="AT924" s="24" t="str">
        <f t="shared" si="287"/>
        <v>0-3 months</v>
      </c>
      <c r="AU924" s="22" t="s">
        <v>3744</v>
      </c>
    </row>
    <row r="925" spans="1:47" s="12" customFormat="1">
      <c r="A925" s="33" t="str">
        <f t="shared" si="276"/>
        <v>cancel</v>
      </c>
      <c r="B925" s="152"/>
      <c r="C925" s="152" t="s">
        <v>1616</v>
      </c>
      <c r="D925" s="33" t="str">
        <f t="shared" si="27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7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7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72"/>
        <v>12786600</v>
      </c>
      <c r="AA925" s="13">
        <v>7.3999999999999996E-2</v>
      </c>
      <c r="AB925" s="21">
        <f t="shared" si="288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73"/>
        <v>499582152.5142017</v>
      </c>
      <c r="AJ925" s="19">
        <f t="shared" si="274"/>
        <v>59520528.679470733</v>
      </c>
      <c r="AK925" s="20">
        <f t="shared" si="282"/>
        <v>0.11914062257814291</v>
      </c>
      <c r="AL925" s="17"/>
      <c r="AM925" s="17"/>
      <c r="AN925" s="17"/>
      <c r="AO925" s="17"/>
      <c r="AP925" s="28" t="str">
        <f t="shared" si="283"/>
        <v>CancelCancel</v>
      </c>
      <c r="AQ925" s="28" t="str">
        <f t="shared" si="284"/>
        <v>CancelCancelJPY</v>
      </c>
      <c r="AR925" s="206" t="str">
        <f t="shared" si="285"/>
        <v>YAMAHA_Mounter</v>
      </c>
      <c r="AS925" s="22" t="str">
        <f t="shared" si="286"/>
        <v/>
      </c>
      <c r="AT925" s="24" t="str">
        <f t="shared" si="287"/>
        <v/>
      </c>
      <c r="AU925" s="22" t="s">
        <v>3744</v>
      </c>
    </row>
    <row r="926" spans="1:47" s="12" customFormat="1">
      <c r="A926" s="33" t="str">
        <f t="shared" si="276"/>
        <v>cancel</v>
      </c>
      <c r="B926" s="152"/>
      <c r="C926" s="152" t="s">
        <v>185</v>
      </c>
      <c r="D926" s="33" t="str">
        <f t="shared" si="27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7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7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72"/>
        <v>12786600</v>
      </c>
      <c r="AA926" s="13">
        <v>7.2300000000000003E-2</v>
      </c>
      <c r="AB926" s="21">
        <f t="shared" si="288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73"/>
        <v>499582152.5142017</v>
      </c>
      <c r="AJ926" s="19">
        <f t="shared" si="274"/>
        <v>59520528.679470733</v>
      </c>
      <c r="AK926" s="20">
        <f t="shared" si="282"/>
        <v>0.11914062257814291</v>
      </c>
      <c r="AL926" s="17"/>
      <c r="AM926" s="17"/>
      <c r="AN926" s="17"/>
      <c r="AO926" s="17"/>
      <c r="AP926" s="28" t="str">
        <f t="shared" si="283"/>
        <v>CancelCancel</v>
      </c>
      <c r="AQ926" s="28" t="str">
        <f t="shared" si="284"/>
        <v>CancelCancelJPY</v>
      </c>
      <c r="AR926" s="206" t="str">
        <f t="shared" si="285"/>
        <v>YAMAHA_Mounter</v>
      </c>
      <c r="AS926" s="22" t="str">
        <f t="shared" si="286"/>
        <v/>
      </c>
      <c r="AT926" s="24" t="str">
        <f t="shared" si="287"/>
        <v/>
      </c>
      <c r="AU926" s="22" t="s">
        <v>3744</v>
      </c>
    </row>
    <row r="927" spans="1:47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7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72"/>
        <v>7650</v>
      </c>
      <c r="AA927" s="13">
        <v>7.8</v>
      </c>
      <c r="AB927" s="21">
        <f t="shared" si="288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73"/>
        <v>5219988.5752212387</v>
      </c>
      <c r="AJ927" s="19">
        <f t="shared" si="274"/>
        <v>631627.0013460177</v>
      </c>
      <c r="AK927" s="20">
        <f t="shared" si="282"/>
        <v>0.12100160608478869</v>
      </c>
      <c r="AL927" s="17"/>
      <c r="AM927" s="17"/>
      <c r="AN927" s="17"/>
      <c r="AO927" s="17"/>
      <c r="AP927" s="28" t="str">
        <f t="shared" si="283"/>
        <v>202310</v>
      </c>
      <c r="AQ927" s="28" t="str">
        <f t="shared" si="284"/>
        <v>202310USD</v>
      </c>
      <c r="AR927" s="206" t="str">
        <f t="shared" si="285"/>
        <v>SOLDERSTAR</v>
      </c>
      <c r="AS927" s="22">
        <f t="shared" si="286"/>
        <v>1</v>
      </c>
      <c r="AT927" s="24" t="str">
        <f t="shared" si="287"/>
        <v>0-3 months</v>
      </c>
      <c r="AU927" s="22" t="s">
        <v>3745</v>
      </c>
    </row>
    <row r="928" spans="1:47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7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89">IF(W928="RMB","1.13", "1")</f>
        <v>1.13</v>
      </c>
      <c r="Z928" s="18">
        <f t="shared" si="272"/>
        <v>1404000</v>
      </c>
      <c r="AA928" s="13">
        <v>1.175</v>
      </c>
      <c r="AB928" s="21">
        <f t="shared" si="288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73"/>
        <v>48763143.537654862</v>
      </c>
      <c r="AJ928" s="19">
        <f t="shared" si="274"/>
        <v>5924029.9702154724</v>
      </c>
      <c r="AK928" s="20">
        <f t="shared" si="282"/>
        <v>0.1214858095774925</v>
      </c>
      <c r="AL928" s="17"/>
      <c r="AM928" s="17"/>
      <c r="AN928" s="17"/>
      <c r="AO928" s="17"/>
      <c r="AP928" s="28" t="str">
        <f t="shared" si="283"/>
        <v>202012</v>
      </c>
      <c r="AQ928" s="28" t="str">
        <f t="shared" si="284"/>
        <v>202012RMB</v>
      </c>
      <c r="AR928" s="206" t="str">
        <f t="shared" si="285"/>
        <v>PEMTRON</v>
      </c>
      <c r="AS928" s="22">
        <f t="shared" si="286"/>
        <v>7</v>
      </c>
      <c r="AT928" s="24" t="str">
        <f t="shared" si="287"/>
        <v>&gt; 6 months</v>
      </c>
      <c r="AU928" s="22" t="s">
        <v>3743</v>
      </c>
    </row>
    <row r="929" spans="1:47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7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89"/>
        <v>1.13</v>
      </c>
      <c r="Z929" s="18">
        <f t="shared" si="272"/>
        <v>468000</v>
      </c>
      <c r="AA929" s="13">
        <v>1.2</v>
      </c>
      <c r="AB929" s="21">
        <f t="shared" si="288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73"/>
        <v>10844605.840707963</v>
      </c>
      <c r="AJ929" s="19">
        <f t="shared" si="274"/>
        <v>1523130.9860707966</v>
      </c>
      <c r="AK929" s="20">
        <f t="shared" si="282"/>
        <v>0.14045056209911663</v>
      </c>
      <c r="AL929" s="17"/>
      <c r="AM929" s="17"/>
      <c r="AN929" s="17"/>
      <c r="AO929" s="17"/>
      <c r="AP929" s="28" t="str">
        <f t="shared" si="283"/>
        <v>20219</v>
      </c>
      <c r="AQ929" s="28" t="str">
        <f t="shared" si="284"/>
        <v>20219RMB</v>
      </c>
      <c r="AR929" s="206" t="str">
        <f t="shared" si="285"/>
        <v>PEMTRON</v>
      </c>
      <c r="AS929" s="22">
        <f t="shared" si="286"/>
        <v>2</v>
      </c>
      <c r="AT929" s="24" t="str">
        <f t="shared" si="287"/>
        <v>0-3 months</v>
      </c>
      <c r="AU929" s="22" t="s">
        <v>3743</v>
      </c>
    </row>
    <row r="930" spans="1:47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7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89"/>
        <v>1.13</v>
      </c>
      <c r="Z930" s="18">
        <f t="shared" si="272"/>
        <v>468000</v>
      </c>
      <c r="AA930" s="13">
        <v>1.2</v>
      </c>
      <c r="AB930" s="21">
        <f t="shared" si="288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73"/>
        <v>10844605.840707963</v>
      </c>
      <c r="AJ930" s="19">
        <f t="shared" si="274"/>
        <v>1523130.9860707966</v>
      </c>
      <c r="AK930" s="20">
        <f t="shared" si="282"/>
        <v>0.14045056209911663</v>
      </c>
      <c r="AL930" s="17"/>
      <c r="AM930" s="17"/>
      <c r="AN930" s="17"/>
      <c r="AO930" s="17"/>
      <c r="AP930" s="28" t="str">
        <f t="shared" si="283"/>
        <v>20219</v>
      </c>
      <c r="AQ930" s="28" t="str">
        <f t="shared" si="284"/>
        <v>20219RMB</v>
      </c>
      <c r="AR930" s="206" t="str">
        <f t="shared" si="285"/>
        <v>PEMTRON</v>
      </c>
      <c r="AS930" s="22">
        <f t="shared" si="286"/>
        <v>2</v>
      </c>
      <c r="AT930" s="24" t="str">
        <f t="shared" si="287"/>
        <v>0-3 months</v>
      </c>
      <c r="AU930" s="22" t="s">
        <v>3743</v>
      </c>
    </row>
    <row r="931" spans="1:47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7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89"/>
        <v>1</v>
      </c>
      <c r="Z931" s="18">
        <f t="shared" si="272"/>
        <v>9526667</v>
      </c>
      <c r="AA931" s="13">
        <v>7.5700000000000003E-2</v>
      </c>
      <c r="AB931" s="21">
        <f t="shared" si="288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73"/>
        <v>31097187.02948761</v>
      </c>
      <c r="AJ931" s="19">
        <f t="shared" si="274"/>
        <v>3892353.6644401965</v>
      </c>
      <c r="AK931" s="20">
        <f t="shared" si="282"/>
        <v>0.12516738767237401</v>
      </c>
      <c r="AL931" s="17"/>
      <c r="AM931" s="17"/>
      <c r="AN931" s="17"/>
      <c r="AO931" s="17"/>
      <c r="AP931" s="28" t="str">
        <f t="shared" si="283"/>
        <v>20212</v>
      </c>
      <c r="AQ931" s="28" t="str">
        <f t="shared" si="284"/>
        <v>20212JPY</v>
      </c>
      <c r="AR931" s="206" t="str">
        <f t="shared" si="285"/>
        <v>YAMAHA_Mounter</v>
      </c>
      <c r="AS931" s="22">
        <f t="shared" si="286"/>
        <v>4</v>
      </c>
      <c r="AT931" s="24" t="str">
        <f t="shared" si="287"/>
        <v>4-6 months</v>
      </c>
      <c r="AU931" s="22" t="s">
        <v>3745</v>
      </c>
    </row>
    <row r="932" spans="1:47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7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89"/>
        <v>1</v>
      </c>
      <c r="Z932" s="18">
        <f t="shared" si="272"/>
        <v>9526667</v>
      </c>
      <c r="AA932" s="13">
        <v>7.5700000000000003E-2</v>
      </c>
      <c r="AB932" s="21">
        <f t="shared" si="288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73"/>
        <v>31097187.02948761</v>
      </c>
      <c r="AJ932" s="19">
        <f t="shared" si="274"/>
        <v>3892353.6644401965</v>
      </c>
      <c r="AK932" s="20">
        <f t="shared" si="282"/>
        <v>0.12516738767237401</v>
      </c>
      <c r="AL932" s="17"/>
      <c r="AM932" s="17"/>
      <c r="AN932" s="17"/>
      <c r="AO932" s="17"/>
      <c r="AP932" s="28" t="str">
        <f t="shared" si="283"/>
        <v>20212</v>
      </c>
      <c r="AQ932" s="28" t="str">
        <f t="shared" si="284"/>
        <v>20212JPY</v>
      </c>
      <c r="AR932" s="206" t="str">
        <f t="shared" si="285"/>
        <v>YAMAHA_Mounter</v>
      </c>
      <c r="AS932" s="22">
        <f t="shared" si="286"/>
        <v>4</v>
      </c>
      <c r="AT932" s="24" t="str">
        <f t="shared" si="287"/>
        <v>4-6 months</v>
      </c>
      <c r="AU932" s="22" t="s">
        <v>3745</v>
      </c>
    </row>
    <row r="933" spans="1:47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7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89"/>
        <v>1</v>
      </c>
      <c r="Z933" s="18">
        <f t="shared" si="272"/>
        <v>9526667</v>
      </c>
      <c r="AA933" s="13">
        <v>7.5700000000000003E-2</v>
      </c>
      <c r="AB933" s="21">
        <f t="shared" si="288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73"/>
        <v>31097187.02948761</v>
      </c>
      <c r="AJ933" s="19">
        <f t="shared" si="274"/>
        <v>3892353.6644401965</v>
      </c>
      <c r="AK933" s="20">
        <f t="shared" si="282"/>
        <v>0.12516738767237401</v>
      </c>
      <c r="AL933" s="17"/>
      <c r="AM933" s="17"/>
      <c r="AN933" s="17"/>
      <c r="AO933" s="17"/>
      <c r="AP933" s="28" t="str">
        <f t="shared" si="283"/>
        <v>20212</v>
      </c>
      <c r="AQ933" s="28" t="str">
        <f t="shared" si="284"/>
        <v>20212JPY</v>
      </c>
      <c r="AR933" s="206" t="str">
        <f t="shared" si="285"/>
        <v>YAMAHA_Mounter</v>
      </c>
      <c r="AS933" s="22">
        <f t="shared" si="286"/>
        <v>4</v>
      </c>
      <c r="AT933" s="24" t="str">
        <f t="shared" si="287"/>
        <v>4-6 months</v>
      </c>
      <c r="AU933" s="22" t="s">
        <v>3745</v>
      </c>
    </row>
    <row r="934" spans="1:47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7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72"/>
        <v>14626800</v>
      </c>
      <c r="AA934" s="13">
        <v>7.2300000000000003E-2</v>
      </c>
      <c r="AB934" s="21">
        <f t="shared" si="288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73"/>
        <v>23237072.69172414</v>
      </c>
      <c r="AJ934" s="19">
        <f t="shared" si="274"/>
        <v>2402195.7372206897</v>
      </c>
      <c r="AK934" s="20">
        <f t="shared" si="282"/>
        <v>0.10337772614862238</v>
      </c>
      <c r="AL934" s="17"/>
      <c r="AM934" s="17"/>
      <c r="AN934" s="17"/>
      <c r="AO934" s="17"/>
      <c r="AP934" s="28" t="str">
        <f t="shared" si="283"/>
        <v>20191</v>
      </c>
      <c r="AQ934" s="28" t="str">
        <f t="shared" si="284"/>
        <v>20191JPY</v>
      </c>
      <c r="AR934" s="206" t="str">
        <f t="shared" si="285"/>
        <v>YAMAHA_Mounter</v>
      </c>
      <c r="AS934" s="22">
        <f t="shared" si="286"/>
        <v>0</v>
      </c>
      <c r="AT934" s="24" t="str">
        <f t="shared" si="287"/>
        <v>0-3 months</v>
      </c>
      <c r="AU934" s="22" t="s">
        <v>3744</v>
      </c>
    </row>
    <row r="935" spans="1:47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7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72"/>
        <v>12726000</v>
      </c>
      <c r="AA935" s="13">
        <v>7.2800000000000004E-2</v>
      </c>
      <c r="AB935" s="21">
        <f t="shared" si="288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73"/>
        <v>63006605.696460173</v>
      </c>
      <c r="AJ935" s="19">
        <f t="shared" si="274"/>
        <v>8897485.660753984</v>
      </c>
      <c r="AK935" s="20">
        <f t="shared" si="282"/>
        <v>0.141215124388995</v>
      </c>
      <c r="AL935" s="17"/>
      <c r="AM935" s="17"/>
      <c r="AN935" s="17"/>
      <c r="AO935" s="17"/>
      <c r="AP935" s="28" t="str">
        <f t="shared" si="283"/>
        <v>20215</v>
      </c>
      <c r="AQ935" s="28" t="str">
        <f t="shared" si="284"/>
        <v>20215JPY</v>
      </c>
      <c r="AR935" s="206" t="str">
        <f t="shared" si="285"/>
        <v>YAMAHA_Mounter</v>
      </c>
      <c r="AS935" s="22">
        <f t="shared" si="286"/>
        <v>4</v>
      </c>
      <c r="AT935" s="24" t="str">
        <f t="shared" si="287"/>
        <v>4-6 months</v>
      </c>
      <c r="AU935" s="22" t="s">
        <v>3744</v>
      </c>
    </row>
    <row r="936" spans="1:47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7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72"/>
        <v>1275000</v>
      </c>
      <c r="AA936" s="13">
        <v>1.2150000000000001</v>
      </c>
      <c r="AB936" s="21">
        <f t="shared" si="288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73"/>
        <v>25380121.402654871</v>
      </c>
      <c r="AJ936" s="19">
        <f t="shared" si="274"/>
        <v>3850343.1237796471</v>
      </c>
      <c r="AK936" s="20">
        <f t="shared" si="282"/>
        <v>0.1517070412191521</v>
      </c>
      <c r="AL936" s="17"/>
      <c r="AM936" s="17"/>
      <c r="AN936" s="17"/>
      <c r="AO936" s="17"/>
      <c r="AP936" s="28" t="str">
        <f t="shared" si="283"/>
        <v>202112</v>
      </c>
      <c r="AQ936" s="28" t="str">
        <f t="shared" si="284"/>
        <v>202112RMB</v>
      </c>
      <c r="AR936" s="206" t="str">
        <f t="shared" si="285"/>
        <v>YAMAHA_Mounter</v>
      </c>
      <c r="AS936" s="22">
        <f t="shared" si="286"/>
        <v>9</v>
      </c>
      <c r="AT936" s="24" t="str">
        <f t="shared" si="287"/>
        <v>&gt; 6 months</v>
      </c>
      <c r="AU936" s="22" t="s">
        <v>3240</v>
      </c>
    </row>
    <row r="937" spans="1:47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7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72"/>
        <v>1000000</v>
      </c>
      <c r="AA937" s="13">
        <v>1.2150000000000001</v>
      </c>
      <c r="AB937" s="21">
        <f t="shared" si="288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73"/>
        <v>25380121.402654871</v>
      </c>
      <c r="AJ937" s="19">
        <f t="shared" si="274"/>
        <v>3850343.1237796471</v>
      </c>
      <c r="AK937" s="20">
        <f t="shared" si="282"/>
        <v>0.1517070412191521</v>
      </c>
      <c r="AL937" s="17"/>
      <c r="AM937" s="17"/>
      <c r="AN937" s="17"/>
      <c r="AO937" s="17"/>
      <c r="AP937" s="28" t="str">
        <f t="shared" si="283"/>
        <v>202112</v>
      </c>
      <c r="AQ937" s="28" t="str">
        <f t="shared" si="284"/>
        <v>202112RMB</v>
      </c>
      <c r="AR937" s="206" t="str">
        <f t="shared" si="285"/>
        <v>YAMAHA_Mounter</v>
      </c>
      <c r="AS937" s="22">
        <f t="shared" si="286"/>
        <v>9</v>
      </c>
      <c r="AT937" s="24" t="str">
        <f t="shared" si="287"/>
        <v>&gt; 6 months</v>
      </c>
      <c r="AU937" s="22" t="s">
        <v>3240</v>
      </c>
    </row>
    <row r="938" spans="1:47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7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72"/>
        <v>13000000</v>
      </c>
      <c r="AA938" s="13">
        <v>7.5700000000000003E-2</v>
      </c>
      <c r="AB938" s="21">
        <f t="shared" si="288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73"/>
        <v>31097187.02948761</v>
      </c>
      <c r="AJ938" s="19">
        <f t="shared" si="274"/>
        <v>3892353.6644401965</v>
      </c>
      <c r="AK938" s="20">
        <f t="shared" si="282"/>
        <v>0.12516738767237401</v>
      </c>
      <c r="AL938" s="17"/>
      <c r="AM938" s="17"/>
      <c r="AN938" s="17"/>
      <c r="AO938" s="17"/>
      <c r="AP938" s="28" t="str">
        <f t="shared" si="283"/>
        <v>20212</v>
      </c>
      <c r="AQ938" s="28" t="str">
        <f t="shared" si="284"/>
        <v>20212JPY</v>
      </c>
      <c r="AR938" s="206" t="str">
        <f t="shared" si="285"/>
        <v>YAMAHA_Mounter</v>
      </c>
      <c r="AS938" s="22">
        <f t="shared" si="286"/>
        <v>3</v>
      </c>
      <c r="AT938" s="24" t="str">
        <f t="shared" si="287"/>
        <v>0-3 months</v>
      </c>
      <c r="AU938" s="22" t="s">
        <v>3744</v>
      </c>
    </row>
    <row r="939" spans="1:47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7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72"/>
        <v>9000000</v>
      </c>
      <c r="AA939" s="13">
        <v>7.5700000000000003E-2</v>
      </c>
      <c r="AB939" s="21">
        <f t="shared" si="288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73"/>
        <v>31097187.02948761</v>
      </c>
      <c r="AJ939" s="19">
        <f t="shared" si="274"/>
        <v>3892353.6644401965</v>
      </c>
      <c r="AK939" s="20">
        <f t="shared" si="282"/>
        <v>0.12516738767237401</v>
      </c>
      <c r="AL939" s="17"/>
      <c r="AM939" s="17"/>
      <c r="AN939" s="17"/>
      <c r="AO939" s="17"/>
      <c r="AP939" s="28" t="str">
        <f t="shared" si="283"/>
        <v>20212</v>
      </c>
      <c r="AQ939" s="28" t="str">
        <f t="shared" si="284"/>
        <v>20212JPY</v>
      </c>
      <c r="AR939" s="206" t="str">
        <f t="shared" si="285"/>
        <v>YAMAHA_Mounter</v>
      </c>
      <c r="AS939" s="22">
        <f t="shared" si="286"/>
        <v>3</v>
      </c>
      <c r="AT939" s="24" t="str">
        <f t="shared" si="287"/>
        <v>0-3 months</v>
      </c>
      <c r="AU939" s="22" t="s">
        <v>3744</v>
      </c>
    </row>
    <row r="940" spans="1:47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7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72"/>
        <v>621000</v>
      </c>
      <c r="AA940" s="13">
        <v>1.1599999999999999</v>
      </c>
      <c r="AB940" s="21">
        <f t="shared" si="288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73"/>
        <v>32843736.557277881</v>
      </c>
      <c r="AJ940" s="19">
        <f t="shared" si="274"/>
        <v>3921470.6822663117</v>
      </c>
      <c r="AK940" s="20">
        <f t="shared" si="282"/>
        <v>0.11939782416131177</v>
      </c>
      <c r="AL940" s="17"/>
      <c r="AM940" s="17"/>
      <c r="AN940" s="17"/>
      <c r="AO940" s="17"/>
      <c r="AP940" s="28" t="str">
        <f t="shared" si="283"/>
        <v>20194</v>
      </c>
      <c r="AQ940" s="28" t="str">
        <f t="shared" si="284"/>
        <v>20194RMB</v>
      </c>
      <c r="AR940" s="206" t="str">
        <f t="shared" si="285"/>
        <v>YAMAHA_Mounter</v>
      </c>
      <c r="AS940" s="22">
        <f t="shared" si="286"/>
        <v>3</v>
      </c>
      <c r="AT940" s="24" t="str">
        <f t="shared" si="287"/>
        <v>0-3 months</v>
      </c>
      <c r="AU940" s="22" t="s">
        <v>3744</v>
      </c>
    </row>
    <row r="941" spans="1:47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7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72"/>
        <v>552000</v>
      </c>
      <c r="AA941" s="13">
        <v>1.1599999999999999</v>
      </c>
      <c r="AB941" s="21">
        <f t="shared" si="288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73"/>
        <v>32843736.557277881</v>
      </c>
      <c r="AJ941" s="19">
        <f t="shared" si="274"/>
        <v>3921470.6822663117</v>
      </c>
      <c r="AK941" s="20">
        <f t="shared" si="282"/>
        <v>0.11939782416131177</v>
      </c>
      <c r="AL941" s="17"/>
      <c r="AM941" s="17"/>
      <c r="AN941" s="17"/>
      <c r="AO941" s="17"/>
      <c r="AP941" s="28" t="str">
        <f t="shared" si="283"/>
        <v>20194</v>
      </c>
      <c r="AQ941" s="28" t="str">
        <f t="shared" si="284"/>
        <v>20194RMB</v>
      </c>
      <c r="AR941" s="206" t="str">
        <f t="shared" si="285"/>
        <v>YAMAHA_Mounter</v>
      </c>
      <c r="AS941" s="22">
        <f t="shared" si="286"/>
        <v>3</v>
      </c>
      <c r="AT941" s="24" t="str">
        <f t="shared" si="287"/>
        <v>0-3 months</v>
      </c>
      <c r="AU941" s="22" t="s">
        <v>3744</v>
      </c>
    </row>
    <row r="942" spans="1:47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7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90">IF(X942="","",X942*MAX(O942,N942))</f>
        <v>552000</v>
      </c>
      <c r="AA942" s="13">
        <v>1.1599999999999999</v>
      </c>
      <c r="AB942" s="21">
        <f t="shared" si="288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73"/>
        <v>32843736.557277881</v>
      </c>
      <c r="AJ942" s="19">
        <f t="shared" si="274"/>
        <v>3921470.6822663117</v>
      </c>
      <c r="AK942" s="20">
        <f t="shared" si="282"/>
        <v>0.11939782416131177</v>
      </c>
      <c r="AL942" s="17"/>
      <c r="AM942" s="17"/>
      <c r="AN942" s="17"/>
      <c r="AO942" s="17"/>
      <c r="AP942" s="28" t="str">
        <f t="shared" si="283"/>
        <v>20194</v>
      </c>
      <c r="AQ942" s="28" t="str">
        <f t="shared" si="284"/>
        <v>20194RMB</v>
      </c>
      <c r="AR942" s="206" t="str">
        <f t="shared" si="285"/>
        <v>YAMAHA_Mounter</v>
      </c>
      <c r="AS942" s="22">
        <f t="shared" si="286"/>
        <v>3</v>
      </c>
      <c r="AT942" s="24" t="str">
        <f t="shared" si="287"/>
        <v>0-3 months</v>
      </c>
      <c r="AU942" s="22" t="s">
        <v>3744</v>
      </c>
    </row>
    <row r="943" spans="1:47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7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90"/>
        <v>15210000</v>
      </c>
      <c r="AA943" s="13">
        <v>7.3999999999999996E-2</v>
      </c>
      <c r="AB943" s="21">
        <f t="shared" si="288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73"/>
        <v>34015877.71150443</v>
      </c>
      <c r="AJ943" s="19">
        <f t="shared" si="274"/>
        <v>4446292.375441948</v>
      </c>
      <c r="AK943" s="20">
        <f t="shared" si="282"/>
        <v>0.13071226364205143</v>
      </c>
      <c r="AL943" s="17"/>
      <c r="AM943" s="17"/>
      <c r="AN943" s="17"/>
      <c r="AO943" s="17"/>
      <c r="AP943" s="28" t="str">
        <f t="shared" si="283"/>
        <v>20197</v>
      </c>
      <c r="AQ943" s="28" t="str">
        <f t="shared" si="284"/>
        <v>20197JPY</v>
      </c>
      <c r="AR943" s="206" t="str">
        <f t="shared" si="285"/>
        <v>YAMAHA_Mounter</v>
      </c>
      <c r="AS943" s="22">
        <f t="shared" si="286"/>
        <v>2</v>
      </c>
      <c r="AT943" s="24" t="str">
        <f t="shared" si="287"/>
        <v>0-3 months</v>
      </c>
      <c r="AU943" s="22" t="s">
        <v>3745</v>
      </c>
    </row>
    <row r="944" spans="1:47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7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90"/>
        <v>15210000</v>
      </c>
      <c r="AA944" s="13">
        <v>7.3999999999999996E-2</v>
      </c>
      <c r="AB944" s="21">
        <f t="shared" si="288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73"/>
        <v>34015877.71150443</v>
      </c>
      <c r="AJ944" s="19">
        <f t="shared" si="274"/>
        <v>4446292.375441948</v>
      </c>
      <c r="AK944" s="20">
        <f t="shared" si="282"/>
        <v>0.13071226364205143</v>
      </c>
      <c r="AL944" s="17"/>
      <c r="AM944" s="17"/>
      <c r="AN944" s="17"/>
      <c r="AO944" s="17"/>
      <c r="AP944" s="28" t="str">
        <f t="shared" si="283"/>
        <v>20197</v>
      </c>
      <c r="AQ944" s="28" t="str">
        <f t="shared" si="284"/>
        <v>20197JPY</v>
      </c>
      <c r="AR944" s="206" t="str">
        <f t="shared" si="285"/>
        <v>YAMAHA_Mounter</v>
      </c>
      <c r="AS944" s="22">
        <f t="shared" si="286"/>
        <v>2</v>
      </c>
      <c r="AT944" s="24" t="str">
        <f t="shared" si="287"/>
        <v>0-3 months</v>
      </c>
      <c r="AU944" s="22" t="s">
        <v>3745</v>
      </c>
    </row>
    <row r="945" spans="1:47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7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90"/>
        <v>15210000</v>
      </c>
      <c r="AA945" s="13">
        <v>7.3999999999999996E-2</v>
      </c>
      <c r="AB945" s="21">
        <f t="shared" si="288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73"/>
        <v>34015877.71150443</v>
      </c>
      <c r="AJ945" s="19">
        <f t="shared" si="274"/>
        <v>4446292.375441948</v>
      </c>
      <c r="AK945" s="20">
        <f t="shared" si="282"/>
        <v>0.13071226364205143</v>
      </c>
      <c r="AL945" s="17"/>
      <c r="AM945" s="17"/>
      <c r="AN945" s="17"/>
      <c r="AO945" s="17"/>
      <c r="AP945" s="28" t="str">
        <f t="shared" si="283"/>
        <v>20197</v>
      </c>
      <c r="AQ945" s="28" t="str">
        <f t="shared" si="284"/>
        <v>20197JPY</v>
      </c>
      <c r="AR945" s="206" t="str">
        <f t="shared" si="285"/>
        <v>YAMAHA_Mounter</v>
      </c>
      <c r="AS945" s="22">
        <f t="shared" si="286"/>
        <v>2</v>
      </c>
      <c r="AT945" s="24" t="str">
        <f t="shared" si="287"/>
        <v>0-3 months</v>
      </c>
      <c r="AU945" s="22" t="s">
        <v>3745</v>
      </c>
    </row>
    <row r="946" spans="1:47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7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90"/>
        <v>11835000</v>
      </c>
      <c r="AA946" s="13">
        <v>7.3999999999999996E-2</v>
      </c>
      <c r="AB946" s="21">
        <f t="shared" si="288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73"/>
        <v>34015877.71150443</v>
      </c>
      <c r="AJ946" s="19">
        <f t="shared" si="274"/>
        <v>4446292.375441948</v>
      </c>
      <c r="AK946" s="20">
        <f t="shared" si="282"/>
        <v>0.13071226364205143</v>
      </c>
      <c r="AL946" s="17"/>
      <c r="AM946" s="17"/>
      <c r="AN946" s="17"/>
      <c r="AO946" s="17"/>
      <c r="AP946" s="28" t="str">
        <f t="shared" si="283"/>
        <v>20197</v>
      </c>
      <c r="AQ946" s="28" t="str">
        <f t="shared" si="284"/>
        <v>20197JPY</v>
      </c>
      <c r="AR946" s="206" t="str">
        <f t="shared" si="285"/>
        <v>YAMAHA_Mounter</v>
      </c>
      <c r="AS946" s="22">
        <f t="shared" si="286"/>
        <v>2</v>
      </c>
      <c r="AT946" s="24" t="str">
        <f t="shared" si="287"/>
        <v>0-3 months</v>
      </c>
      <c r="AU946" s="22" t="s">
        <v>3745</v>
      </c>
    </row>
    <row r="947" spans="1:47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7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90"/>
        <v>11835000</v>
      </c>
      <c r="AA947" s="13">
        <v>7.3999999999999996E-2</v>
      </c>
      <c r="AB947" s="21">
        <f t="shared" si="288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73"/>
        <v>34015877.71150443</v>
      </c>
      <c r="AJ947" s="19">
        <f t="shared" si="274"/>
        <v>4446292.375441948</v>
      </c>
      <c r="AK947" s="20">
        <f t="shared" si="282"/>
        <v>0.13071226364205143</v>
      </c>
      <c r="AL947" s="17"/>
      <c r="AM947" s="17"/>
      <c r="AN947" s="17"/>
      <c r="AO947" s="17"/>
      <c r="AP947" s="28" t="str">
        <f t="shared" si="283"/>
        <v>20197</v>
      </c>
      <c r="AQ947" s="28" t="str">
        <f t="shared" si="284"/>
        <v>20197JPY</v>
      </c>
      <c r="AR947" s="206" t="str">
        <f t="shared" si="285"/>
        <v>YAMAHA_Mounter</v>
      </c>
      <c r="AS947" s="22">
        <f t="shared" si="286"/>
        <v>2</v>
      </c>
      <c r="AT947" s="24" t="str">
        <f t="shared" si="287"/>
        <v>0-3 months</v>
      </c>
      <c r="AU947" s="22" t="s">
        <v>3745</v>
      </c>
    </row>
    <row r="948" spans="1:47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7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90"/>
        <v>15210000</v>
      </c>
      <c r="AA948" s="13">
        <v>7.3999999999999996E-2</v>
      </c>
      <c r="AB948" s="21">
        <f t="shared" si="288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73"/>
        <v>34015877.71150443</v>
      </c>
      <c r="AJ948" s="19">
        <f t="shared" si="274"/>
        <v>4446292.375441948</v>
      </c>
      <c r="AK948" s="20">
        <f t="shared" si="282"/>
        <v>0.13071226364205143</v>
      </c>
      <c r="AL948" s="17"/>
      <c r="AM948" s="17"/>
      <c r="AN948" s="17"/>
      <c r="AO948" s="17"/>
      <c r="AP948" s="28" t="str">
        <f t="shared" si="283"/>
        <v>20197</v>
      </c>
      <c r="AQ948" s="28" t="str">
        <f t="shared" si="284"/>
        <v>20197JPY</v>
      </c>
      <c r="AR948" s="206" t="str">
        <f t="shared" si="285"/>
        <v>YAMAHA_Mounter</v>
      </c>
      <c r="AS948" s="22">
        <f t="shared" si="286"/>
        <v>2</v>
      </c>
      <c r="AT948" s="24" t="str">
        <f t="shared" si="287"/>
        <v>0-3 months</v>
      </c>
      <c r="AU948" s="22" t="s">
        <v>3745</v>
      </c>
    </row>
    <row r="949" spans="1:47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7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90"/>
        <v>760000</v>
      </c>
      <c r="AA949" s="13">
        <v>1.1950000000000001</v>
      </c>
      <c r="AB949" s="21">
        <f t="shared" si="288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73"/>
        <v>63006605.696460173</v>
      </c>
      <c r="AJ949" s="19">
        <f t="shared" si="274"/>
        <v>8897485.660753984</v>
      </c>
      <c r="AK949" s="20">
        <f t="shared" si="282"/>
        <v>0.141215124388995</v>
      </c>
      <c r="AL949" s="17"/>
      <c r="AM949" s="17"/>
      <c r="AN949" s="17"/>
      <c r="AO949" s="17"/>
      <c r="AP949" s="28" t="str">
        <f t="shared" si="283"/>
        <v>20215</v>
      </c>
      <c r="AQ949" s="28" t="str">
        <f t="shared" si="284"/>
        <v>20215RMB</v>
      </c>
      <c r="AR949" s="206" t="str">
        <f t="shared" si="285"/>
        <v>YAMAHA_Mounter</v>
      </c>
      <c r="AS949" s="22">
        <f t="shared" si="286"/>
        <v>1</v>
      </c>
      <c r="AT949" s="24" t="str">
        <f t="shared" si="287"/>
        <v>0-3 months</v>
      </c>
      <c r="AU949" s="22" t="s">
        <v>3750</v>
      </c>
    </row>
    <row r="950" spans="1:47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7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90"/>
        <v>11530000</v>
      </c>
      <c r="AA950" s="13">
        <v>7.0300000000000001E-2</v>
      </c>
      <c r="AB950" s="21">
        <f t="shared" si="288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73"/>
        <v>13250187.062905986</v>
      </c>
      <c r="AJ950" s="19">
        <f t="shared" si="274"/>
        <v>1545643.7555487182</v>
      </c>
      <c r="AK950" s="20">
        <f t="shared" si="28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3"/>
        <v>20183</v>
      </c>
      <c r="AQ950" s="28" t="str">
        <f t="shared" si="284"/>
        <v>20183JPY</v>
      </c>
      <c r="AR950" s="206" t="str">
        <f t="shared" si="285"/>
        <v>YAMAHA_Mounter</v>
      </c>
      <c r="AS950" s="22">
        <f t="shared" si="286"/>
        <v>4</v>
      </c>
      <c r="AT950" s="24" t="str">
        <f t="shared" si="287"/>
        <v>4-6 months</v>
      </c>
      <c r="AU950" s="22">
        <v>0</v>
      </c>
    </row>
    <row r="951" spans="1:47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7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90"/>
        <v>560000</v>
      </c>
      <c r="AA951" s="13">
        <v>1.1100000000000001</v>
      </c>
      <c r="AB951" s="21">
        <f t="shared" si="288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73"/>
        <v>27318180.088495575</v>
      </c>
      <c r="AJ951" s="19">
        <f t="shared" si="274"/>
        <v>3014099.212353982</v>
      </c>
      <c r="AK951" s="20">
        <f t="shared" si="282"/>
        <v>0.11033308963444827</v>
      </c>
      <c r="AL951" s="17"/>
      <c r="AM951" s="17"/>
      <c r="AN951" s="17"/>
      <c r="AO951" s="17"/>
      <c r="AP951" s="28" t="str">
        <f t="shared" si="283"/>
        <v>201912</v>
      </c>
      <c r="AQ951" s="28" t="str">
        <f t="shared" si="284"/>
        <v>201912RMB</v>
      </c>
      <c r="AR951" s="206" t="str">
        <f t="shared" si="285"/>
        <v>YAMAHA_Mounter</v>
      </c>
      <c r="AS951" s="22">
        <f t="shared" si="286"/>
        <v>1</v>
      </c>
      <c r="AT951" s="24" t="str">
        <f t="shared" si="287"/>
        <v>0-3 months</v>
      </c>
      <c r="AU951" s="22" t="s">
        <v>3743</v>
      </c>
    </row>
    <row r="952" spans="1:47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7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90"/>
        <v>833000</v>
      </c>
      <c r="AA952" s="13">
        <v>1.135</v>
      </c>
      <c r="AB952" s="21">
        <f t="shared" si="288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73"/>
        <v>31296887.037898075</v>
      </c>
      <c r="AJ952" s="19">
        <f t="shared" si="274"/>
        <v>3588873.9502021763</v>
      </c>
      <c r="AK952" s="20">
        <f t="shared" si="282"/>
        <v>0.11467191436184473</v>
      </c>
      <c r="AL952" s="17"/>
      <c r="AM952" s="17"/>
      <c r="AN952" s="17"/>
      <c r="AO952" s="17"/>
      <c r="AP952" s="28" t="str">
        <f t="shared" si="283"/>
        <v>20196</v>
      </c>
      <c r="AQ952" s="28" t="str">
        <f t="shared" si="284"/>
        <v>20196RMB</v>
      </c>
      <c r="AR952" s="206" t="str">
        <f t="shared" si="285"/>
        <v>YAMAHA_Mounter</v>
      </c>
      <c r="AS952" s="22">
        <f t="shared" si="286"/>
        <v>4</v>
      </c>
      <c r="AT952" s="24" t="str">
        <f t="shared" si="287"/>
        <v>4-6 months</v>
      </c>
      <c r="AU952" s="22" t="s">
        <v>3743</v>
      </c>
    </row>
    <row r="953" spans="1:47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7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90"/>
        <v>20900000</v>
      </c>
      <c r="AA953" s="13">
        <v>7.17E-2</v>
      </c>
      <c r="AB953" s="21">
        <f t="shared" si="288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73"/>
        <v>43684091.636631854</v>
      </c>
      <c r="AJ953" s="19">
        <f t="shared" si="274"/>
        <v>6483951.8242071122</v>
      </c>
      <c r="AK953" s="20">
        <f t="shared" si="282"/>
        <v>0.14842821680123736</v>
      </c>
      <c r="AL953" s="17"/>
      <c r="AM953" s="17"/>
      <c r="AN953" s="17"/>
      <c r="AO953" s="17"/>
      <c r="AP953" s="28" t="str">
        <f t="shared" si="283"/>
        <v>20214</v>
      </c>
      <c r="AQ953" s="28" t="str">
        <f t="shared" si="284"/>
        <v>20214JPY</v>
      </c>
      <c r="AR953" s="206" t="str">
        <f t="shared" si="285"/>
        <v>YAMAHA_Mounter</v>
      </c>
      <c r="AS953" s="22">
        <f t="shared" si="286"/>
        <v>2</v>
      </c>
      <c r="AT953" s="24" t="str">
        <f t="shared" si="287"/>
        <v>0-3 months</v>
      </c>
      <c r="AU953" s="22" t="s">
        <v>3240</v>
      </c>
    </row>
    <row r="954" spans="1:47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7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90"/>
        <v>20900000</v>
      </c>
      <c r="AA954" s="13">
        <v>7.17E-2</v>
      </c>
      <c r="AB954" s="21">
        <f t="shared" si="288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73"/>
        <v>43684091.636631854</v>
      </c>
      <c r="AJ954" s="19">
        <f t="shared" si="274"/>
        <v>6483951.8242071122</v>
      </c>
      <c r="AK954" s="20">
        <f t="shared" si="282"/>
        <v>0.14842821680123736</v>
      </c>
      <c r="AL954" s="17"/>
      <c r="AM954" s="17"/>
      <c r="AN954" s="17"/>
      <c r="AO954" s="17"/>
      <c r="AP954" s="28" t="str">
        <f t="shared" si="283"/>
        <v>20214</v>
      </c>
      <c r="AQ954" s="28" t="str">
        <f t="shared" si="284"/>
        <v>20214JPY</v>
      </c>
      <c r="AR954" s="206" t="str">
        <f t="shared" si="285"/>
        <v>YAMAHA_Mounter</v>
      </c>
      <c r="AS954" s="22">
        <f t="shared" si="286"/>
        <v>2</v>
      </c>
      <c r="AT954" s="24" t="str">
        <f t="shared" si="287"/>
        <v>0-3 months</v>
      </c>
      <c r="AU954" s="22" t="s">
        <v>3240</v>
      </c>
    </row>
    <row r="955" spans="1:47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7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90"/>
        <v>9500000</v>
      </c>
      <c r="AA955" s="13">
        <v>7.2300000000000003E-2</v>
      </c>
      <c r="AB955" s="21">
        <f t="shared" si="288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73"/>
        <v>32843736.557277881</v>
      </c>
      <c r="AJ955" s="19">
        <f t="shared" si="274"/>
        <v>3921470.6822663117</v>
      </c>
      <c r="AK955" s="20">
        <f t="shared" si="282"/>
        <v>0.11939782416131177</v>
      </c>
      <c r="AL955" s="17"/>
      <c r="AM955" s="17"/>
      <c r="AN955" s="17"/>
      <c r="AO955" s="17"/>
      <c r="AP955" s="28" t="str">
        <f t="shared" si="283"/>
        <v>20194</v>
      </c>
      <c r="AQ955" s="28" t="str">
        <f t="shared" si="284"/>
        <v>20194JPY</v>
      </c>
      <c r="AR955" s="206" t="str">
        <f t="shared" si="285"/>
        <v>YAMAHA_Mounter</v>
      </c>
      <c r="AS955" s="22">
        <f t="shared" si="286"/>
        <v>0</v>
      </c>
      <c r="AT955" s="24" t="str">
        <f t="shared" si="287"/>
        <v>0-3 months</v>
      </c>
      <c r="AU955" s="22" t="s">
        <v>3744</v>
      </c>
    </row>
    <row r="956" spans="1:47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7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90"/>
        <v>11420000</v>
      </c>
      <c r="AA956" s="13">
        <v>7.6100000000000001E-2</v>
      </c>
      <c r="AB956" s="21">
        <f t="shared" si="288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73"/>
        <v>48763143.537654862</v>
      </c>
      <c r="AJ956" s="19">
        <f t="shared" si="274"/>
        <v>5924029.9702154724</v>
      </c>
      <c r="AK956" s="20">
        <f t="shared" si="282"/>
        <v>0.1214858095774925</v>
      </c>
      <c r="AL956" s="17"/>
      <c r="AM956" s="17"/>
      <c r="AN956" s="17"/>
      <c r="AO956" s="17"/>
      <c r="AP956" s="28" t="str">
        <f t="shared" si="283"/>
        <v>202012</v>
      </c>
      <c r="AQ956" s="28" t="str">
        <f t="shared" si="284"/>
        <v>202012JPY</v>
      </c>
      <c r="AR956" s="206" t="str">
        <f t="shared" si="285"/>
        <v>YAMAHA_Mounter</v>
      </c>
      <c r="AS956" s="22">
        <f t="shared" si="286"/>
        <v>1</v>
      </c>
      <c r="AT956" s="24" t="str">
        <f t="shared" si="287"/>
        <v>0-3 months</v>
      </c>
      <c r="AU956" s="22" t="s">
        <v>3744</v>
      </c>
    </row>
    <row r="957" spans="1:47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7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90"/>
        <v>13000000</v>
      </c>
      <c r="AA957" s="13">
        <v>5.9799999999999999E-2</v>
      </c>
      <c r="AB957" s="21">
        <f t="shared" si="288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73"/>
        <v>28177779.013274338</v>
      </c>
      <c r="AJ957" s="19">
        <f t="shared" si="274"/>
        <v>4727216.6376190251</v>
      </c>
      <c r="AK957" s="20">
        <f t="shared" si="282"/>
        <v>0.1677639900359808</v>
      </c>
      <c r="AL957" s="17"/>
      <c r="AM957" s="17"/>
      <c r="AN957" s="17"/>
      <c r="AO957" s="17"/>
      <c r="AP957" s="28" t="str">
        <f t="shared" si="283"/>
        <v>20235</v>
      </c>
      <c r="AQ957" s="28" t="str">
        <f t="shared" si="284"/>
        <v>20235JPY</v>
      </c>
      <c r="AR957" s="206" t="str">
        <f t="shared" si="285"/>
        <v>YAMAHA_Mounter</v>
      </c>
      <c r="AS957" s="22">
        <f t="shared" si="286"/>
        <v>20</v>
      </c>
      <c r="AT957" s="24" t="str">
        <f t="shared" si="287"/>
        <v>&gt; 6 months</v>
      </c>
      <c r="AU957" s="22" t="s">
        <v>3240</v>
      </c>
    </row>
    <row r="958" spans="1:47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7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90"/>
        <v>12460000</v>
      </c>
      <c r="AA958" s="13">
        <v>5.9799999999999999E-2</v>
      </c>
      <c r="AB958" s="21">
        <f t="shared" si="288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73"/>
        <v>28177779.013274338</v>
      </c>
      <c r="AJ958" s="19">
        <f t="shared" si="274"/>
        <v>4727216.6376190251</v>
      </c>
      <c r="AK958" s="20">
        <f t="shared" si="282"/>
        <v>0.1677639900359808</v>
      </c>
      <c r="AL958" s="17"/>
      <c r="AM958" s="17"/>
      <c r="AN958" s="17"/>
      <c r="AO958" s="17"/>
      <c r="AP958" s="28" t="str">
        <f t="shared" si="283"/>
        <v>20235</v>
      </c>
      <c r="AQ958" s="28" t="str">
        <f t="shared" si="284"/>
        <v>20235JPY</v>
      </c>
      <c r="AR958" s="206" t="str">
        <f t="shared" si="285"/>
        <v>YAMAHA_Mounter</v>
      </c>
      <c r="AS958" s="22">
        <f t="shared" si="286"/>
        <v>20</v>
      </c>
      <c r="AT958" s="24" t="str">
        <f t="shared" si="287"/>
        <v>&gt; 6 months</v>
      </c>
      <c r="AU958" s="22" t="s">
        <v>3240</v>
      </c>
    </row>
    <row r="959" spans="1:47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7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90"/>
        <v>9611403</v>
      </c>
      <c r="AA959" s="13">
        <v>7.3400000000000007E-2</v>
      </c>
      <c r="AB959" s="21">
        <f t="shared" si="288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73"/>
        <v>34109166.105589926</v>
      </c>
      <c r="AJ959" s="19">
        <f t="shared" si="274"/>
        <v>4642032.7199573703</v>
      </c>
      <c r="AK959" s="20">
        <f t="shared" si="282"/>
        <v>0.13609340977692849</v>
      </c>
      <c r="AL959" s="17"/>
      <c r="AM959" s="17"/>
      <c r="AN959" s="17"/>
      <c r="AO959" s="17"/>
      <c r="AP959" s="28" t="str">
        <f t="shared" si="283"/>
        <v>20185</v>
      </c>
      <c r="AQ959" s="28" t="str">
        <f t="shared" si="284"/>
        <v>20185JPY</v>
      </c>
      <c r="AR959" s="206" t="str">
        <f t="shared" si="285"/>
        <v>YAMAHA_Mounter</v>
      </c>
      <c r="AS959" s="22">
        <f t="shared" si="286"/>
        <v>1</v>
      </c>
      <c r="AT959" s="24" t="str">
        <f t="shared" si="287"/>
        <v>0-3 months</v>
      </c>
      <c r="AU959" s="22" t="s">
        <v>3744</v>
      </c>
    </row>
    <row r="960" spans="1:47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7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90"/>
        <v>1664000</v>
      </c>
      <c r="AA960" s="13">
        <v>1.1100000000000001</v>
      </c>
      <c r="AB960" s="21">
        <f t="shared" si="288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73"/>
        <v>27318180.088495575</v>
      </c>
      <c r="AJ960" s="19">
        <f t="shared" si="274"/>
        <v>3014099.212353982</v>
      </c>
      <c r="AK960" s="20">
        <f t="shared" si="282"/>
        <v>0.11033308963444827</v>
      </c>
      <c r="AL960" s="17"/>
      <c r="AM960" s="17"/>
      <c r="AN960" s="17"/>
      <c r="AO960" s="17"/>
      <c r="AP960" s="28" t="str">
        <f t="shared" si="283"/>
        <v>201912</v>
      </c>
      <c r="AQ960" s="28" t="str">
        <f t="shared" si="284"/>
        <v>201912RMB</v>
      </c>
      <c r="AR960" s="206" t="str">
        <f t="shared" si="285"/>
        <v>YAMAHA_Mounter</v>
      </c>
      <c r="AS960" s="22">
        <f t="shared" si="286"/>
        <v>1</v>
      </c>
      <c r="AT960" s="24" t="str">
        <f t="shared" si="287"/>
        <v>0-3 months</v>
      </c>
      <c r="AU960" s="22" t="s">
        <v>3750</v>
      </c>
    </row>
    <row r="961" spans="1:47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7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90"/>
        <v>19000000</v>
      </c>
      <c r="AA961" s="13">
        <v>7.4300000000000005E-2</v>
      </c>
      <c r="AB961" s="21">
        <f t="shared" si="288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73"/>
        <v>28065694.408805311</v>
      </c>
      <c r="AJ961" s="19">
        <f t="shared" si="274"/>
        <v>4157433.2906989697</v>
      </c>
      <c r="AK961" s="20">
        <f t="shared" si="282"/>
        <v>0.14813220831602228</v>
      </c>
      <c r="AL961" s="17"/>
      <c r="AM961" s="17"/>
      <c r="AN961" s="17"/>
      <c r="AO961" s="17"/>
      <c r="AP961" s="28" t="str">
        <f t="shared" si="283"/>
        <v>20205</v>
      </c>
      <c r="AQ961" s="28" t="str">
        <f t="shared" si="284"/>
        <v>20205JPY</v>
      </c>
      <c r="AR961" s="206" t="str">
        <f t="shared" si="285"/>
        <v>YAMAHA_Mounter</v>
      </c>
      <c r="AS961" s="22">
        <f t="shared" si="286"/>
        <v>2</v>
      </c>
      <c r="AT961" s="24" t="str">
        <f t="shared" si="287"/>
        <v>0-3 months</v>
      </c>
      <c r="AU961" s="22" t="s">
        <v>3744</v>
      </c>
    </row>
    <row r="962" spans="1:47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7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90"/>
        <v>480000</v>
      </c>
      <c r="AA962" s="13">
        <v>1.163</v>
      </c>
      <c r="AB962" s="21">
        <f t="shared" si="288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ref="AI962:AI1025" si="291">IF(P962="C66 SERVICE","",SUMIFS(AB:AB,F:F,F962,G:G,G962,E:E,E962))</f>
        <v>35073581.838938057</v>
      </c>
      <c r="AJ962" s="19">
        <f t="shared" ref="AJ962:AJ1025" si="292">IF(P962="C66 SERVICE","",SUMIFS(AC:AC,F:F,F962,G:G,G962,E:E,E962))</f>
        <v>5034113.9728989396</v>
      </c>
      <c r="AK962" s="20">
        <f t="shared" si="282"/>
        <v>0.14353007902118958</v>
      </c>
      <c r="AL962" s="17"/>
      <c r="AM962" s="17"/>
      <c r="AN962" s="17"/>
      <c r="AO962" s="17"/>
      <c r="AP962" s="28" t="str">
        <f t="shared" si="283"/>
        <v>20228</v>
      </c>
      <c r="AQ962" s="28" t="str">
        <f t="shared" si="284"/>
        <v>20228RMB</v>
      </c>
      <c r="AR962" s="206" t="str">
        <f t="shared" si="285"/>
        <v>YAMAHA_Mounter</v>
      </c>
      <c r="AS962" s="22">
        <f t="shared" si="286"/>
        <v>0</v>
      </c>
      <c r="AT962" s="24" t="str">
        <f t="shared" si="287"/>
        <v>0-3 months</v>
      </c>
      <c r="AU962" s="22" t="s">
        <v>3750</v>
      </c>
    </row>
    <row r="963" spans="1:47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7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90"/>
        <v>1000000</v>
      </c>
      <c r="AA963" s="13">
        <v>1.1299999999999999</v>
      </c>
      <c r="AB963" s="21">
        <f t="shared" si="288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91"/>
        <v>33543315.897345133</v>
      </c>
      <c r="AJ963" s="19">
        <f t="shared" si="292"/>
        <v>4706169.3252984071</v>
      </c>
      <c r="AK963" s="20">
        <f t="shared" si="282"/>
        <v>0.14030125523967318</v>
      </c>
      <c r="AL963" s="17"/>
      <c r="AM963" s="17"/>
      <c r="AN963" s="17"/>
      <c r="AO963" s="17"/>
      <c r="AP963" s="28" t="str">
        <f t="shared" si="283"/>
        <v>20233</v>
      </c>
      <c r="AQ963" s="28" t="str">
        <f t="shared" si="284"/>
        <v>20233RMB</v>
      </c>
      <c r="AR963" s="206" t="str">
        <f t="shared" si="285"/>
        <v>YAMAHA_Mounter</v>
      </c>
      <c r="AS963" s="22">
        <f t="shared" si="286"/>
        <v>0</v>
      </c>
      <c r="AT963" s="24" t="str">
        <f t="shared" si="287"/>
        <v>0-3 months</v>
      </c>
      <c r="AU963" s="22" t="s">
        <v>3240</v>
      </c>
    </row>
    <row r="964" spans="1:47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7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90"/>
        <v>520000</v>
      </c>
      <c r="AA964" s="13">
        <v>1.1000000000000001</v>
      </c>
      <c r="AB964" s="21">
        <f t="shared" si="288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91"/>
        <v>22717528.991150443</v>
      </c>
      <c r="AJ964" s="19">
        <f t="shared" si="292"/>
        <v>3947747.192555753</v>
      </c>
      <c r="AK964" s="20">
        <f t="shared" si="282"/>
        <v>0.1737753782153679</v>
      </c>
      <c r="AL964" s="17"/>
      <c r="AM964" s="17"/>
      <c r="AN964" s="17"/>
      <c r="AO964" s="17"/>
      <c r="AP964" s="28" t="str">
        <f t="shared" si="283"/>
        <v>202210</v>
      </c>
      <c r="AQ964" s="28" t="str">
        <f t="shared" si="284"/>
        <v>202210RMB</v>
      </c>
      <c r="AR964" s="206" t="str">
        <f t="shared" si="285"/>
        <v>YAMAHA_Non_Mounter</v>
      </c>
      <c r="AS964" s="22">
        <f t="shared" si="286"/>
        <v>2</v>
      </c>
      <c r="AT964" s="24" t="str">
        <f t="shared" si="287"/>
        <v>0-3 months</v>
      </c>
      <c r="AU964" s="22" t="s">
        <v>3750</v>
      </c>
    </row>
    <row r="965" spans="1:47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7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90"/>
        <v>840000</v>
      </c>
      <c r="AA965" s="13">
        <v>1.1499999999999999</v>
      </c>
      <c r="AB965" s="21">
        <f t="shared" si="288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91"/>
        <v>16455710.386637932</v>
      </c>
      <c r="AJ965" s="19">
        <f t="shared" si="292"/>
        <v>2150644.6466930606</v>
      </c>
      <c r="AK965" s="20">
        <f t="shared" si="282"/>
        <v>0.13069290818580451</v>
      </c>
      <c r="AL965" s="17"/>
      <c r="AM965" s="17"/>
      <c r="AN965" s="17"/>
      <c r="AO965" s="17"/>
      <c r="AP965" s="28" t="str">
        <f t="shared" si="283"/>
        <v>20192</v>
      </c>
      <c r="AQ965" s="28" t="str">
        <f t="shared" si="284"/>
        <v>20192RMB</v>
      </c>
      <c r="AR965" s="206" t="str">
        <f t="shared" si="285"/>
        <v>YAMAHA_Mounter</v>
      </c>
      <c r="AS965" s="22">
        <f t="shared" si="286"/>
        <v>1</v>
      </c>
      <c r="AT965" s="24" t="str">
        <f t="shared" si="287"/>
        <v>0-3 months</v>
      </c>
      <c r="AU965" s="22" t="s">
        <v>3743</v>
      </c>
    </row>
    <row r="966" spans="1:47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90"/>
        <v>29391000</v>
      </c>
      <c r="AA966" s="13">
        <v>7.3499999999999996E-2</v>
      </c>
      <c r="AB966" s="21">
        <f t="shared" si="288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si="291"/>
        <v>16455710.386637932</v>
      </c>
      <c r="AJ966" s="19">
        <f t="shared" si="292"/>
        <v>2150644.6466930606</v>
      </c>
      <c r="AK966" s="20">
        <f t="shared" ref="AK966:AK1029" si="299">IF(AJ966&gt;0,AJ966/AI966,"")</f>
        <v>0.13069290818580451</v>
      </c>
      <c r="AL966" s="17"/>
      <c r="AM966" s="17"/>
      <c r="AN966" s="17"/>
      <c r="AO966" s="17"/>
      <c r="AP966" s="28" t="str">
        <f t="shared" ref="AP966:AP1029" si="300">IF(F966="","",F966&amp;G966)</f>
        <v>20192</v>
      </c>
      <c r="AQ966" s="28" t="str">
        <f t="shared" ref="AQ966:AQ1029" si="301">IF(W966="","",F966&amp;G966&amp;W966)</f>
        <v>20192JPY</v>
      </c>
      <c r="AR966" s="206" t="str">
        <f t="shared" ref="AR966:AR1029" si="302">IFERROR(IF(AND(M966="YAMAHA", R966="C28"), "YAMAHA_Non_Mounter", IF(AND(M966="YAMAHA", R966="C49"), "YAMAHA_Mounter", M966)),"")</f>
        <v>YAMAHA_Mounter</v>
      </c>
      <c r="AS966" s="22">
        <f t="shared" ref="AS966:AS1029" si="303">IFERROR(IF(OR(G966="TBA", G966=""), "", DATEDIF(DATE(B966, C966, 1), DATE(F966, G966, 1), "M")),"")</f>
        <v>6</v>
      </c>
      <c r="AT966" s="24" t="str">
        <f t="shared" ref="AT966:AT1029" si="304">IF(ISNUMBER(AS966), IF(AS966&gt;=0, IF(AS966&lt;=3, "0-3 months", IF(AS966&lt;=6, "4-6 months", "&gt; 6 months"))), "")</f>
        <v>4-6 months</v>
      </c>
      <c r="AU966" s="22" t="s">
        <v>3744</v>
      </c>
    </row>
    <row r="967" spans="1:47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96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90"/>
        <v>550000</v>
      </c>
      <c r="AA967" s="13">
        <v>1.23</v>
      </c>
      <c r="AB967" s="21">
        <f t="shared" si="288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1"/>
        <v>34109166.105589926</v>
      </c>
      <c r="AJ967" s="19">
        <f t="shared" si="292"/>
        <v>4642032.7199573703</v>
      </c>
      <c r="AK967" s="20">
        <f t="shared" si="299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300"/>
        <v>20185</v>
      </c>
      <c r="AQ967" s="28" t="str">
        <f t="shared" si="301"/>
        <v>20185RMB</v>
      </c>
      <c r="AR967" s="206" t="str">
        <f t="shared" si="302"/>
        <v>YAMAHA_Mounter</v>
      </c>
      <c r="AS967" s="22">
        <f t="shared" si="303"/>
        <v>1</v>
      </c>
      <c r="AT967" s="24" t="str">
        <f t="shared" si="304"/>
        <v>0-3 months</v>
      </c>
      <c r="AU967" s="22" t="s">
        <v>3240</v>
      </c>
    </row>
    <row r="968" spans="1:47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96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90"/>
        <v>606000</v>
      </c>
      <c r="AA968" s="13">
        <v>1.23</v>
      </c>
      <c r="AB968" s="21">
        <f t="shared" si="288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1"/>
        <v>24398045.86045352</v>
      </c>
      <c r="AJ968" s="19">
        <f t="shared" si="292"/>
        <v>3478417.4064663448</v>
      </c>
      <c r="AK968" s="20">
        <f t="shared" si="299"/>
        <v>0.14256950849102498</v>
      </c>
      <c r="AL968" s="17"/>
      <c r="AM968" s="17"/>
      <c r="AN968" s="17"/>
      <c r="AO968" s="17" t="s">
        <v>482</v>
      </c>
      <c r="AP968" s="28" t="str">
        <f t="shared" si="300"/>
        <v>20186</v>
      </c>
      <c r="AQ968" s="28" t="str">
        <f t="shared" si="301"/>
        <v>20186RMB</v>
      </c>
      <c r="AR968" s="206" t="str">
        <f t="shared" si="302"/>
        <v>YAMAHA_Mounter</v>
      </c>
      <c r="AS968" s="22">
        <f t="shared" si="303"/>
        <v>1</v>
      </c>
      <c r="AT968" s="24" t="str">
        <f t="shared" si="304"/>
        <v>0-3 months</v>
      </c>
      <c r="AU968" s="22" t="s">
        <v>3240</v>
      </c>
    </row>
    <row r="969" spans="1:47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96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90"/>
        <v>950000</v>
      </c>
      <c r="AA969" s="13">
        <v>1.08</v>
      </c>
      <c r="AB969" s="21">
        <f t="shared" si="288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1"/>
        <v>31017966.201968137</v>
      </c>
      <c r="AJ969" s="19">
        <f t="shared" si="292"/>
        <v>4704250.3347305888</v>
      </c>
      <c r="AK969" s="20">
        <f t="shared" si="299"/>
        <v>0.15166211427595458</v>
      </c>
      <c r="AL969" s="17"/>
      <c r="AM969" s="17"/>
      <c r="AN969" s="17"/>
      <c r="AO969" s="17"/>
      <c r="AP969" s="28" t="str">
        <f t="shared" si="300"/>
        <v>202211</v>
      </c>
      <c r="AQ969" s="28" t="str">
        <f t="shared" si="301"/>
        <v>202211RMB</v>
      </c>
      <c r="AR969" s="206" t="str">
        <f t="shared" si="302"/>
        <v>YAMAHA_Mounter</v>
      </c>
      <c r="AS969" s="22">
        <f t="shared" si="303"/>
        <v>1</v>
      </c>
      <c r="AT969" s="24" t="str">
        <f t="shared" si="304"/>
        <v>0-3 months</v>
      </c>
      <c r="AU969" s="22" t="s">
        <v>3240</v>
      </c>
    </row>
    <row r="970" spans="1:47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96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90"/>
        <v>8646865</v>
      </c>
      <c r="AA970" s="13">
        <v>7.4099999999999999E-2</v>
      </c>
      <c r="AB970" s="21">
        <f t="shared" si="288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1"/>
        <v>28647263.974455759</v>
      </c>
      <c r="AJ970" s="19">
        <f t="shared" si="292"/>
        <v>3219855.6912513468</v>
      </c>
      <c r="AK970" s="20">
        <f t="shared" si="299"/>
        <v>0.11239662168514358</v>
      </c>
      <c r="AL970" s="17"/>
      <c r="AM970" s="17"/>
      <c r="AN970" s="17"/>
      <c r="AO970" s="17"/>
      <c r="AP970" s="28" t="str">
        <f t="shared" si="300"/>
        <v>201910</v>
      </c>
      <c r="AQ970" s="28" t="str">
        <f t="shared" si="301"/>
        <v>201910JPY</v>
      </c>
      <c r="AR970" s="206" t="str">
        <f t="shared" si="302"/>
        <v>YAMAHA_Mounter</v>
      </c>
      <c r="AS970" s="22">
        <f t="shared" si="303"/>
        <v>0</v>
      </c>
      <c r="AT970" s="24" t="str">
        <f t="shared" si="304"/>
        <v>0-3 months</v>
      </c>
      <c r="AU970" s="22" t="s">
        <v>3745</v>
      </c>
    </row>
    <row r="971" spans="1:47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96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90"/>
        <v>8646865</v>
      </c>
      <c r="AA971" s="13">
        <v>7.4099999999999999E-2</v>
      </c>
      <c r="AB971" s="21">
        <f t="shared" si="288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1"/>
        <v>28647263.974455759</v>
      </c>
      <c r="AJ971" s="19">
        <f t="shared" si="292"/>
        <v>3219855.6912513468</v>
      </c>
      <c r="AK971" s="20">
        <f t="shared" si="299"/>
        <v>0.11239662168514358</v>
      </c>
      <c r="AL971" s="17"/>
      <c r="AM971" s="17"/>
      <c r="AN971" s="17"/>
      <c r="AO971" s="17"/>
      <c r="AP971" s="28" t="str">
        <f t="shared" si="300"/>
        <v>201910</v>
      </c>
      <c r="AQ971" s="28" t="str">
        <f t="shared" si="301"/>
        <v>201910JPY</v>
      </c>
      <c r="AR971" s="206" t="str">
        <f t="shared" si="302"/>
        <v>YAMAHA_Mounter</v>
      </c>
      <c r="AS971" s="22">
        <f t="shared" si="303"/>
        <v>0</v>
      </c>
      <c r="AT971" s="24" t="str">
        <f t="shared" si="304"/>
        <v>0-3 months</v>
      </c>
      <c r="AU971" s="22" t="s">
        <v>3745</v>
      </c>
    </row>
    <row r="972" spans="1:47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96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90"/>
        <v>8646865</v>
      </c>
      <c r="AA972" s="13">
        <v>7.4099999999999999E-2</v>
      </c>
      <c r="AB972" s="21">
        <f t="shared" si="288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1"/>
        <v>28647263.974455759</v>
      </c>
      <c r="AJ972" s="19">
        <f t="shared" si="292"/>
        <v>3219855.6912513468</v>
      </c>
      <c r="AK972" s="20">
        <f t="shared" si="299"/>
        <v>0.11239662168514358</v>
      </c>
      <c r="AL972" s="17"/>
      <c r="AM972" s="17"/>
      <c r="AN972" s="17"/>
      <c r="AO972" s="17"/>
      <c r="AP972" s="28" t="str">
        <f t="shared" si="300"/>
        <v>201910</v>
      </c>
      <c r="AQ972" s="28" t="str">
        <f t="shared" si="301"/>
        <v>201910JPY</v>
      </c>
      <c r="AR972" s="206" t="str">
        <f t="shared" si="302"/>
        <v>YAMAHA_Mounter</v>
      </c>
      <c r="AS972" s="22">
        <f t="shared" si="303"/>
        <v>0</v>
      </c>
      <c r="AT972" s="24" t="str">
        <f t="shared" si="304"/>
        <v>0-3 months</v>
      </c>
      <c r="AU972" s="22" t="s">
        <v>3745</v>
      </c>
    </row>
    <row r="973" spans="1:47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96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90"/>
        <v>11000000</v>
      </c>
      <c r="AA973" s="13">
        <v>7.3400000000000007E-2</v>
      </c>
      <c r="AB973" s="21">
        <f t="shared" si="288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1"/>
        <v>29183109.05575221</v>
      </c>
      <c r="AJ973" s="19">
        <f t="shared" si="292"/>
        <v>3741266.5648721238</v>
      </c>
      <c r="AK973" s="20">
        <f t="shared" si="299"/>
        <v>0.12819972531798121</v>
      </c>
      <c r="AL973" s="17"/>
      <c r="AM973" s="17"/>
      <c r="AN973" s="17"/>
      <c r="AO973" s="17"/>
      <c r="AP973" s="28" t="str">
        <f t="shared" si="300"/>
        <v>20206</v>
      </c>
      <c r="AQ973" s="28" t="str">
        <f t="shared" si="301"/>
        <v>20206JPY</v>
      </c>
      <c r="AR973" s="206" t="str">
        <f t="shared" si="302"/>
        <v>YAMAHA_Mounter</v>
      </c>
      <c r="AS973" s="22">
        <f t="shared" si="303"/>
        <v>2</v>
      </c>
      <c r="AT973" s="24" t="str">
        <f t="shared" si="304"/>
        <v>0-3 months</v>
      </c>
      <c r="AU973" s="22" t="s">
        <v>3744</v>
      </c>
    </row>
    <row r="974" spans="1:47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96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90"/>
        <v>6400000</v>
      </c>
      <c r="AA974" s="13">
        <v>7.4499999999999997E-2</v>
      </c>
      <c r="AB974" s="21">
        <f t="shared" si="288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1"/>
        <v>57778307.282035396</v>
      </c>
      <c r="AJ974" s="19">
        <f t="shared" si="292"/>
        <v>7259860.7225420559</v>
      </c>
      <c r="AK974" s="20">
        <f t="shared" si="299"/>
        <v>0.12565028406083667</v>
      </c>
      <c r="AL974" s="17"/>
      <c r="AM974" s="17"/>
      <c r="AN974" s="17"/>
      <c r="AO974" s="17"/>
      <c r="AP974" s="28" t="str">
        <f t="shared" si="300"/>
        <v>20213</v>
      </c>
      <c r="AQ974" s="28" t="str">
        <f t="shared" si="301"/>
        <v>20213JPY</v>
      </c>
      <c r="AR974" s="206" t="str">
        <f t="shared" si="302"/>
        <v>YAMAHA_Mounter</v>
      </c>
      <c r="AS974" s="22">
        <f t="shared" si="303"/>
        <v>8</v>
      </c>
      <c r="AT974" s="24" t="str">
        <f t="shared" si="304"/>
        <v>&gt; 6 months</v>
      </c>
      <c r="AU974" s="22" t="s">
        <v>3240</v>
      </c>
    </row>
    <row r="975" spans="1:47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96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90"/>
        <v>14800000</v>
      </c>
      <c r="AA975" s="13">
        <v>7.0000000000000007E-2</v>
      </c>
      <c r="AB975" s="21">
        <f t="shared" si="288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1"/>
        <v>29500529.005044252</v>
      </c>
      <c r="AJ975" s="19">
        <f t="shared" si="292"/>
        <v>3253064.846231177</v>
      </c>
      <c r="AK975" s="20">
        <f t="shared" si="299"/>
        <v>0.11027140718984871</v>
      </c>
      <c r="AL975" s="17"/>
      <c r="AM975" s="17"/>
      <c r="AN975" s="17"/>
      <c r="AO975" s="17"/>
      <c r="AP975" s="28" t="str">
        <f t="shared" si="300"/>
        <v>202111</v>
      </c>
      <c r="AQ975" s="28" t="str">
        <f t="shared" si="301"/>
        <v>202111JPY</v>
      </c>
      <c r="AR975" s="206" t="str">
        <f t="shared" si="302"/>
        <v>YAMAHA_Mounter</v>
      </c>
      <c r="AS975" s="22">
        <f t="shared" si="303"/>
        <v>6</v>
      </c>
      <c r="AT975" s="24" t="str">
        <f t="shared" si="304"/>
        <v>4-6 months</v>
      </c>
      <c r="AU975" s="22" t="s">
        <v>3744</v>
      </c>
    </row>
    <row r="976" spans="1:47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96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90"/>
        <v>9600000</v>
      </c>
      <c r="AA976" s="13">
        <v>5.8700000000000002E-2</v>
      </c>
      <c r="AB976" s="21">
        <f t="shared" si="288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1"/>
        <v>36480247.665929198</v>
      </c>
      <c r="AJ976" s="19">
        <f t="shared" si="292"/>
        <v>5330996.6372757526</v>
      </c>
      <c r="AK976" s="20">
        <f t="shared" si="299"/>
        <v>0.14613378412599562</v>
      </c>
      <c r="AL976" s="17"/>
      <c r="AM976" s="17"/>
      <c r="AN976" s="17"/>
      <c r="AO976" s="17"/>
      <c r="AP976" s="28" t="str">
        <f t="shared" si="300"/>
        <v>20227</v>
      </c>
      <c r="AQ976" s="28" t="str">
        <f t="shared" si="301"/>
        <v>20227JPY</v>
      </c>
      <c r="AR976" s="206" t="str">
        <f t="shared" si="302"/>
        <v>YAMAHA_Mounter</v>
      </c>
      <c r="AS976" s="22">
        <f t="shared" si="303"/>
        <v>5</v>
      </c>
      <c r="AT976" s="24" t="str">
        <f t="shared" si="304"/>
        <v>4-6 months</v>
      </c>
      <c r="AU976" s="22" t="s">
        <v>3240</v>
      </c>
    </row>
    <row r="977" spans="1:47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96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90"/>
        <v>505000</v>
      </c>
      <c r="AA977" s="13">
        <v>1.2150000000000001</v>
      </c>
      <c r="AB977" s="21">
        <f t="shared" si="288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1"/>
        <v>25380121.402654871</v>
      </c>
      <c r="AJ977" s="19">
        <f t="shared" si="292"/>
        <v>3850343.1237796471</v>
      </c>
      <c r="AK977" s="20">
        <f t="shared" si="299"/>
        <v>0.1517070412191521</v>
      </c>
      <c r="AL977" s="17"/>
      <c r="AM977" s="17"/>
      <c r="AN977" s="17"/>
      <c r="AO977" s="17"/>
      <c r="AP977" s="28" t="str">
        <f t="shared" si="300"/>
        <v>202112</v>
      </c>
      <c r="AQ977" s="28" t="str">
        <f t="shared" si="301"/>
        <v>202112RMB</v>
      </c>
      <c r="AR977" s="206" t="str">
        <f t="shared" si="302"/>
        <v>YAMAHA_Mounter</v>
      </c>
      <c r="AS977" s="22">
        <f t="shared" si="303"/>
        <v>5</v>
      </c>
      <c r="AT977" s="24" t="str">
        <f t="shared" si="304"/>
        <v>4-6 months</v>
      </c>
      <c r="AU977" s="22" t="s">
        <v>3240</v>
      </c>
    </row>
    <row r="978" spans="1:47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95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96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90"/>
        <v>505000</v>
      </c>
      <c r="AA978" s="13">
        <v>1.175</v>
      </c>
      <c r="AB978" s="21">
        <f t="shared" si="288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1"/>
        <v>499582152.5142017</v>
      </c>
      <c r="AJ978" s="19">
        <f t="shared" si="292"/>
        <v>59520528.679470733</v>
      </c>
      <c r="AK978" s="20">
        <f t="shared" si="299"/>
        <v>0.11914062257814291</v>
      </c>
      <c r="AL978" s="17" t="s">
        <v>2104</v>
      </c>
      <c r="AM978" s="17"/>
      <c r="AN978" s="17"/>
      <c r="AO978" s="17"/>
      <c r="AP978" s="28" t="str">
        <f t="shared" si="300"/>
        <v>CancelCancel</v>
      </c>
      <c r="AQ978" s="28" t="str">
        <f t="shared" si="301"/>
        <v>CancelCancelRMB</v>
      </c>
      <c r="AR978" s="206" t="str">
        <f t="shared" si="302"/>
        <v>YAMAHA_Mounter</v>
      </c>
      <c r="AS978" s="22" t="str">
        <f t="shared" si="303"/>
        <v/>
      </c>
      <c r="AT978" s="24" t="str">
        <f t="shared" si="304"/>
        <v/>
      </c>
      <c r="AU978" s="22" t="s">
        <v>3240</v>
      </c>
    </row>
    <row r="979" spans="1:47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96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90"/>
        <v>207400</v>
      </c>
      <c r="AA979" s="13">
        <v>1.105</v>
      </c>
      <c r="AB979" s="21">
        <f t="shared" si="288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1"/>
        <v>37969334.083628319</v>
      </c>
      <c r="AJ979" s="19">
        <f t="shared" si="292"/>
        <v>5097226.4551657084</v>
      </c>
      <c r="AK979" s="20">
        <f t="shared" si="299"/>
        <v>0.13424587441904964</v>
      </c>
      <c r="AL979" s="17"/>
      <c r="AM979" s="17"/>
      <c r="AN979" s="17"/>
      <c r="AO979" s="17"/>
      <c r="AP979" s="28" t="str">
        <f t="shared" si="300"/>
        <v>20208</v>
      </c>
      <c r="AQ979" s="28" t="str">
        <f t="shared" si="301"/>
        <v>20208RMB</v>
      </c>
      <c r="AR979" s="206" t="str">
        <f t="shared" si="302"/>
        <v>YAMAHA_Mounter</v>
      </c>
      <c r="AS979" s="22">
        <f t="shared" si="303"/>
        <v>0</v>
      </c>
      <c r="AT979" s="24" t="str">
        <f t="shared" si="304"/>
        <v>0-3 months</v>
      </c>
      <c r="AU979" s="22" t="s">
        <v>3240</v>
      </c>
    </row>
    <row r="980" spans="1:47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96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90"/>
        <v>951000</v>
      </c>
      <c r="AA980" s="13">
        <v>1.1100000000000001</v>
      </c>
      <c r="AB980" s="21">
        <f t="shared" si="288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1"/>
        <v>27318180.088495575</v>
      </c>
      <c r="AJ980" s="19">
        <f t="shared" si="292"/>
        <v>3014099.212353982</v>
      </c>
      <c r="AK980" s="20">
        <f t="shared" si="299"/>
        <v>0.11033308963444827</v>
      </c>
      <c r="AL980" s="17"/>
      <c r="AM980" s="17"/>
      <c r="AN980" s="17"/>
      <c r="AO980" s="17"/>
      <c r="AP980" s="28" t="str">
        <f t="shared" si="300"/>
        <v>201912</v>
      </c>
      <c r="AQ980" s="28" t="str">
        <f t="shared" si="301"/>
        <v>201912RMB</v>
      </c>
      <c r="AR980" s="206" t="str">
        <f t="shared" si="302"/>
        <v>YAMAHA_Mounter</v>
      </c>
      <c r="AS980" s="22">
        <f t="shared" si="303"/>
        <v>0</v>
      </c>
      <c r="AT980" s="24" t="str">
        <f t="shared" si="304"/>
        <v>0-3 months</v>
      </c>
      <c r="AU980" s="22" t="s">
        <v>3240</v>
      </c>
    </row>
    <row r="981" spans="1:47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96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90"/>
        <v>650000</v>
      </c>
      <c r="AA981" s="13">
        <v>1.095</v>
      </c>
      <c r="AB981" s="21">
        <f t="shared" si="288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1"/>
        <v>35384300.169380538</v>
      </c>
      <c r="AJ981" s="19">
        <f t="shared" si="292"/>
        <v>5044538.8896988509</v>
      </c>
      <c r="AK981" s="20">
        <f t="shared" si="299"/>
        <v>0.14256432557804533</v>
      </c>
      <c r="AL981" s="17"/>
      <c r="AM981" s="17"/>
      <c r="AN981" s="17"/>
      <c r="AO981" s="17"/>
      <c r="AP981" s="28" t="str">
        <f t="shared" si="300"/>
        <v>20207</v>
      </c>
      <c r="AQ981" s="28" t="str">
        <f t="shared" si="301"/>
        <v>20207RMB</v>
      </c>
      <c r="AR981" s="206" t="str">
        <f t="shared" si="302"/>
        <v>YAMAHA_Mounter</v>
      </c>
      <c r="AS981" s="22">
        <f t="shared" si="303"/>
        <v>1</v>
      </c>
      <c r="AT981" s="24" t="str">
        <f t="shared" si="304"/>
        <v>0-3 months</v>
      </c>
      <c r="AU981" s="22" t="s">
        <v>3240</v>
      </c>
    </row>
    <row r="982" spans="1:47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96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90"/>
        <v>530000</v>
      </c>
      <c r="AA982" s="13">
        <v>1.155</v>
      </c>
      <c r="AB982" s="21">
        <f t="shared" si="288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1"/>
        <v>44078731.611185849</v>
      </c>
      <c r="AJ982" s="19">
        <f t="shared" si="292"/>
        <v>5508173.2163771465</v>
      </c>
      <c r="AK982" s="20">
        <f t="shared" si="299"/>
        <v>0.12496215328889679</v>
      </c>
      <c r="AL982" s="17"/>
      <c r="AM982" s="17"/>
      <c r="AN982" s="17"/>
      <c r="AO982" s="17"/>
      <c r="AP982" s="28" t="str">
        <f t="shared" si="300"/>
        <v>202011</v>
      </c>
      <c r="AQ982" s="28" t="str">
        <f t="shared" si="301"/>
        <v>202011RMB</v>
      </c>
      <c r="AR982" s="206" t="str">
        <f t="shared" si="302"/>
        <v>YAMAHA_Mounter</v>
      </c>
      <c r="AS982" s="22">
        <f t="shared" si="303"/>
        <v>2</v>
      </c>
      <c r="AT982" s="24" t="str">
        <f t="shared" si="304"/>
        <v>0-3 months</v>
      </c>
      <c r="AU982" s="22" t="s">
        <v>3743</v>
      </c>
    </row>
    <row r="983" spans="1:47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96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90"/>
        <v>650000</v>
      </c>
      <c r="AA983" s="13">
        <v>1.0920000000000001</v>
      </c>
      <c r="AB983" s="21">
        <f t="shared" si="288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1"/>
        <v>22953677.784070797</v>
      </c>
      <c r="AJ983" s="19">
        <f t="shared" si="292"/>
        <v>4168706.6744155753</v>
      </c>
      <c r="AK983" s="20">
        <f t="shared" si="299"/>
        <v>0.18161388835511752</v>
      </c>
      <c r="AL983" s="17"/>
      <c r="AM983" s="17"/>
      <c r="AN983" s="17"/>
      <c r="AO983" s="17"/>
      <c r="AP983" s="28" t="str">
        <f t="shared" si="300"/>
        <v>20238</v>
      </c>
      <c r="AQ983" s="28" t="str">
        <f t="shared" si="301"/>
        <v>20238RMB</v>
      </c>
      <c r="AR983" s="206" t="str">
        <f t="shared" si="302"/>
        <v>YAMAHA_Non_Mounter</v>
      </c>
      <c r="AS983" s="22">
        <f t="shared" si="303"/>
        <v>3</v>
      </c>
      <c r="AT983" s="24" t="str">
        <f t="shared" si="304"/>
        <v>0-3 months</v>
      </c>
      <c r="AU983" s="22" t="s">
        <v>3750</v>
      </c>
    </row>
    <row r="984" spans="1:47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96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90"/>
        <v>938000</v>
      </c>
      <c r="AA984" s="13">
        <v>1.095</v>
      </c>
      <c r="AB984" s="21">
        <f t="shared" si="288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1"/>
        <v>28647263.974455759</v>
      </c>
      <c r="AJ984" s="19">
        <f t="shared" si="292"/>
        <v>3219855.6912513468</v>
      </c>
      <c r="AK984" s="20">
        <f t="shared" si="299"/>
        <v>0.11239662168514358</v>
      </c>
      <c r="AL984" s="17"/>
      <c r="AM984" s="17"/>
      <c r="AN984" s="17"/>
      <c r="AO984" s="17"/>
      <c r="AP984" s="28" t="str">
        <f t="shared" si="300"/>
        <v>201910</v>
      </c>
      <c r="AQ984" s="28" t="str">
        <f t="shared" si="301"/>
        <v>201910RMB</v>
      </c>
      <c r="AR984" s="206" t="str">
        <f t="shared" si="302"/>
        <v>YAMAHA_Mounter</v>
      </c>
      <c r="AS984" s="22">
        <f t="shared" si="303"/>
        <v>4</v>
      </c>
      <c r="AT984" s="24" t="str">
        <f t="shared" si="304"/>
        <v>4-6 months</v>
      </c>
      <c r="AU984" s="22" t="s">
        <v>3743</v>
      </c>
    </row>
    <row r="985" spans="1:47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96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90"/>
        <v>7000000</v>
      </c>
      <c r="AA985" s="13">
        <v>7.3400000000000007E-2</v>
      </c>
      <c r="AB985" s="21">
        <f t="shared" si="288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1"/>
        <v>29183109.05575221</v>
      </c>
      <c r="AJ985" s="19">
        <f t="shared" si="292"/>
        <v>3741266.5648721238</v>
      </c>
      <c r="AK985" s="20">
        <f t="shared" si="299"/>
        <v>0.12819972531798121</v>
      </c>
      <c r="AL985" s="17"/>
      <c r="AM985" s="17"/>
      <c r="AN985" s="17"/>
      <c r="AO985" s="17"/>
      <c r="AP985" s="28" t="str">
        <f t="shared" si="300"/>
        <v>20206</v>
      </c>
      <c r="AQ985" s="28" t="str">
        <f t="shared" si="301"/>
        <v>20206JPY</v>
      </c>
      <c r="AR985" s="206" t="str">
        <f t="shared" si="302"/>
        <v>YAMAHA_Mounter</v>
      </c>
      <c r="AS985" s="22">
        <f t="shared" si="303"/>
        <v>0</v>
      </c>
      <c r="AT985" s="24" t="str">
        <f t="shared" si="304"/>
        <v>0-3 months</v>
      </c>
      <c r="AU985" s="22" t="s">
        <v>3744</v>
      </c>
    </row>
    <row r="986" spans="1:47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96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305">IF(W986="RMB","1.13", "1")</f>
        <v>1</v>
      </c>
      <c r="Z986" s="18">
        <f t="shared" si="290"/>
        <v>7500000</v>
      </c>
      <c r="AA986" s="13">
        <v>7.2800000000000004E-2</v>
      </c>
      <c r="AB986" s="21">
        <f t="shared" si="288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1"/>
        <v>63006605.696460173</v>
      </c>
      <c r="AJ986" s="19">
        <f t="shared" si="292"/>
        <v>8897485.660753984</v>
      </c>
      <c r="AK986" s="20">
        <f t="shared" si="299"/>
        <v>0.141215124388995</v>
      </c>
      <c r="AL986" s="17"/>
      <c r="AM986" s="17"/>
      <c r="AN986" s="17"/>
      <c r="AO986" s="17"/>
      <c r="AP986" s="28" t="str">
        <f t="shared" si="300"/>
        <v>20215</v>
      </c>
      <c r="AQ986" s="28" t="str">
        <f t="shared" si="301"/>
        <v>20215JPY</v>
      </c>
      <c r="AR986" s="206" t="str">
        <f t="shared" si="302"/>
        <v>YAMAHA_Mounter</v>
      </c>
      <c r="AS986" s="22">
        <f t="shared" si="303"/>
        <v>1</v>
      </c>
      <c r="AT986" s="24" t="str">
        <f t="shared" si="304"/>
        <v>0-3 months</v>
      </c>
      <c r="AU986" s="22" t="s">
        <v>3240</v>
      </c>
    </row>
    <row r="987" spans="1:47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96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305"/>
        <v>1</v>
      </c>
      <c r="Z987" s="18">
        <f t="shared" si="290"/>
        <v>9346000</v>
      </c>
      <c r="AA987" s="13">
        <v>6.54E-2</v>
      </c>
      <c r="AB987" s="21">
        <f t="shared" ref="AB987:AB1050" si="306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1"/>
        <v>46600814.041769907</v>
      </c>
      <c r="AJ987" s="19">
        <f t="shared" si="292"/>
        <v>5956366.3435927071</v>
      </c>
      <c r="AK987" s="20">
        <f t="shared" si="299"/>
        <v>0.1278167874546958</v>
      </c>
      <c r="AL987" s="17"/>
      <c r="AM987" s="17"/>
      <c r="AN987" s="17"/>
      <c r="AO987" s="17"/>
      <c r="AP987" s="28" t="str">
        <f t="shared" si="300"/>
        <v>20224</v>
      </c>
      <c r="AQ987" s="28" t="str">
        <f t="shared" si="301"/>
        <v>20224JPY</v>
      </c>
      <c r="AR987" s="206" t="str">
        <f t="shared" si="302"/>
        <v>YAMAHA_Mounter</v>
      </c>
      <c r="AS987" s="22">
        <f t="shared" si="303"/>
        <v>5</v>
      </c>
      <c r="AT987" s="24" t="str">
        <f t="shared" si="304"/>
        <v>4-6 months</v>
      </c>
      <c r="AU987" s="22" t="s">
        <v>3744</v>
      </c>
    </row>
    <row r="988" spans="1:47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96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305"/>
        <v>1.13</v>
      </c>
      <c r="Z988" s="18">
        <f t="shared" si="290"/>
        <v>790000</v>
      </c>
      <c r="AA988" s="13">
        <v>1.0920000000000001</v>
      </c>
      <c r="AB988" s="21">
        <f t="shared" si="306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1"/>
        <v>22953677.784070797</v>
      </c>
      <c r="AJ988" s="19">
        <f t="shared" si="292"/>
        <v>4168706.6744155753</v>
      </c>
      <c r="AK988" s="20">
        <f t="shared" si="299"/>
        <v>0.18161388835511752</v>
      </c>
      <c r="AL988" s="17"/>
      <c r="AM988" s="17"/>
      <c r="AN988" s="17"/>
      <c r="AO988" s="17"/>
      <c r="AP988" s="28" t="str">
        <f t="shared" si="300"/>
        <v>20238</v>
      </c>
      <c r="AQ988" s="28" t="str">
        <f t="shared" si="301"/>
        <v>20238RMB</v>
      </c>
      <c r="AR988" s="206" t="str">
        <f t="shared" si="302"/>
        <v>YAMAHA_Mounter</v>
      </c>
      <c r="AS988" s="22">
        <f t="shared" si="303"/>
        <v>4</v>
      </c>
      <c r="AT988" s="24" t="str">
        <f t="shared" si="304"/>
        <v>4-6 months</v>
      </c>
      <c r="AU988" s="22" t="s">
        <v>3750</v>
      </c>
    </row>
    <row r="989" spans="1:47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95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96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305"/>
        <v>1.13</v>
      </c>
      <c r="Z989" s="18">
        <f t="shared" si="290"/>
        <v>790000</v>
      </c>
      <c r="AA989" s="13">
        <v>1.1000000000000001</v>
      </c>
      <c r="AB989" s="21">
        <f t="shared" si="306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1"/>
        <v>499582152.5142017</v>
      </c>
      <c r="AJ989" s="19">
        <f t="shared" si="292"/>
        <v>59520528.679470733</v>
      </c>
      <c r="AK989" s="20">
        <f t="shared" si="299"/>
        <v>0.11914062257814291</v>
      </c>
      <c r="AL989" s="17"/>
      <c r="AM989" s="17"/>
      <c r="AN989" s="17"/>
      <c r="AO989" s="17"/>
      <c r="AP989" s="28" t="str">
        <f t="shared" si="300"/>
        <v>CancelCancel</v>
      </c>
      <c r="AQ989" s="28" t="str">
        <f t="shared" si="301"/>
        <v>CancelCancelRMB</v>
      </c>
      <c r="AR989" s="206" t="str">
        <f t="shared" si="302"/>
        <v>YAMAHA_Mounter</v>
      </c>
      <c r="AS989" s="22" t="str">
        <f t="shared" si="303"/>
        <v/>
      </c>
      <c r="AT989" s="24" t="str">
        <f t="shared" si="304"/>
        <v/>
      </c>
      <c r="AU989" s="22" t="s">
        <v>3750</v>
      </c>
    </row>
    <row r="990" spans="1:47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95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96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305"/>
        <v>1.13</v>
      </c>
      <c r="Z990" s="18">
        <f t="shared" si="290"/>
        <v>790000</v>
      </c>
      <c r="AA990" s="13">
        <v>1.1000000000000001</v>
      </c>
      <c r="AB990" s="21">
        <f t="shared" si="306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1"/>
        <v>499582152.5142017</v>
      </c>
      <c r="AJ990" s="19">
        <f t="shared" si="292"/>
        <v>59520528.679470733</v>
      </c>
      <c r="AK990" s="20">
        <f t="shared" si="299"/>
        <v>0.11914062257814291</v>
      </c>
      <c r="AL990" s="17"/>
      <c r="AM990" s="17"/>
      <c r="AN990" s="17"/>
      <c r="AO990" s="17"/>
      <c r="AP990" s="28" t="str">
        <f t="shared" si="300"/>
        <v>CancelCancel</v>
      </c>
      <c r="AQ990" s="28" t="str">
        <f t="shared" si="301"/>
        <v>CancelCancelRMB</v>
      </c>
      <c r="AR990" s="206" t="str">
        <f t="shared" si="302"/>
        <v>YAMAHA_Mounter</v>
      </c>
      <c r="AS990" s="22" t="str">
        <f t="shared" si="303"/>
        <v/>
      </c>
      <c r="AT990" s="24" t="str">
        <f t="shared" si="304"/>
        <v/>
      </c>
      <c r="AU990" s="22" t="s">
        <v>3750</v>
      </c>
    </row>
    <row r="991" spans="1:47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96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305"/>
        <v>1</v>
      </c>
      <c r="Z991" s="18">
        <f t="shared" si="290"/>
        <v>15300000</v>
      </c>
      <c r="AA991" s="13">
        <v>7.6100000000000001E-2</v>
      </c>
      <c r="AB991" s="21">
        <f t="shared" si="306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1"/>
        <v>44078731.611185849</v>
      </c>
      <c r="AJ991" s="19">
        <f t="shared" si="292"/>
        <v>5508173.2163771465</v>
      </c>
      <c r="AK991" s="20">
        <f t="shared" si="299"/>
        <v>0.12496215328889679</v>
      </c>
      <c r="AL991" s="17"/>
      <c r="AM991" s="17"/>
      <c r="AN991" s="17"/>
      <c r="AO991" s="17"/>
      <c r="AP991" s="28" t="str">
        <f t="shared" si="300"/>
        <v>202011</v>
      </c>
      <c r="AQ991" s="28" t="str">
        <f t="shared" si="301"/>
        <v>202011JPY</v>
      </c>
      <c r="AR991" s="206" t="str">
        <f t="shared" si="302"/>
        <v>YAMAHA_Mounter</v>
      </c>
      <c r="AS991" s="22">
        <f t="shared" si="303"/>
        <v>2</v>
      </c>
      <c r="AT991" s="24" t="str">
        <f t="shared" si="304"/>
        <v>0-3 months</v>
      </c>
      <c r="AU991" s="22" t="s">
        <v>3744</v>
      </c>
    </row>
    <row r="992" spans="1:47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96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90"/>
        <v>8863800</v>
      </c>
      <c r="AA992" s="22">
        <v>5.3100000000000001E-2</v>
      </c>
      <c r="AB992" s="21">
        <f t="shared" si="306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1"/>
        <v>21241742.157380536</v>
      </c>
      <c r="AJ992" s="27">
        <f t="shared" si="292"/>
        <v>2987081.1613773629</v>
      </c>
      <c r="AK992" s="28">
        <f t="shared" si="299"/>
        <v>0.14062317201884914</v>
      </c>
      <c r="AL992" s="24"/>
      <c r="AM992" s="24"/>
      <c r="AN992" s="24"/>
      <c r="AO992" s="24"/>
      <c r="AP992" s="28" t="str">
        <f t="shared" si="300"/>
        <v>20243</v>
      </c>
      <c r="AQ992" s="28" t="str">
        <f t="shared" si="301"/>
        <v>20243JPY</v>
      </c>
      <c r="AR992" s="206" t="str">
        <f t="shared" si="302"/>
        <v>YAMAHA_Mounter</v>
      </c>
      <c r="AS992" s="22">
        <f t="shared" si="303"/>
        <v>0</v>
      </c>
      <c r="AT992" s="24" t="str">
        <f t="shared" si="304"/>
        <v>0-3 months</v>
      </c>
      <c r="AU992" s="22" t="s">
        <v>3744</v>
      </c>
    </row>
    <row r="993" spans="1:47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96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90"/>
        <v>986383</v>
      </c>
      <c r="AA993" s="13">
        <v>1.1950000000000001</v>
      </c>
      <c r="AB993" s="21">
        <f t="shared" si="306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1"/>
        <v>44014086.982070789</v>
      </c>
      <c r="AJ993" s="19">
        <f t="shared" si="292"/>
        <v>6419974.0221889298</v>
      </c>
      <c r="AK993" s="20">
        <f t="shared" si="299"/>
        <v>0.14586180158193709</v>
      </c>
      <c r="AL993" s="17"/>
      <c r="AM993" s="17"/>
      <c r="AN993" s="17"/>
      <c r="AO993" s="17"/>
      <c r="AP993" s="28" t="str">
        <f t="shared" si="300"/>
        <v>20225</v>
      </c>
      <c r="AQ993" s="28" t="str">
        <f t="shared" si="301"/>
        <v>20225RMB</v>
      </c>
      <c r="AR993" s="206" t="str">
        <f t="shared" si="302"/>
        <v>YAMAHA_Mounter</v>
      </c>
      <c r="AS993" s="22">
        <f t="shared" si="303"/>
        <v>1</v>
      </c>
      <c r="AT993" s="24" t="str">
        <f t="shared" si="304"/>
        <v>0-3 months</v>
      </c>
      <c r="AU993" s="22" t="s">
        <v>3750</v>
      </c>
    </row>
    <row r="994" spans="1:47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7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96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308">IF(W994="","",IF(W994="RMB","1.13", "1"))</f>
        <v>1</v>
      </c>
      <c r="Z994" s="18">
        <f t="shared" si="290"/>
        <v>12000000</v>
      </c>
      <c r="AA994" s="22">
        <v>5.4100000000000002E-2</v>
      </c>
      <c r="AB994" s="21">
        <f t="shared" si="306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1"/>
        <v>10524262.405309737</v>
      </c>
      <c r="AJ994" s="27">
        <f t="shared" si="292"/>
        <v>1479050.9527127435</v>
      </c>
      <c r="AK994" s="28">
        <f t="shared" si="299"/>
        <v>0.14053725532028996</v>
      </c>
      <c r="AL994" s="24"/>
      <c r="AM994" s="24"/>
      <c r="AN994" s="24"/>
      <c r="AO994" s="24"/>
      <c r="AP994" s="28" t="str">
        <f t="shared" si="300"/>
        <v>20242</v>
      </c>
      <c r="AQ994" s="28" t="str">
        <f t="shared" si="301"/>
        <v>20242JPY</v>
      </c>
      <c r="AR994" s="206" t="str">
        <f t="shared" si="302"/>
        <v>YAMAHA_Mounter</v>
      </c>
      <c r="AS994" s="22">
        <f t="shared" si="303"/>
        <v>1</v>
      </c>
      <c r="AT994" s="24" t="str">
        <f t="shared" si="304"/>
        <v>0-3 months</v>
      </c>
      <c r="AU994" s="22" t="s">
        <v>3744</v>
      </c>
    </row>
    <row r="995" spans="1:47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7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96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308"/>
        <v>1</v>
      </c>
      <c r="Z995" s="18">
        <f t="shared" si="290"/>
        <v>7686000</v>
      </c>
      <c r="AA995" s="22">
        <v>5.4100000000000002E-2</v>
      </c>
      <c r="AB995" s="21">
        <f t="shared" si="306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1"/>
        <v>10524262.405309737</v>
      </c>
      <c r="AJ995" s="27">
        <f t="shared" si="292"/>
        <v>1479050.9527127435</v>
      </c>
      <c r="AK995" s="28">
        <f t="shared" si="299"/>
        <v>0.14053725532028996</v>
      </c>
      <c r="AL995" s="24"/>
      <c r="AM995" s="24"/>
      <c r="AN995" s="24"/>
      <c r="AO995" s="24"/>
      <c r="AP995" s="28" t="str">
        <f t="shared" si="300"/>
        <v>20242</v>
      </c>
      <c r="AQ995" s="28" t="str">
        <f t="shared" si="301"/>
        <v>20242JPY</v>
      </c>
      <c r="AR995" s="206" t="str">
        <f t="shared" si="302"/>
        <v>YAMAHA_Mounter</v>
      </c>
      <c r="AS995" s="22">
        <f t="shared" si="303"/>
        <v>1</v>
      </c>
      <c r="AT995" s="24" t="str">
        <f t="shared" si="304"/>
        <v>0-3 months</v>
      </c>
      <c r="AU995" s="22" t="s">
        <v>3744</v>
      </c>
    </row>
    <row r="996" spans="1:47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7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96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308"/>
        <v>1</v>
      </c>
      <c r="Z996" s="18">
        <f t="shared" si="290"/>
        <v>9252610</v>
      </c>
      <c r="AA996" s="13">
        <v>5.3400000000000003E-2</v>
      </c>
      <c r="AB996" s="21">
        <f t="shared" si="306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1"/>
        <v>11730565.00042478</v>
      </c>
      <c r="AJ996" s="19">
        <f t="shared" si="292"/>
        <v>1439625.5685810833</v>
      </c>
      <c r="AK996" s="20">
        <f t="shared" si="299"/>
        <v>0.12272431622253084</v>
      </c>
      <c r="AL996" s="17"/>
      <c r="AM996" s="17"/>
      <c r="AN996" s="17"/>
      <c r="AO996" s="17"/>
      <c r="AP996" s="28" t="str">
        <f t="shared" si="300"/>
        <v>202311</v>
      </c>
      <c r="AQ996" s="28" t="str">
        <f t="shared" si="301"/>
        <v>202311JPY</v>
      </c>
      <c r="AR996" s="206" t="str">
        <f t="shared" si="302"/>
        <v>YAMAHA_Mounter</v>
      </c>
      <c r="AS996" s="22">
        <f t="shared" si="303"/>
        <v>0</v>
      </c>
      <c r="AT996" s="24" t="str">
        <f t="shared" si="304"/>
        <v>0-3 months</v>
      </c>
      <c r="AU996" s="22" t="s">
        <v>3744</v>
      </c>
    </row>
    <row r="997" spans="1:47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7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96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308"/>
        <v>1</v>
      </c>
      <c r="Z997" s="18">
        <f t="shared" si="290"/>
        <v>9252610</v>
      </c>
      <c r="AA997" s="13">
        <v>5.3400000000000003E-2</v>
      </c>
      <c r="AB997" s="21">
        <f t="shared" si="306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1"/>
        <v>11730565.00042478</v>
      </c>
      <c r="AJ997" s="19">
        <f t="shared" si="292"/>
        <v>1439625.5685810833</v>
      </c>
      <c r="AK997" s="20">
        <f t="shared" si="299"/>
        <v>0.12272431622253084</v>
      </c>
      <c r="AL997" s="17"/>
      <c r="AM997" s="17"/>
      <c r="AN997" s="17"/>
      <c r="AO997" s="17"/>
      <c r="AP997" s="28" t="str">
        <f t="shared" si="300"/>
        <v>202311</v>
      </c>
      <c r="AQ997" s="28" t="str">
        <f t="shared" si="301"/>
        <v>202311JPY</v>
      </c>
      <c r="AR997" s="206" t="str">
        <f t="shared" si="302"/>
        <v>YAMAHA_Mounter</v>
      </c>
      <c r="AS997" s="22">
        <f t="shared" si="303"/>
        <v>0</v>
      </c>
      <c r="AT997" s="24" t="str">
        <f t="shared" si="304"/>
        <v>0-3 months</v>
      </c>
      <c r="AU997" s="22" t="s">
        <v>3744</v>
      </c>
    </row>
    <row r="998" spans="1:47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7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96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308"/>
        <v>1</v>
      </c>
      <c r="Z998" s="18">
        <f t="shared" si="290"/>
        <v>9252610</v>
      </c>
      <c r="AA998" s="13">
        <v>5.3400000000000003E-2</v>
      </c>
      <c r="AB998" s="21">
        <f t="shared" si="306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1"/>
        <v>11730565.00042478</v>
      </c>
      <c r="AJ998" s="19">
        <f t="shared" si="292"/>
        <v>1439625.5685810833</v>
      </c>
      <c r="AK998" s="20">
        <f t="shared" si="299"/>
        <v>0.12272431622253084</v>
      </c>
      <c r="AL998" s="17"/>
      <c r="AM998" s="17"/>
      <c r="AN998" s="17"/>
      <c r="AO998" s="17"/>
      <c r="AP998" s="28" t="str">
        <f t="shared" si="300"/>
        <v>202311</v>
      </c>
      <c r="AQ998" s="28" t="str">
        <f t="shared" si="301"/>
        <v>202311JPY</v>
      </c>
      <c r="AR998" s="206" t="str">
        <f t="shared" si="302"/>
        <v>YAMAHA_Mounter</v>
      </c>
      <c r="AS998" s="22">
        <f t="shared" si="303"/>
        <v>0</v>
      </c>
      <c r="AT998" s="24" t="str">
        <f t="shared" si="304"/>
        <v>0-3 months</v>
      </c>
      <c r="AU998" s="22" t="s">
        <v>3744</v>
      </c>
    </row>
    <row r="999" spans="1:47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7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96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308"/>
        <v>1</v>
      </c>
      <c r="Z999" s="18">
        <f t="shared" si="290"/>
        <v>9252610</v>
      </c>
      <c r="AA999" s="13">
        <v>5.3400000000000003E-2</v>
      </c>
      <c r="AB999" s="21">
        <f t="shared" si="306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1"/>
        <v>11730565.00042478</v>
      </c>
      <c r="AJ999" s="19">
        <f t="shared" si="292"/>
        <v>1439625.5685810833</v>
      </c>
      <c r="AK999" s="20">
        <f t="shared" si="299"/>
        <v>0.12272431622253084</v>
      </c>
      <c r="AL999" s="17"/>
      <c r="AM999" s="17"/>
      <c r="AN999" s="17"/>
      <c r="AO999" s="17"/>
      <c r="AP999" s="28" t="str">
        <f t="shared" si="300"/>
        <v>202311</v>
      </c>
      <c r="AQ999" s="28" t="str">
        <f t="shared" si="301"/>
        <v>202311JPY</v>
      </c>
      <c r="AR999" s="206" t="str">
        <f t="shared" si="302"/>
        <v>YAMAHA_Mounter</v>
      </c>
      <c r="AS999" s="22">
        <f t="shared" si="303"/>
        <v>0</v>
      </c>
      <c r="AT999" s="24" t="str">
        <f t="shared" si="304"/>
        <v>0-3 months</v>
      </c>
      <c r="AU999" s="22" t="s">
        <v>3744</v>
      </c>
    </row>
    <row r="1000" spans="1:47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96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309">IF(W1000="RMB","1.13", "1")</f>
        <v>1</v>
      </c>
      <c r="Z1000" s="18">
        <f t="shared" si="290"/>
        <v>15000000</v>
      </c>
      <c r="AA1000" s="13">
        <v>7.0999999999999994E-2</v>
      </c>
      <c r="AB1000" s="21">
        <f t="shared" si="306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1"/>
        <v>15533177.71460177</v>
      </c>
      <c r="AJ1000" s="19">
        <f t="shared" si="292"/>
        <v>1819298.5437526547</v>
      </c>
      <c r="AK1000" s="20">
        <f t="shared" si="299"/>
        <v>0.11712339723265033</v>
      </c>
      <c r="AL1000" s="17"/>
      <c r="AM1000" s="17"/>
      <c r="AN1000" s="17"/>
      <c r="AO1000" s="17"/>
      <c r="AP1000" s="28" t="str">
        <f t="shared" si="300"/>
        <v>202110</v>
      </c>
      <c r="AQ1000" s="28" t="str">
        <f t="shared" si="301"/>
        <v>202110JPY</v>
      </c>
      <c r="AR1000" s="206" t="str">
        <f t="shared" si="302"/>
        <v>YAMAHA_Mounter</v>
      </c>
      <c r="AS1000" s="22">
        <f t="shared" si="303"/>
        <v>7</v>
      </c>
      <c r="AT1000" s="24" t="str">
        <f t="shared" si="304"/>
        <v>&gt; 6 months</v>
      </c>
      <c r="AU1000" s="22" t="s">
        <v>3745</v>
      </c>
    </row>
    <row r="1001" spans="1:47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96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309"/>
        <v>1</v>
      </c>
      <c r="Z1001" s="18">
        <f t="shared" si="290"/>
        <v>15000000</v>
      </c>
      <c r="AA1001" s="13">
        <v>7.0999999999999994E-2</v>
      </c>
      <c r="AB1001" s="21">
        <f t="shared" si="306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1"/>
        <v>15533177.71460177</v>
      </c>
      <c r="AJ1001" s="19">
        <f t="shared" si="292"/>
        <v>1819298.5437526547</v>
      </c>
      <c r="AK1001" s="20">
        <f t="shared" si="299"/>
        <v>0.11712339723265033</v>
      </c>
      <c r="AL1001" s="17"/>
      <c r="AM1001" s="17"/>
      <c r="AN1001" s="17"/>
      <c r="AO1001" s="17"/>
      <c r="AP1001" s="28" t="str">
        <f t="shared" si="300"/>
        <v>202110</v>
      </c>
      <c r="AQ1001" s="28" t="str">
        <f t="shared" si="301"/>
        <v>202110JPY</v>
      </c>
      <c r="AR1001" s="206" t="str">
        <f t="shared" si="302"/>
        <v>YAMAHA_Mounter</v>
      </c>
      <c r="AS1001" s="22">
        <f t="shared" si="303"/>
        <v>7</v>
      </c>
      <c r="AT1001" s="24" t="str">
        <f t="shared" si="304"/>
        <v>&gt; 6 months</v>
      </c>
      <c r="AU1001" s="22" t="s">
        <v>3745</v>
      </c>
    </row>
    <row r="1002" spans="1:47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96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309"/>
        <v>1</v>
      </c>
      <c r="Z1002" s="18">
        <f t="shared" si="290"/>
        <v>8860125</v>
      </c>
      <c r="AA1002" s="13">
        <v>7.0999999999999994E-2</v>
      </c>
      <c r="AB1002" s="21">
        <f t="shared" si="306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1"/>
        <v>15533177.71460177</v>
      </c>
      <c r="AJ1002" s="19">
        <f t="shared" si="292"/>
        <v>1819298.5437526547</v>
      </c>
      <c r="AK1002" s="20">
        <f t="shared" si="299"/>
        <v>0.11712339723265033</v>
      </c>
      <c r="AL1002" s="17"/>
      <c r="AM1002" s="17"/>
      <c r="AN1002" s="17"/>
      <c r="AO1002" s="17"/>
      <c r="AP1002" s="28" t="str">
        <f t="shared" si="300"/>
        <v>202110</v>
      </c>
      <c r="AQ1002" s="28" t="str">
        <f t="shared" si="301"/>
        <v>202110JPY</v>
      </c>
      <c r="AR1002" s="206" t="str">
        <f t="shared" si="302"/>
        <v>YAMAHA_Mounter</v>
      </c>
      <c r="AS1002" s="22">
        <f t="shared" si="303"/>
        <v>7</v>
      </c>
      <c r="AT1002" s="24" t="str">
        <f t="shared" si="304"/>
        <v>&gt; 6 months</v>
      </c>
      <c r="AU1002" s="22" t="s">
        <v>3745</v>
      </c>
    </row>
    <row r="1003" spans="1:47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96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309"/>
        <v>1</v>
      </c>
      <c r="Z1003" s="18">
        <f t="shared" si="290"/>
        <v>8860125</v>
      </c>
      <c r="AA1003" s="13">
        <v>7.0999999999999994E-2</v>
      </c>
      <c r="AB1003" s="21">
        <f t="shared" si="306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1"/>
        <v>15533177.71460177</v>
      </c>
      <c r="AJ1003" s="19">
        <f t="shared" si="292"/>
        <v>1819298.5437526547</v>
      </c>
      <c r="AK1003" s="20">
        <f t="shared" si="299"/>
        <v>0.11712339723265033</v>
      </c>
      <c r="AL1003" s="17"/>
      <c r="AM1003" s="17"/>
      <c r="AN1003" s="17"/>
      <c r="AO1003" s="17"/>
      <c r="AP1003" s="28" t="str">
        <f t="shared" si="300"/>
        <v>202110</v>
      </c>
      <c r="AQ1003" s="28" t="str">
        <f t="shared" si="301"/>
        <v>202110JPY</v>
      </c>
      <c r="AR1003" s="206" t="str">
        <f t="shared" si="302"/>
        <v>YAMAHA_Mounter</v>
      </c>
      <c r="AS1003" s="22">
        <f t="shared" si="303"/>
        <v>7</v>
      </c>
      <c r="AT1003" s="24" t="str">
        <f t="shared" si="304"/>
        <v>&gt; 6 months</v>
      </c>
      <c r="AU1003" s="22" t="s">
        <v>3745</v>
      </c>
    </row>
    <row r="1004" spans="1:47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96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309"/>
        <v>1</v>
      </c>
      <c r="Z1004" s="18">
        <f t="shared" si="290"/>
        <v>15000000</v>
      </c>
      <c r="AA1004" s="13">
        <v>7.0000000000000007E-2</v>
      </c>
      <c r="AB1004" s="21">
        <f t="shared" si="306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1"/>
        <v>29500529.005044252</v>
      </c>
      <c r="AJ1004" s="19">
        <f t="shared" si="292"/>
        <v>3253064.846231177</v>
      </c>
      <c r="AK1004" s="20">
        <f t="shared" si="299"/>
        <v>0.11027140718984871</v>
      </c>
      <c r="AL1004" s="17"/>
      <c r="AM1004" s="17"/>
      <c r="AN1004" s="17"/>
      <c r="AO1004" s="17"/>
      <c r="AP1004" s="28" t="str">
        <f t="shared" si="300"/>
        <v>202111</v>
      </c>
      <c r="AQ1004" s="28" t="str">
        <f t="shared" si="301"/>
        <v>202111JPY</v>
      </c>
      <c r="AR1004" s="206" t="str">
        <f t="shared" si="302"/>
        <v>YAMAHA_Mounter</v>
      </c>
      <c r="AS1004" s="22">
        <f t="shared" si="303"/>
        <v>8</v>
      </c>
      <c r="AT1004" s="24" t="str">
        <f t="shared" si="304"/>
        <v>&gt; 6 months</v>
      </c>
      <c r="AU1004" s="22" t="s">
        <v>3745</v>
      </c>
    </row>
    <row r="1005" spans="1:47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96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309"/>
        <v>1</v>
      </c>
      <c r="Z1005" s="18">
        <f t="shared" si="290"/>
        <v>15000000</v>
      </c>
      <c r="AA1005" s="13">
        <v>7.0000000000000007E-2</v>
      </c>
      <c r="AB1005" s="21">
        <f t="shared" si="306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1"/>
        <v>29500529.005044252</v>
      </c>
      <c r="AJ1005" s="19">
        <f t="shared" si="292"/>
        <v>3253064.846231177</v>
      </c>
      <c r="AK1005" s="20">
        <f t="shared" si="299"/>
        <v>0.11027140718984871</v>
      </c>
      <c r="AL1005" s="17"/>
      <c r="AM1005" s="17"/>
      <c r="AN1005" s="17"/>
      <c r="AO1005" s="17"/>
      <c r="AP1005" s="28" t="str">
        <f t="shared" si="300"/>
        <v>202111</v>
      </c>
      <c r="AQ1005" s="28" t="str">
        <f t="shared" si="301"/>
        <v>202111JPY</v>
      </c>
      <c r="AR1005" s="206" t="str">
        <f t="shared" si="302"/>
        <v>YAMAHA_Mounter</v>
      </c>
      <c r="AS1005" s="22">
        <f t="shared" si="303"/>
        <v>8</v>
      </c>
      <c r="AT1005" s="24" t="str">
        <f t="shared" si="304"/>
        <v>&gt; 6 months</v>
      </c>
      <c r="AU1005" s="22" t="s">
        <v>3745</v>
      </c>
    </row>
    <row r="1006" spans="1:47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96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309"/>
        <v>1</v>
      </c>
      <c r="Z1006" s="18">
        <f t="shared" ref="Z1006:Z1069" si="310">IF(X1006="","",X1006*MAX(O1006,N1006))</f>
        <v>8860125</v>
      </c>
      <c r="AA1006" s="13">
        <v>7.0000000000000007E-2</v>
      </c>
      <c r="AB1006" s="21">
        <f t="shared" si="306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1"/>
        <v>29500529.005044252</v>
      </c>
      <c r="AJ1006" s="19">
        <f t="shared" si="292"/>
        <v>3253064.846231177</v>
      </c>
      <c r="AK1006" s="20">
        <f t="shared" si="299"/>
        <v>0.11027140718984871</v>
      </c>
      <c r="AL1006" s="17"/>
      <c r="AM1006" s="17"/>
      <c r="AN1006" s="17"/>
      <c r="AO1006" s="17"/>
      <c r="AP1006" s="28" t="str">
        <f t="shared" si="300"/>
        <v>202111</v>
      </c>
      <c r="AQ1006" s="28" t="str">
        <f t="shared" si="301"/>
        <v>202111JPY</v>
      </c>
      <c r="AR1006" s="206" t="str">
        <f t="shared" si="302"/>
        <v>YAMAHA_Mounter</v>
      </c>
      <c r="AS1006" s="22">
        <f t="shared" si="303"/>
        <v>8</v>
      </c>
      <c r="AT1006" s="24" t="str">
        <f t="shared" si="304"/>
        <v>&gt; 6 months</v>
      </c>
      <c r="AU1006" s="22" t="s">
        <v>3745</v>
      </c>
    </row>
    <row r="1007" spans="1:47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96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309"/>
        <v>1</v>
      </c>
      <c r="Z1007" s="18">
        <f t="shared" si="310"/>
        <v>8860125</v>
      </c>
      <c r="AA1007" s="13">
        <v>7.0000000000000007E-2</v>
      </c>
      <c r="AB1007" s="21">
        <f t="shared" si="306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1"/>
        <v>29500529.005044252</v>
      </c>
      <c r="AJ1007" s="19">
        <f t="shared" si="292"/>
        <v>3253064.846231177</v>
      </c>
      <c r="AK1007" s="20">
        <f t="shared" si="299"/>
        <v>0.11027140718984871</v>
      </c>
      <c r="AL1007" s="17"/>
      <c r="AM1007" s="17"/>
      <c r="AN1007" s="17"/>
      <c r="AO1007" s="17"/>
      <c r="AP1007" s="28" t="str">
        <f t="shared" si="300"/>
        <v>202111</v>
      </c>
      <c r="AQ1007" s="28" t="str">
        <f t="shared" si="301"/>
        <v>202111JPY</v>
      </c>
      <c r="AR1007" s="206" t="str">
        <f t="shared" si="302"/>
        <v>YAMAHA_Mounter</v>
      </c>
      <c r="AS1007" s="22">
        <f t="shared" si="303"/>
        <v>8</v>
      </c>
      <c r="AT1007" s="24" t="str">
        <f t="shared" si="304"/>
        <v>&gt; 6 months</v>
      </c>
      <c r="AU1007" s="22" t="s">
        <v>3745</v>
      </c>
    </row>
    <row r="1008" spans="1:47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95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96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309"/>
        <v>1</v>
      </c>
      <c r="Z1008" s="18">
        <f t="shared" si="310"/>
        <v>14645000</v>
      </c>
      <c r="AA1008" s="13">
        <v>5.8700000000000002E-2</v>
      </c>
      <c r="AB1008" s="21">
        <f t="shared" si="306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1"/>
        <v>499582152.5142017</v>
      </c>
      <c r="AJ1008" s="19">
        <f t="shared" si="292"/>
        <v>59520528.679470733</v>
      </c>
      <c r="AK1008" s="20">
        <f t="shared" si="299"/>
        <v>0.11914062257814291</v>
      </c>
      <c r="AL1008" s="17"/>
      <c r="AM1008" s="17"/>
      <c r="AN1008" s="17"/>
      <c r="AO1008" s="17"/>
      <c r="AP1008" s="28" t="str">
        <f t="shared" si="300"/>
        <v>CancelCancel</v>
      </c>
      <c r="AQ1008" s="28" t="str">
        <f t="shared" si="301"/>
        <v>CancelCancelJPY</v>
      </c>
      <c r="AR1008" s="206" t="str">
        <f t="shared" si="302"/>
        <v>YAMAHA_Mounter</v>
      </c>
      <c r="AS1008" s="22" t="str">
        <f t="shared" si="303"/>
        <v/>
      </c>
      <c r="AT1008" s="24" t="str">
        <f t="shared" si="304"/>
        <v/>
      </c>
      <c r="AU1008" s="22" t="s">
        <v>3744</v>
      </c>
    </row>
    <row r="1009" spans="1:47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95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96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309"/>
        <v>1</v>
      </c>
      <c r="Z1009" s="18">
        <f t="shared" si="310"/>
        <v>14645000</v>
      </c>
      <c r="AA1009" s="13">
        <v>5.8700000000000002E-2</v>
      </c>
      <c r="AB1009" s="21">
        <f t="shared" si="306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1"/>
        <v>499582152.5142017</v>
      </c>
      <c r="AJ1009" s="19">
        <f t="shared" si="292"/>
        <v>59520528.679470733</v>
      </c>
      <c r="AK1009" s="20">
        <f t="shared" si="299"/>
        <v>0.11914062257814291</v>
      </c>
      <c r="AL1009" s="17"/>
      <c r="AM1009" s="17"/>
      <c r="AN1009" s="17"/>
      <c r="AO1009" s="17"/>
      <c r="AP1009" s="28" t="str">
        <f t="shared" si="300"/>
        <v>CancelCancel</v>
      </c>
      <c r="AQ1009" s="28" t="str">
        <f t="shared" si="301"/>
        <v>CancelCancelJPY</v>
      </c>
      <c r="AR1009" s="206" t="str">
        <f t="shared" si="302"/>
        <v>YAMAHA_Mounter</v>
      </c>
      <c r="AS1009" s="22" t="str">
        <f t="shared" si="303"/>
        <v/>
      </c>
      <c r="AT1009" s="24" t="str">
        <f t="shared" si="304"/>
        <v/>
      </c>
      <c r="AU1009" s="22" t="s">
        <v>3744</v>
      </c>
    </row>
    <row r="1010" spans="1:47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95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96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309"/>
        <v>1</v>
      </c>
      <c r="Z1010" s="18">
        <f t="shared" si="310"/>
        <v>14645000</v>
      </c>
      <c r="AA1010" s="13">
        <v>5.8700000000000002E-2</v>
      </c>
      <c r="AB1010" s="21">
        <f t="shared" si="306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1"/>
        <v>499582152.5142017</v>
      </c>
      <c r="AJ1010" s="19">
        <f t="shared" si="292"/>
        <v>59520528.679470733</v>
      </c>
      <c r="AK1010" s="20">
        <f t="shared" si="299"/>
        <v>0.11914062257814291</v>
      </c>
      <c r="AL1010" s="17"/>
      <c r="AM1010" s="17"/>
      <c r="AN1010" s="17"/>
      <c r="AO1010" s="17"/>
      <c r="AP1010" s="28" t="str">
        <f t="shared" si="300"/>
        <v>CancelCancel</v>
      </c>
      <c r="AQ1010" s="28" t="str">
        <f t="shared" si="301"/>
        <v>CancelCancelJPY</v>
      </c>
      <c r="AR1010" s="206" t="str">
        <f t="shared" si="302"/>
        <v>YAMAHA_Mounter</v>
      </c>
      <c r="AS1010" s="22" t="str">
        <f t="shared" si="303"/>
        <v/>
      </c>
      <c r="AT1010" s="24" t="str">
        <f t="shared" si="304"/>
        <v/>
      </c>
      <c r="AU1010" s="22" t="s">
        <v>3744</v>
      </c>
    </row>
    <row r="1011" spans="1:47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95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96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309"/>
        <v>1</v>
      </c>
      <c r="Z1011" s="18">
        <f t="shared" si="310"/>
        <v>14645000</v>
      </c>
      <c r="AA1011" s="13">
        <v>5.8700000000000002E-2</v>
      </c>
      <c r="AB1011" s="21">
        <f t="shared" si="306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1"/>
        <v>499582152.5142017</v>
      </c>
      <c r="AJ1011" s="19">
        <f t="shared" si="292"/>
        <v>59520528.679470733</v>
      </c>
      <c r="AK1011" s="20">
        <f t="shared" si="299"/>
        <v>0.11914062257814291</v>
      </c>
      <c r="AL1011" s="17"/>
      <c r="AM1011" s="17"/>
      <c r="AN1011" s="17"/>
      <c r="AO1011" s="17"/>
      <c r="AP1011" s="28" t="str">
        <f t="shared" si="300"/>
        <v>CancelCancel</v>
      </c>
      <c r="AQ1011" s="28" t="str">
        <f t="shared" si="301"/>
        <v>CancelCancelJPY</v>
      </c>
      <c r="AR1011" s="206" t="str">
        <f t="shared" si="302"/>
        <v>YAMAHA_Mounter</v>
      </c>
      <c r="AS1011" s="22" t="str">
        <f t="shared" si="303"/>
        <v/>
      </c>
      <c r="AT1011" s="24" t="str">
        <f t="shared" si="304"/>
        <v/>
      </c>
      <c r="AU1011" s="22" t="s">
        <v>3744</v>
      </c>
    </row>
    <row r="1012" spans="1:47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95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96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309"/>
        <v>1</v>
      </c>
      <c r="Z1012" s="18">
        <f t="shared" si="310"/>
        <v>14645000</v>
      </c>
      <c r="AA1012" s="13">
        <v>5.8700000000000002E-2</v>
      </c>
      <c r="AB1012" s="21">
        <f t="shared" si="306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1"/>
        <v>499582152.5142017</v>
      </c>
      <c r="AJ1012" s="19">
        <f t="shared" si="292"/>
        <v>59520528.679470733</v>
      </c>
      <c r="AK1012" s="20">
        <f t="shared" si="299"/>
        <v>0.11914062257814291</v>
      </c>
      <c r="AL1012" s="17"/>
      <c r="AM1012" s="17"/>
      <c r="AN1012" s="17"/>
      <c r="AO1012" s="17"/>
      <c r="AP1012" s="28" t="str">
        <f t="shared" si="300"/>
        <v>CancelCancel</v>
      </c>
      <c r="AQ1012" s="28" t="str">
        <f t="shared" si="301"/>
        <v>CancelCancelJPY</v>
      </c>
      <c r="AR1012" s="206" t="str">
        <f t="shared" si="302"/>
        <v>YAMAHA_Mounter</v>
      </c>
      <c r="AS1012" s="22" t="str">
        <f t="shared" si="303"/>
        <v/>
      </c>
      <c r="AT1012" s="24" t="str">
        <f t="shared" si="304"/>
        <v/>
      </c>
      <c r="AU1012" s="22" t="s">
        <v>3744</v>
      </c>
    </row>
    <row r="1013" spans="1:47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95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96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309"/>
        <v>1</v>
      </c>
      <c r="Z1013" s="18">
        <f t="shared" si="310"/>
        <v>14645000</v>
      </c>
      <c r="AA1013" s="13">
        <v>5.8700000000000002E-2</v>
      </c>
      <c r="AB1013" s="21">
        <f t="shared" si="306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1"/>
        <v>499582152.5142017</v>
      </c>
      <c r="AJ1013" s="19">
        <f t="shared" si="292"/>
        <v>59520528.679470733</v>
      </c>
      <c r="AK1013" s="20">
        <f t="shared" si="299"/>
        <v>0.11914062257814291</v>
      </c>
      <c r="AL1013" s="17"/>
      <c r="AM1013" s="17"/>
      <c r="AN1013" s="17"/>
      <c r="AO1013" s="17"/>
      <c r="AP1013" s="28" t="str">
        <f t="shared" si="300"/>
        <v>CancelCancel</v>
      </c>
      <c r="AQ1013" s="28" t="str">
        <f t="shared" si="301"/>
        <v>CancelCancelJPY</v>
      </c>
      <c r="AR1013" s="206" t="str">
        <f t="shared" si="302"/>
        <v>YAMAHA_Mounter</v>
      </c>
      <c r="AS1013" s="22" t="str">
        <f t="shared" si="303"/>
        <v/>
      </c>
      <c r="AT1013" s="24" t="str">
        <f t="shared" si="304"/>
        <v/>
      </c>
      <c r="AU1013" s="22" t="s">
        <v>3744</v>
      </c>
    </row>
    <row r="1014" spans="1:47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95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96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309"/>
        <v>1</v>
      </c>
      <c r="Z1014" s="18">
        <f t="shared" si="310"/>
        <v>14645000</v>
      </c>
      <c r="AA1014" s="13">
        <v>5.8700000000000002E-2</v>
      </c>
      <c r="AB1014" s="21">
        <f t="shared" si="306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1"/>
        <v>499582152.5142017</v>
      </c>
      <c r="AJ1014" s="19">
        <f t="shared" si="292"/>
        <v>59520528.679470733</v>
      </c>
      <c r="AK1014" s="20">
        <f t="shared" si="299"/>
        <v>0.11914062257814291</v>
      </c>
      <c r="AL1014" s="17"/>
      <c r="AM1014" s="17"/>
      <c r="AN1014" s="17"/>
      <c r="AO1014" s="17"/>
      <c r="AP1014" s="28" t="str">
        <f t="shared" si="300"/>
        <v>CancelCancel</v>
      </c>
      <c r="AQ1014" s="28" t="str">
        <f t="shared" si="301"/>
        <v>CancelCancelJPY</v>
      </c>
      <c r="AR1014" s="206" t="str">
        <f t="shared" si="302"/>
        <v>YAMAHA_Mounter</v>
      </c>
      <c r="AS1014" s="22" t="str">
        <f t="shared" si="303"/>
        <v/>
      </c>
      <c r="AT1014" s="24" t="str">
        <f t="shared" si="304"/>
        <v/>
      </c>
      <c r="AU1014" s="22" t="s">
        <v>3744</v>
      </c>
    </row>
    <row r="1015" spans="1:47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95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96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309"/>
        <v>1</v>
      </c>
      <c r="Z1015" s="18">
        <f t="shared" si="310"/>
        <v>14645000</v>
      </c>
      <c r="AA1015" s="13">
        <v>5.8700000000000002E-2</v>
      </c>
      <c r="AB1015" s="21">
        <f t="shared" si="306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1"/>
        <v>499582152.5142017</v>
      </c>
      <c r="AJ1015" s="19">
        <f t="shared" si="292"/>
        <v>59520528.679470733</v>
      </c>
      <c r="AK1015" s="20">
        <f t="shared" si="299"/>
        <v>0.11914062257814291</v>
      </c>
      <c r="AL1015" s="17"/>
      <c r="AM1015" s="17"/>
      <c r="AN1015" s="17"/>
      <c r="AO1015" s="17"/>
      <c r="AP1015" s="28" t="str">
        <f t="shared" si="300"/>
        <v>CancelCancel</v>
      </c>
      <c r="AQ1015" s="28" t="str">
        <f t="shared" si="301"/>
        <v>CancelCancelJPY</v>
      </c>
      <c r="AR1015" s="206" t="str">
        <f t="shared" si="302"/>
        <v>YAMAHA_Mounter</v>
      </c>
      <c r="AS1015" s="22" t="str">
        <f t="shared" si="303"/>
        <v/>
      </c>
      <c r="AT1015" s="24" t="str">
        <f t="shared" si="304"/>
        <v/>
      </c>
      <c r="AU1015" s="22" t="s">
        <v>3744</v>
      </c>
    </row>
    <row r="1016" spans="1:47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95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96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309"/>
        <v>1</v>
      </c>
      <c r="Z1016" s="18">
        <f t="shared" si="310"/>
        <v>14645000</v>
      </c>
      <c r="AA1016" s="13">
        <v>5.8700000000000002E-2</v>
      </c>
      <c r="AB1016" s="21">
        <f t="shared" si="306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1"/>
        <v>499582152.5142017</v>
      </c>
      <c r="AJ1016" s="19">
        <f t="shared" si="292"/>
        <v>59520528.679470733</v>
      </c>
      <c r="AK1016" s="20">
        <f t="shared" si="299"/>
        <v>0.11914062257814291</v>
      </c>
      <c r="AL1016" s="17"/>
      <c r="AM1016" s="17"/>
      <c r="AN1016" s="17"/>
      <c r="AO1016" s="17"/>
      <c r="AP1016" s="28" t="str">
        <f t="shared" si="300"/>
        <v>CancelCancel</v>
      </c>
      <c r="AQ1016" s="28" t="str">
        <f t="shared" si="301"/>
        <v>CancelCancelJPY</v>
      </c>
      <c r="AR1016" s="206" t="str">
        <f t="shared" si="302"/>
        <v>YAMAHA_Mounter</v>
      </c>
      <c r="AS1016" s="22" t="str">
        <f t="shared" si="303"/>
        <v/>
      </c>
      <c r="AT1016" s="24" t="str">
        <f t="shared" si="304"/>
        <v/>
      </c>
      <c r="AU1016" s="22" t="s">
        <v>3744</v>
      </c>
    </row>
    <row r="1017" spans="1:47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95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96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309"/>
        <v>1</v>
      </c>
      <c r="Z1017" s="18">
        <f t="shared" si="310"/>
        <v>14645000</v>
      </c>
      <c r="AA1017" s="13">
        <v>5.8700000000000002E-2</v>
      </c>
      <c r="AB1017" s="21">
        <f t="shared" si="306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1"/>
        <v>499582152.5142017</v>
      </c>
      <c r="AJ1017" s="19">
        <f t="shared" si="292"/>
        <v>59520528.679470733</v>
      </c>
      <c r="AK1017" s="20">
        <f t="shared" si="299"/>
        <v>0.11914062257814291</v>
      </c>
      <c r="AL1017" s="17"/>
      <c r="AM1017" s="17"/>
      <c r="AN1017" s="17"/>
      <c r="AO1017" s="17"/>
      <c r="AP1017" s="28" t="str">
        <f t="shared" si="300"/>
        <v>CancelCancel</v>
      </c>
      <c r="AQ1017" s="28" t="str">
        <f t="shared" si="301"/>
        <v>CancelCancelJPY</v>
      </c>
      <c r="AR1017" s="206" t="str">
        <f t="shared" si="302"/>
        <v>YAMAHA_Mounter</v>
      </c>
      <c r="AS1017" s="22" t="str">
        <f t="shared" si="303"/>
        <v/>
      </c>
      <c r="AT1017" s="24" t="str">
        <f t="shared" si="304"/>
        <v/>
      </c>
      <c r="AU1017" s="22" t="s">
        <v>3744</v>
      </c>
    </row>
    <row r="1018" spans="1:47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95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96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309"/>
        <v>1</v>
      </c>
      <c r="Z1018" s="18">
        <f t="shared" si="310"/>
        <v>8593800</v>
      </c>
      <c r="AA1018" s="13">
        <v>5.8700000000000002E-2</v>
      </c>
      <c r="AB1018" s="21">
        <f t="shared" si="306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1"/>
        <v>499582152.5142017</v>
      </c>
      <c r="AJ1018" s="19">
        <f t="shared" si="292"/>
        <v>59520528.679470733</v>
      </c>
      <c r="AK1018" s="20">
        <f t="shared" si="299"/>
        <v>0.11914062257814291</v>
      </c>
      <c r="AL1018" s="17"/>
      <c r="AM1018" s="17"/>
      <c r="AN1018" s="17"/>
      <c r="AO1018" s="17"/>
      <c r="AP1018" s="28" t="str">
        <f t="shared" si="300"/>
        <v>CancelCancel</v>
      </c>
      <c r="AQ1018" s="28" t="str">
        <f t="shared" si="301"/>
        <v>CancelCancelJPY</v>
      </c>
      <c r="AR1018" s="206" t="str">
        <f t="shared" si="302"/>
        <v>YAMAHA_Mounter</v>
      </c>
      <c r="AS1018" s="22" t="str">
        <f t="shared" si="303"/>
        <v/>
      </c>
      <c r="AT1018" s="24" t="str">
        <f t="shared" si="304"/>
        <v/>
      </c>
      <c r="AU1018" s="22" t="s">
        <v>3744</v>
      </c>
    </row>
    <row r="1019" spans="1:47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95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96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309"/>
        <v>1</v>
      </c>
      <c r="Z1019" s="18">
        <f t="shared" si="310"/>
        <v>8593800</v>
      </c>
      <c r="AA1019" s="13">
        <v>5.8700000000000002E-2</v>
      </c>
      <c r="AB1019" s="21">
        <f t="shared" si="306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1"/>
        <v>499582152.5142017</v>
      </c>
      <c r="AJ1019" s="19">
        <f t="shared" si="292"/>
        <v>59520528.679470733</v>
      </c>
      <c r="AK1019" s="20">
        <f t="shared" si="299"/>
        <v>0.11914062257814291</v>
      </c>
      <c r="AL1019" s="17"/>
      <c r="AM1019" s="17"/>
      <c r="AN1019" s="17"/>
      <c r="AO1019" s="17"/>
      <c r="AP1019" s="28" t="str">
        <f t="shared" si="300"/>
        <v>CancelCancel</v>
      </c>
      <c r="AQ1019" s="28" t="str">
        <f t="shared" si="301"/>
        <v>CancelCancelJPY</v>
      </c>
      <c r="AR1019" s="206" t="str">
        <f t="shared" si="302"/>
        <v>YAMAHA_Mounter</v>
      </c>
      <c r="AS1019" s="22" t="str">
        <f t="shared" si="303"/>
        <v/>
      </c>
      <c r="AT1019" s="24" t="str">
        <f t="shared" si="304"/>
        <v/>
      </c>
      <c r="AU1019" s="22" t="s">
        <v>3744</v>
      </c>
    </row>
    <row r="1020" spans="1:47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95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96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309"/>
        <v>1</v>
      </c>
      <c r="Z1020" s="18">
        <f t="shared" si="310"/>
        <v>8593800</v>
      </c>
      <c r="AA1020" s="13">
        <v>5.8700000000000002E-2</v>
      </c>
      <c r="AB1020" s="21">
        <f t="shared" si="306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1"/>
        <v>499582152.5142017</v>
      </c>
      <c r="AJ1020" s="19">
        <f t="shared" si="292"/>
        <v>59520528.679470733</v>
      </c>
      <c r="AK1020" s="20">
        <f t="shared" si="299"/>
        <v>0.11914062257814291</v>
      </c>
      <c r="AL1020" s="17"/>
      <c r="AM1020" s="17"/>
      <c r="AN1020" s="17"/>
      <c r="AO1020" s="17"/>
      <c r="AP1020" s="28" t="str">
        <f t="shared" si="300"/>
        <v>CancelCancel</v>
      </c>
      <c r="AQ1020" s="28" t="str">
        <f t="shared" si="301"/>
        <v>CancelCancelJPY</v>
      </c>
      <c r="AR1020" s="206" t="str">
        <f t="shared" si="302"/>
        <v>YAMAHA_Mounter</v>
      </c>
      <c r="AS1020" s="22" t="str">
        <f t="shared" si="303"/>
        <v/>
      </c>
      <c r="AT1020" s="24" t="str">
        <f t="shared" si="304"/>
        <v/>
      </c>
      <c r="AU1020" s="22" t="s">
        <v>3744</v>
      </c>
    </row>
    <row r="1021" spans="1:47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95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96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309"/>
        <v>1</v>
      </c>
      <c r="Z1021" s="18">
        <f t="shared" si="310"/>
        <v>8593800</v>
      </c>
      <c r="AA1021" s="13">
        <v>5.8700000000000002E-2</v>
      </c>
      <c r="AB1021" s="21">
        <f t="shared" si="306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1"/>
        <v>499582152.5142017</v>
      </c>
      <c r="AJ1021" s="19">
        <f t="shared" si="292"/>
        <v>59520528.679470733</v>
      </c>
      <c r="AK1021" s="20">
        <f t="shared" si="299"/>
        <v>0.11914062257814291</v>
      </c>
      <c r="AL1021" s="17"/>
      <c r="AM1021" s="17"/>
      <c r="AN1021" s="17"/>
      <c r="AO1021" s="17"/>
      <c r="AP1021" s="28" t="str">
        <f t="shared" si="300"/>
        <v>CancelCancel</v>
      </c>
      <c r="AQ1021" s="28" t="str">
        <f t="shared" si="301"/>
        <v>CancelCancelJPY</v>
      </c>
      <c r="AR1021" s="206" t="str">
        <f t="shared" si="302"/>
        <v>YAMAHA_Mounter</v>
      </c>
      <c r="AS1021" s="22" t="str">
        <f t="shared" si="303"/>
        <v/>
      </c>
      <c r="AT1021" s="24" t="str">
        <f t="shared" si="304"/>
        <v/>
      </c>
      <c r="AU1021" s="22" t="s">
        <v>3744</v>
      </c>
    </row>
    <row r="1022" spans="1:47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95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96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309"/>
        <v>1</v>
      </c>
      <c r="Z1022" s="18">
        <f t="shared" si="310"/>
        <v>8593800</v>
      </c>
      <c r="AA1022" s="13">
        <v>5.8700000000000002E-2</v>
      </c>
      <c r="AB1022" s="21">
        <f t="shared" si="306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1"/>
        <v>499582152.5142017</v>
      </c>
      <c r="AJ1022" s="19">
        <f t="shared" si="292"/>
        <v>59520528.679470733</v>
      </c>
      <c r="AK1022" s="20">
        <f t="shared" si="299"/>
        <v>0.11914062257814291</v>
      </c>
      <c r="AL1022" s="17"/>
      <c r="AM1022" s="17"/>
      <c r="AN1022" s="17"/>
      <c r="AO1022" s="17"/>
      <c r="AP1022" s="28" t="str">
        <f t="shared" si="300"/>
        <v>CancelCancel</v>
      </c>
      <c r="AQ1022" s="28" t="str">
        <f t="shared" si="301"/>
        <v>CancelCancelJPY</v>
      </c>
      <c r="AR1022" s="206" t="str">
        <f t="shared" si="302"/>
        <v>YAMAHA_Mounter</v>
      </c>
      <c r="AS1022" s="22" t="str">
        <f t="shared" si="303"/>
        <v/>
      </c>
      <c r="AT1022" s="24" t="str">
        <f t="shared" si="304"/>
        <v/>
      </c>
      <c r="AU1022" s="22" t="s">
        <v>3744</v>
      </c>
    </row>
    <row r="1023" spans="1:47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95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96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309"/>
        <v>1</v>
      </c>
      <c r="Z1023" s="18">
        <f t="shared" si="310"/>
        <v>8593800</v>
      </c>
      <c r="AA1023" s="13">
        <v>5.8700000000000002E-2</v>
      </c>
      <c r="AB1023" s="21">
        <f t="shared" si="306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1"/>
        <v>499582152.5142017</v>
      </c>
      <c r="AJ1023" s="19">
        <f t="shared" si="292"/>
        <v>59520528.679470733</v>
      </c>
      <c r="AK1023" s="20">
        <f t="shared" si="299"/>
        <v>0.11914062257814291</v>
      </c>
      <c r="AL1023" s="17"/>
      <c r="AM1023" s="17"/>
      <c r="AN1023" s="17"/>
      <c r="AO1023" s="17"/>
      <c r="AP1023" s="28" t="str">
        <f t="shared" si="300"/>
        <v>CancelCancel</v>
      </c>
      <c r="AQ1023" s="28" t="str">
        <f t="shared" si="301"/>
        <v>CancelCancelJPY</v>
      </c>
      <c r="AR1023" s="206" t="str">
        <f t="shared" si="302"/>
        <v>YAMAHA_Mounter</v>
      </c>
      <c r="AS1023" s="22" t="str">
        <f t="shared" si="303"/>
        <v/>
      </c>
      <c r="AT1023" s="24" t="str">
        <f t="shared" si="304"/>
        <v/>
      </c>
      <c r="AU1023" s="22" t="s">
        <v>3744</v>
      </c>
    </row>
    <row r="1024" spans="1:47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95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96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309"/>
        <v>1</v>
      </c>
      <c r="Z1024" s="18">
        <f t="shared" si="310"/>
        <v>8593800</v>
      </c>
      <c r="AA1024" s="13">
        <v>5.8700000000000002E-2</v>
      </c>
      <c r="AB1024" s="21">
        <f t="shared" si="306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1"/>
        <v>499582152.5142017</v>
      </c>
      <c r="AJ1024" s="19">
        <f t="shared" si="292"/>
        <v>59520528.679470733</v>
      </c>
      <c r="AK1024" s="20">
        <f t="shared" si="299"/>
        <v>0.11914062257814291</v>
      </c>
      <c r="AL1024" s="17"/>
      <c r="AM1024" s="17"/>
      <c r="AN1024" s="17"/>
      <c r="AO1024" s="17"/>
      <c r="AP1024" s="28" t="str">
        <f t="shared" si="300"/>
        <v>CancelCancel</v>
      </c>
      <c r="AQ1024" s="28" t="str">
        <f t="shared" si="301"/>
        <v>CancelCancelJPY</v>
      </c>
      <c r="AR1024" s="206" t="str">
        <f t="shared" si="302"/>
        <v>YAMAHA_Mounter</v>
      </c>
      <c r="AS1024" s="22" t="str">
        <f t="shared" si="303"/>
        <v/>
      </c>
      <c r="AT1024" s="24" t="str">
        <f t="shared" si="304"/>
        <v/>
      </c>
      <c r="AU1024" s="22" t="s">
        <v>3744</v>
      </c>
    </row>
    <row r="1025" spans="1:47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95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96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309"/>
        <v>1</v>
      </c>
      <c r="Z1025" s="18">
        <f t="shared" si="310"/>
        <v>8593800</v>
      </c>
      <c r="AA1025" s="13">
        <v>5.8700000000000002E-2</v>
      </c>
      <c r="AB1025" s="21">
        <f t="shared" si="306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1"/>
        <v>499582152.5142017</v>
      </c>
      <c r="AJ1025" s="19">
        <f t="shared" si="292"/>
        <v>59520528.679470733</v>
      </c>
      <c r="AK1025" s="20">
        <f t="shared" si="299"/>
        <v>0.11914062257814291</v>
      </c>
      <c r="AL1025" s="17"/>
      <c r="AM1025" s="17"/>
      <c r="AN1025" s="17"/>
      <c r="AO1025" s="17"/>
      <c r="AP1025" s="28" t="str">
        <f t="shared" si="300"/>
        <v>CancelCancel</v>
      </c>
      <c r="AQ1025" s="28" t="str">
        <f t="shared" si="301"/>
        <v>CancelCancelJPY</v>
      </c>
      <c r="AR1025" s="206" t="str">
        <f t="shared" si="302"/>
        <v>YAMAHA_Mounter</v>
      </c>
      <c r="AS1025" s="22" t="str">
        <f t="shared" si="303"/>
        <v/>
      </c>
      <c r="AT1025" s="24" t="str">
        <f t="shared" si="304"/>
        <v/>
      </c>
      <c r="AU1025" s="22" t="s">
        <v>3744</v>
      </c>
    </row>
    <row r="1026" spans="1:47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95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96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309"/>
        <v>1</v>
      </c>
      <c r="Z1026" s="18">
        <f t="shared" si="310"/>
        <v>8593800</v>
      </c>
      <c r="AA1026" s="13">
        <v>5.8700000000000002E-2</v>
      </c>
      <c r="AB1026" s="21">
        <f t="shared" si="306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ref="AI1026:AI1089" si="311">IF(P1026="C66 SERVICE","",SUMIFS(AB:AB,F:F,F1026,G:G,G1026,E:E,E1026))</f>
        <v>499582152.5142017</v>
      </c>
      <c r="AJ1026" s="19">
        <f t="shared" ref="AJ1026:AJ1089" si="312">IF(P1026="C66 SERVICE","",SUMIFS(AC:AC,F:F,F1026,G:G,G1026,E:E,E1026))</f>
        <v>59520528.679470733</v>
      </c>
      <c r="AK1026" s="20">
        <f t="shared" si="299"/>
        <v>0.11914062257814291</v>
      </c>
      <c r="AL1026" s="17"/>
      <c r="AM1026" s="17"/>
      <c r="AN1026" s="17"/>
      <c r="AO1026" s="17"/>
      <c r="AP1026" s="28" t="str">
        <f t="shared" si="300"/>
        <v>CancelCancel</v>
      </c>
      <c r="AQ1026" s="28" t="str">
        <f t="shared" si="301"/>
        <v>CancelCancelJPY</v>
      </c>
      <c r="AR1026" s="206" t="str">
        <f t="shared" si="302"/>
        <v>YAMAHA_Mounter</v>
      </c>
      <c r="AS1026" s="22" t="str">
        <f t="shared" si="303"/>
        <v/>
      </c>
      <c r="AT1026" s="24" t="str">
        <f t="shared" si="304"/>
        <v/>
      </c>
      <c r="AU1026" s="22" t="s">
        <v>3744</v>
      </c>
    </row>
    <row r="1027" spans="1:47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95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96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309"/>
        <v>1</v>
      </c>
      <c r="Z1027" s="18">
        <f t="shared" si="310"/>
        <v>8593800</v>
      </c>
      <c r="AA1027" s="13">
        <v>5.8700000000000002E-2</v>
      </c>
      <c r="AB1027" s="21">
        <f t="shared" si="306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311"/>
        <v>499582152.5142017</v>
      </c>
      <c r="AJ1027" s="19">
        <f t="shared" si="312"/>
        <v>59520528.679470733</v>
      </c>
      <c r="AK1027" s="20">
        <f t="shared" si="299"/>
        <v>0.11914062257814291</v>
      </c>
      <c r="AL1027" s="17"/>
      <c r="AM1027" s="17"/>
      <c r="AN1027" s="17"/>
      <c r="AO1027" s="17"/>
      <c r="AP1027" s="28" t="str">
        <f t="shared" si="300"/>
        <v>CancelCancel</v>
      </c>
      <c r="AQ1027" s="28" t="str">
        <f t="shared" si="301"/>
        <v>CancelCancelJPY</v>
      </c>
      <c r="AR1027" s="206" t="str">
        <f t="shared" si="302"/>
        <v>YAMAHA_Mounter</v>
      </c>
      <c r="AS1027" s="22" t="str">
        <f t="shared" si="303"/>
        <v/>
      </c>
      <c r="AT1027" s="24" t="str">
        <f t="shared" si="304"/>
        <v/>
      </c>
      <c r="AU1027" s="22" t="s">
        <v>3744</v>
      </c>
    </row>
    <row r="1028" spans="1:47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96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310"/>
        <v>670000</v>
      </c>
      <c r="AA1028" s="13">
        <v>1.23</v>
      </c>
      <c r="AB1028" s="21">
        <f t="shared" si="306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311"/>
        <v>29288201.603076916</v>
      </c>
      <c r="AJ1028" s="19">
        <f t="shared" si="312"/>
        <v>3870159.1769246152</v>
      </c>
      <c r="AK1028" s="20">
        <f t="shared" si="299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0"/>
        <v>20184</v>
      </c>
      <c r="AQ1028" s="28" t="str">
        <f t="shared" si="301"/>
        <v>20184RMB</v>
      </c>
      <c r="AR1028" s="206" t="str">
        <f t="shared" si="302"/>
        <v>YAMAHA_Mounter</v>
      </c>
      <c r="AS1028" s="22">
        <f t="shared" si="303"/>
        <v>1</v>
      </c>
      <c r="AT1028" s="24" t="str">
        <f t="shared" si="304"/>
        <v>0-3 months</v>
      </c>
      <c r="AU1028" s="22" t="s">
        <v>3743</v>
      </c>
    </row>
    <row r="1029" spans="1:47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96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310"/>
        <v>780000</v>
      </c>
      <c r="AA1029" s="13">
        <v>1.089</v>
      </c>
      <c r="AB1029" s="21">
        <f t="shared" si="306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311"/>
        <v>29183109.05575221</v>
      </c>
      <c r="AJ1029" s="19">
        <f t="shared" si="312"/>
        <v>3741266.5648721238</v>
      </c>
      <c r="AK1029" s="20">
        <f t="shared" si="299"/>
        <v>0.12819972531798121</v>
      </c>
      <c r="AL1029" s="17"/>
      <c r="AM1029" s="17"/>
      <c r="AN1029" s="17"/>
      <c r="AO1029" s="17"/>
      <c r="AP1029" s="28" t="str">
        <f t="shared" si="300"/>
        <v>20206</v>
      </c>
      <c r="AQ1029" s="28" t="str">
        <f t="shared" si="301"/>
        <v>20206RMB</v>
      </c>
      <c r="AR1029" s="206" t="str">
        <f t="shared" si="302"/>
        <v>YAMAHA_Mounter</v>
      </c>
      <c r="AS1029" s="22">
        <f t="shared" si="303"/>
        <v>1</v>
      </c>
      <c r="AT1029" s="24" t="str">
        <f t="shared" si="304"/>
        <v>0-3 months</v>
      </c>
      <c r="AU1029" s="22" t="s">
        <v>3240</v>
      </c>
    </row>
    <row r="1030" spans="1:47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310"/>
        <v>510000</v>
      </c>
      <c r="AA1030" s="13">
        <v>1.105</v>
      </c>
      <c r="AB1030" s="21">
        <f t="shared" si="306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si="311"/>
        <v>37969334.083628319</v>
      </c>
      <c r="AJ1030" s="19">
        <f t="shared" si="312"/>
        <v>5097226.4551657084</v>
      </c>
      <c r="AK1030" s="20">
        <f t="shared" ref="AK1030:AK1093" si="319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0">IF(F1030="","",F1030&amp;G1030)</f>
        <v>20208</v>
      </c>
      <c r="AQ1030" s="28" t="str">
        <f t="shared" ref="AQ1030:AQ1093" si="321">IF(W1030="","",F1030&amp;G1030&amp;W1030)</f>
        <v>20208RMB</v>
      </c>
      <c r="AR1030" s="206" t="str">
        <f t="shared" ref="AR1030:AR1093" si="322">IFERROR(IF(AND(M1030="YAMAHA", R1030="C28"), "YAMAHA_Non_Mounter", IF(AND(M1030="YAMAHA", R1030="C49"), "YAMAHA_Mounter", M1030)),"")</f>
        <v>YAMAHA_Mounter</v>
      </c>
      <c r="AS1030" s="22">
        <f t="shared" ref="AS1030:AS1093" si="323">IFERROR(IF(OR(G1030="TBA", G1030=""), "", DATEDIF(DATE(B1030, C1030, 1), DATE(F1030, G1030, 1), "M")),"")</f>
        <v>0</v>
      </c>
      <c r="AT1030" s="24" t="str">
        <f t="shared" ref="AT1030:AT1093" si="324">IF(ISNUMBER(AS1030), IF(AS1030&gt;=0, IF(AS1030&lt;=3, "0-3 months", IF(AS1030&lt;=6, "4-6 months", "&gt; 6 months"))), "")</f>
        <v>0-3 months</v>
      </c>
      <c r="AU1030" s="22" t="s">
        <v>3743</v>
      </c>
    </row>
    <row r="1031" spans="1:47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316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310"/>
        <v>500000</v>
      </c>
      <c r="AA1031" s="13">
        <v>1.175</v>
      </c>
      <c r="AB1031" s="21">
        <f t="shared" si="306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1"/>
        <v>48763143.537654862</v>
      </c>
      <c r="AJ1031" s="19">
        <f t="shared" si="312"/>
        <v>5924029.9702154724</v>
      </c>
      <c r="AK1031" s="20">
        <f t="shared" si="319"/>
        <v>0.1214858095774925</v>
      </c>
      <c r="AL1031" s="17"/>
      <c r="AM1031" s="17"/>
      <c r="AN1031" s="17"/>
      <c r="AO1031" s="17"/>
      <c r="AP1031" s="28" t="str">
        <f t="shared" si="320"/>
        <v>202012</v>
      </c>
      <c r="AQ1031" s="28" t="str">
        <f t="shared" si="321"/>
        <v>202012RMB</v>
      </c>
      <c r="AR1031" s="206" t="str">
        <f t="shared" si="322"/>
        <v>YAMAHA_Mounter</v>
      </c>
      <c r="AS1031" s="22">
        <f t="shared" si="323"/>
        <v>1</v>
      </c>
      <c r="AT1031" s="24" t="str">
        <f t="shared" si="324"/>
        <v>0-3 months</v>
      </c>
      <c r="AU1031" s="22" t="s">
        <v>3743</v>
      </c>
    </row>
    <row r="1032" spans="1:47" s="12" customFormat="1">
      <c r="A1032" s="33" t="str">
        <f t="shared" si="313"/>
        <v>cancel</v>
      </c>
      <c r="B1032" s="152"/>
      <c r="C1032" s="152" t="s">
        <v>185</v>
      </c>
      <c r="D1032" s="33" t="str">
        <f t="shared" si="314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315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316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310"/>
        <v>10500000</v>
      </c>
      <c r="AA1032" s="13">
        <v>7.0699999999999999E-2</v>
      </c>
      <c r="AB1032" s="21">
        <f t="shared" si="306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1"/>
        <v>499582152.5142017</v>
      </c>
      <c r="AJ1032" s="19">
        <f t="shared" si="312"/>
        <v>59520528.679470733</v>
      </c>
      <c r="AK1032" s="20">
        <f t="shared" si="319"/>
        <v>0.11914062257814291</v>
      </c>
      <c r="AL1032" s="17"/>
      <c r="AM1032" s="17"/>
      <c r="AN1032" s="17"/>
      <c r="AO1032" s="17" t="s">
        <v>185</v>
      </c>
      <c r="AP1032" s="28" t="str">
        <f t="shared" si="320"/>
        <v>CancelCancel</v>
      </c>
      <c r="AQ1032" s="28" t="str">
        <f t="shared" si="321"/>
        <v>CancelCancelJPY</v>
      </c>
      <c r="AR1032" s="206" t="str">
        <f t="shared" si="322"/>
        <v>YAMAHA_Mounter</v>
      </c>
      <c r="AS1032" s="22" t="str">
        <f t="shared" si="323"/>
        <v/>
      </c>
      <c r="AT1032" s="24" t="str">
        <f t="shared" si="324"/>
        <v/>
      </c>
      <c r="AU1032" s="22" t="s">
        <v>3745</v>
      </c>
    </row>
    <row r="1033" spans="1:47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316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310"/>
        <v>930000</v>
      </c>
      <c r="AA1033" s="13">
        <v>1.1299999999999999</v>
      </c>
      <c r="AB1033" s="21">
        <f t="shared" si="306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1"/>
        <v>33543315.897345133</v>
      </c>
      <c r="AJ1033" s="19">
        <f t="shared" si="312"/>
        <v>4706169.3252984071</v>
      </c>
      <c r="AK1033" s="20">
        <f t="shared" si="319"/>
        <v>0.14030125523967318</v>
      </c>
      <c r="AL1033" s="17"/>
      <c r="AM1033" s="17"/>
      <c r="AN1033" s="17"/>
      <c r="AO1033" s="17"/>
      <c r="AP1033" s="28" t="str">
        <f t="shared" si="320"/>
        <v>20233</v>
      </c>
      <c r="AQ1033" s="28" t="str">
        <f t="shared" si="321"/>
        <v>20233RMB</v>
      </c>
      <c r="AR1033" s="206" t="str">
        <f t="shared" si="322"/>
        <v>YAMAHA_Mounter</v>
      </c>
      <c r="AS1033" s="22">
        <f t="shared" si="323"/>
        <v>0</v>
      </c>
      <c r="AT1033" s="24" t="str">
        <f t="shared" si="324"/>
        <v>0-3 months</v>
      </c>
      <c r="AU1033" s="22" t="s">
        <v>3240</v>
      </c>
    </row>
    <row r="1034" spans="1:47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316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310"/>
        <v>455000</v>
      </c>
      <c r="AA1034" s="13">
        <v>1.2</v>
      </c>
      <c r="AB1034" s="21">
        <f t="shared" si="306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1"/>
        <v>57778307.282035396</v>
      </c>
      <c r="AJ1034" s="19">
        <f t="shared" si="312"/>
        <v>7259860.7225420559</v>
      </c>
      <c r="AK1034" s="20">
        <f t="shared" si="319"/>
        <v>0.12565028406083667</v>
      </c>
      <c r="AL1034" s="17"/>
      <c r="AM1034" s="17"/>
      <c r="AN1034" s="17"/>
      <c r="AO1034" s="17"/>
      <c r="AP1034" s="28" t="str">
        <f t="shared" si="320"/>
        <v>20213</v>
      </c>
      <c r="AQ1034" s="28" t="str">
        <f t="shared" si="321"/>
        <v>20213RMB</v>
      </c>
      <c r="AR1034" s="206" t="str">
        <f t="shared" si="322"/>
        <v>YAMAHA_Non_Mounter</v>
      </c>
      <c r="AS1034" s="22">
        <f t="shared" si="323"/>
        <v>2</v>
      </c>
      <c r="AT1034" s="24" t="str">
        <f t="shared" si="324"/>
        <v>0-3 months</v>
      </c>
      <c r="AU1034" s="22" t="s">
        <v>3240</v>
      </c>
    </row>
    <row r="1035" spans="1:47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316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310"/>
        <v>1450000</v>
      </c>
      <c r="AA1035" s="13">
        <v>1.23</v>
      </c>
      <c r="AB1035" s="21">
        <f t="shared" si="306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1"/>
        <v>34109166.105589926</v>
      </c>
      <c r="AJ1035" s="19">
        <f t="shared" si="312"/>
        <v>4642032.7199573703</v>
      </c>
      <c r="AK1035" s="20">
        <f t="shared" si="319"/>
        <v>0.13609340977692849</v>
      </c>
      <c r="AL1035" s="17"/>
      <c r="AM1035" s="17"/>
      <c r="AN1035" s="17"/>
      <c r="AO1035" s="17" t="s">
        <v>170</v>
      </c>
      <c r="AP1035" s="28" t="str">
        <f t="shared" si="320"/>
        <v>20185</v>
      </c>
      <c r="AQ1035" s="28" t="str">
        <f t="shared" si="321"/>
        <v>20185RMB</v>
      </c>
      <c r="AR1035" s="206" t="str">
        <f t="shared" si="322"/>
        <v>YAMAHA_Mounter</v>
      </c>
      <c r="AS1035" s="22">
        <f t="shared" si="323"/>
        <v>5</v>
      </c>
      <c r="AT1035" s="24" t="str">
        <f t="shared" si="324"/>
        <v>4-6 months</v>
      </c>
      <c r="AU1035" s="22" t="s">
        <v>3240</v>
      </c>
    </row>
    <row r="1036" spans="1:47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316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310"/>
        <v>900000</v>
      </c>
      <c r="AA1036" s="13">
        <v>1.23</v>
      </c>
      <c r="AB1036" s="21">
        <f t="shared" si="306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1"/>
        <v>34109166.105589926</v>
      </c>
      <c r="AJ1036" s="19">
        <f t="shared" si="312"/>
        <v>4642032.7199573703</v>
      </c>
      <c r="AK1036" s="20">
        <f t="shared" si="319"/>
        <v>0.13609340977692849</v>
      </c>
      <c r="AL1036" s="17"/>
      <c r="AM1036" s="17"/>
      <c r="AN1036" s="17"/>
      <c r="AO1036" s="17" t="s">
        <v>170</v>
      </c>
      <c r="AP1036" s="28" t="str">
        <f t="shared" si="320"/>
        <v>20185</v>
      </c>
      <c r="AQ1036" s="28" t="str">
        <f t="shared" si="321"/>
        <v>20185RMB</v>
      </c>
      <c r="AR1036" s="206" t="str">
        <f t="shared" si="322"/>
        <v>YAMAHA_Mounter</v>
      </c>
      <c r="AS1036" s="22">
        <f t="shared" si="323"/>
        <v>5</v>
      </c>
      <c r="AT1036" s="24" t="str">
        <f t="shared" si="324"/>
        <v>4-6 months</v>
      </c>
      <c r="AU1036" s="22" t="s">
        <v>3240</v>
      </c>
    </row>
    <row r="1037" spans="1:47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316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310"/>
        <v>1006130</v>
      </c>
      <c r="AA1037" s="13">
        <v>1.175</v>
      </c>
      <c r="AB1037" s="21">
        <f t="shared" si="306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1"/>
        <v>35682787.057522126</v>
      </c>
      <c r="AJ1037" s="19">
        <f t="shared" si="312"/>
        <v>5833368.3789623892</v>
      </c>
      <c r="AK1037" s="20">
        <f t="shared" si="319"/>
        <v>0.16347849649632912</v>
      </c>
      <c r="AL1037" s="17"/>
      <c r="AM1037" s="17"/>
      <c r="AN1037" s="17"/>
      <c r="AO1037" s="17"/>
      <c r="AP1037" s="28" t="str">
        <f t="shared" si="320"/>
        <v>20226</v>
      </c>
      <c r="AQ1037" s="28" t="str">
        <f t="shared" si="321"/>
        <v>20226RMB</v>
      </c>
      <c r="AR1037" s="206" t="str">
        <f t="shared" si="322"/>
        <v>YAMAHA_Mounter</v>
      </c>
      <c r="AS1037" s="22">
        <f t="shared" si="323"/>
        <v>5</v>
      </c>
      <c r="AT1037" s="24" t="str">
        <f t="shared" si="324"/>
        <v>4-6 months</v>
      </c>
      <c r="AU1037" s="22" t="s">
        <v>3240</v>
      </c>
    </row>
    <row r="1038" spans="1:47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316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310"/>
        <v>497000</v>
      </c>
      <c r="AA1038" s="13">
        <v>1.163</v>
      </c>
      <c r="AB1038" s="21">
        <f t="shared" si="306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1"/>
        <v>35073581.838938057</v>
      </c>
      <c r="AJ1038" s="19">
        <f t="shared" si="312"/>
        <v>5034113.9728989396</v>
      </c>
      <c r="AK1038" s="20">
        <f t="shared" si="319"/>
        <v>0.14353007902118958</v>
      </c>
      <c r="AL1038" s="17"/>
      <c r="AM1038" s="17"/>
      <c r="AN1038" s="17"/>
      <c r="AO1038" s="17"/>
      <c r="AP1038" s="28" t="str">
        <f t="shared" si="320"/>
        <v>20228</v>
      </c>
      <c r="AQ1038" s="28" t="str">
        <f t="shared" si="321"/>
        <v>20228RMB</v>
      </c>
      <c r="AR1038" s="206" t="str">
        <f t="shared" si="322"/>
        <v>YAMAHA_Mounter</v>
      </c>
      <c r="AS1038" s="22">
        <f t="shared" si="323"/>
        <v>2</v>
      </c>
      <c r="AT1038" s="24" t="str">
        <f t="shared" si="324"/>
        <v>0-3 months</v>
      </c>
      <c r="AU1038" s="22" t="s">
        <v>3240</v>
      </c>
    </row>
    <row r="1039" spans="1:47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316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310"/>
        <v>497000</v>
      </c>
      <c r="AA1039" s="13">
        <v>1.163</v>
      </c>
      <c r="AB1039" s="21">
        <f t="shared" si="306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1"/>
        <v>35073581.838938057</v>
      </c>
      <c r="AJ1039" s="19">
        <f t="shared" si="312"/>
        <v>5034113.9728989396</v>
      </c>
      <c r="AK1039" s="20">
        <f t="shared" si="319"/>
        <v>0.14353007902118958</v>
      </c>
      <c r="AL1039" s="17"/>
      <c r="AM1039" s="17"/>
      <c r="AN1039" s="17"/>
      <c r="AO1039" s="17"/>
      <c r="AP1039" s="28" t="str">
        <f t="shared" si="320"/>
        <v>20228</v>
      </c>
      <c r="AQ1039" s="28" t="str">
        <f t="shared" si="321"/>
        <v>20228RMB</v>
      </c>
      <c r="AR1039" s="206" t="str">
        <f t="shared" si="322"/>
        <v>YAMAHA_Mounter</v>
      </c>
      <c r="AS1039" s="22">
        <f t="shared" si="323"/>
        <v>2</v>
      </c>
      <c r="AT1039" s="24" t="str">
        <f t="shared" si="324"/>
        <v>0-3 months</v>
      </c>
      <c r="AU1039" s="22" t="s">
        <v>3240</v>
      </c>
    </row>
    <row r="1040" spans="1:47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316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310"/>
        <v>956030</v>
      </c>
      <c r="AA1040" s="13">
        <v>1.163</v>
      </c>
      <c r="AB1040" s="21">
        <f t="shared" si="306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1"/>
        <v>35073581.838938057</v>
      </c>
      <c r="AJ1040" s="19">
        <f t="shared" si="312"/>
        <v>5034113.9728989396</v>
      </c>
      <c r="AK1040" s="20">
        <f t="shared" si="319"/>
        <v>0.14353007902118958</v>
      </c>
      <c r="AL1040" s="17"/>
      <c r="AM1040" s="17"/>
      <c r="AN1040" s="17"/>
      <c r="AO1040" s="17"/>
      <c r="AP1040" s="28" t="str">
        <f t="shared" si="320"/>
        <v>20228</v>
      </c>
      <c r="AQ1040" s="28" t="str">
        <f t="shared" si="321"/>
        <v>20228RMB</v>
      </c>
      <c r="AR1040" s="206" t="str">
        <f t="shared" si="322"/>
        <v>YAMAHA_Mounter</v>
      </c>
      <c r="AS1040" s="22">
        <f t="shared" si="323"/>
        <v>2</v>
      </c>
      <c r="AT1040" s="24" t="str">
        <f t="shared" si="324"/>
        <v>0-3 months</v>
      </c>
      <c r="AU1040" s="22" t="s">
        <v>3240</v>
      </c>
    </row>
    <row r="1041" spans="1:47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316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310"/>
        <v>956030</v>
      </c>
      <c r="AA1041" s="13">
        <v>1.163</v>
      </c>
      <c r="AB1041" s="21">
        <f t="shared" si="306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1"/>
        <v>35073581.838938057</v>
      </c>
      <c r="AJ1041" s="19">
        <f t="shared" si="312"/>
        <v>5034113.9728989396</v>
      </c>
      <c r="AK1041" s="20">
        <f t="shared" si="319"/>
        <v>0.14353007902118958</v>
      </c>
      <c r="AL1041" s="17"/>
      <c r="AM1041" s="17"/>
      <c r="AN1041" s="17"/>
      <c r="AO1041" s="17"/>
      <c r="AP1041" s="28" t="str">
        <f t="shared" si="320"/>
        <v>20228</v>
      </c>
      <c r="AQ1041" s="28" t="str">
        <f t="shared" si="321"/>
        <v>20228RMB</v>
      </c>
      <c r="AR1041" s="206" t="str">
        <f t="shared" si="322"/>
        <v>YAMAHA_Mounter</v>
      </c>
      <c r="AS1041" s="22">
        <f t="shared" si="323"/>
        <v>2</v>
      </c>
      <c r="AT1041" s="24" t="str">
        <f t="shared" si="324"/>
        <v>0-3 months</v>
      </c>
      <c r="AU1041" s="22" t="s">
        <v>3240</v>
      </c>
    </row>
    <row r="1042" spans="1:47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316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310"/>
        <v>820000</v>
      </c>
      <c r="AA1042" s="13">
        <v>1.23</v>
      </c>
      <c r="AB1042" s="21">
        <f t="shared" si="306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1"/>
        <v>34109166.105589926</v>
      </c>
      <c r="AJ1042" s="19">
        <f t="shared" si="312"/>
        <v>4642032.7199573703</v>
      </c>
      <c r="AK1042" s="20">
        <f t="shared" si="319"/>
        <v>0.13609340977692849</v>
      </c>
      <c r="AL1042" s="17"/>
      <c r="AM1042" s="17"/>
      <c r="AN1042" s="17"/>
      <c r="AO1042" s="17" t="s">
        <v>170</v>
      </c>
      <c r="AP1042" s="28" t="str">
        <f t="shared" si="320"/>
        <v>20185</v>
      </c>
      <c r="AQ1042" s="28" t="str">
        <f t="shared" si="321"/>
        <v>20185RMB</v>
      </c>
      <c r="AR1042" s="206" t="str">
        <f t="shared" si="322"/>
        <v>YAMAHA_Non_Mounter</v>
      </c>
      <c r="AS1042" s="22">
        <f t="shared" si="323"/>
        <v>5</v>
      </c>
      <c r="AT1042" s="24" t="str">
        <f t="shared" si="324"/>
        <v>4-6 months</v>
      </c>
      <c r="AU1042" s="22" t="s">
        <v>3240</v>
      </c>
    </row>
    <row r="1043" spans="1:47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316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310"/>
        <v>1090000</v>
      </c>
      <c r="AA1043" s="13">
        <v>1.23</v>
      </c>
      <c r="AB1043" s="21">
        <f t="shared" si="306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1"/>
        <v>34109166.105589926</v>
      </c>
      <c r="AJ1043" s="19">
        <f t="shared" si="312"/>
        <v>4642032.7199573703</v>
      </c>
      <c r="AK1043" s="20">
        <f t="shared" si="319"/>
        <v>0.13609340977692849</v>
      </c>
      <c r="AL1043" s="17"/>
      <c r="AM1043" s="17"/>
      <c r="AN1043" s="17"/>
      <c r="AO1043" s="17" t="s">
        <v>170</v>
      </c>
      <c r="AP1043" s="28" t="str">
        <f t="shared" si="320"/>
        <v>20185</v>
      </c>
      <c r="AQ1043" s="28" t="str">
        <f t="shared" si="321"/>
        <v>20185RMB</v>
      </c>
      <c r="AR1043" s="206" t="str">
        <f t="shared" si="322"/>
        <v>YAMAHA_Non_Mounter</v>
      </c>
      <c r="AS1043" s="22">
        <f t="shared" si="323"/>
        <v>5</v>
      </c>
      <c r="AT1043" s="24" t="str">
        <f t="shared" si="324"/>
        <v>4-6 months</v>
      </c>
      <c r="AU1043" s="22" t="s">
        <v>3240</v>
      </c>
    </row>
    <row r="1044" spans="1:47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310"/>
        <v>289200</v>
      </c>
      <c r="AA1044" s="13">
        <v>1.23</v>
      </c>
      <c r="AB1044" s="21">
        <f t="shared" si="306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1"/>
        <v>34109166.105589926</v>
      </c>
      <c r="AJ1044" s="19">
        <f t="shared" si="312"/>
        <v>4642032.7199573703</v>
      </c>
      <c r="AK1044" s="20">
        <f t="shared" si="319"/>
        <v>0.13609340977692849</v>
      </c>
      <c r="AL1044" s="17"/>
      <c r="AM1044" s="17"/>
      <c r="AN1044" s="17"/>
      <c r="AO1044" s="17"/>
      <c r="AP1044" s="28" t="str">
        <f t="shared" si="320"/>
        <v>20185</v>
      </c>
      <c r="AQ1044" s="28" t="str">
        <f t="shared" si="321"/>
        <v>20185RMB</v>
      </c>
      <c r="AR1044" s="206" t="str">
        <f t="shared" si="322"/>
        <v>YAMAHA_Mounter</v>
      </c>
      <c r="AS1044" s="22">
        <f t="shared" si="323"/>
        <v>5</v>
      </c>
      <c r="AT1044" s="24" t="str">
        <f t="shared" si="324"/>
        <v>4-6 months</v>
      </c>
      <c r="AU1044" s="22" t="s">
        <v>3240</v>
      </c>
    </row>
    <row r="1045" spans="1:47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316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310"/>
        <v>540000</v>
      </c>
      <c r="AA1045" s="13">
        <v>1.23</v>
      </c>
      <c r="AB1045" s="21">
        <f t="shared" si="306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1"/>
        <v>34109166.105589926</v>
      </c>
      <c r="AJ1045" s="19">
        <f t="shared" si="312"/>
        <v>4642032.7199573703</v>
      </c>
      <c r="AK1045" s="20">
        <f t="shared" si="319"/>
        <v>0.13609340977692849</v>
      </c>
      <c r="AL1045" s="17"/>
      <c r="AM1045" s="17"/>
      <c r="AN1045" s="17"/>
      <c r="AO1045" s="17" t="s">
        <v>170</v>
      </c>
      <c r="AP1045" s="28" t="str">
        <f t="shared" si="320"/>
        <v>20185</v>
      </c>
      <c r="AQ1045" s="28" t="str">
        <f t="shared" si="321"/>
        <v>20185RMB</v>
      </c>
      <c r="AR1045" s="206" t="str">
        <f t="shared" si="322"/>
        <v>HELLER</v>
      </c>
      <c r="AS1045" s="22">
        <f t="shared" si="323"/>
        <v>5</v>
      </c>
      <c r="AT1045" s="24" t="str">
        <f t="shared" si="324"/>
        <v>4-6 months</v>
      </c>
      <c r="AU1045" s="22" t="s">
        <v>3240</v>
      </c>
    </row>
    <row r="1046" spans="1:47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316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310"/>
        <v>2435344</v>
      </c>
      <c r="AA1046" s="13">
        <v>1.095</v>
      </c>
      <c r="AB1046" s="21">
        <f t="shared" si="306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1"/>
        <v>37599388.802345134</v>
      </c>
      <c r="AJ1046" s="19">
        <f t="shared" si="312"/>
        <v>4866784.3630338367</v>
      </c>
      <c r="AK1046" s="20">
        <f t="shared" si="319"/>
        <v>0.12943785838163113</v>
      </c>
      <c r="AL1046" s="17"/>
      <c r="AM1046" s="17"/>
      <c r="AN1046" s="17"/>
      <c r="AO1046" s="17"/>
      <c r="AP1046" s="28" t="str">
        <f t="shared" si="320"/>
        <v>20199</v>
      </c>
      <c r="AQ1046" s="28" t="str">
        <f t="shared" si="321"/>
        <v>20199RMB</v>
      </c>
      <c r="AR1046" s="206" t="str">
        <f t="shared" si="322"/>
        <v>YAMAHA_Non_Mounter</v>
      </c>
      <c r="AS1046" s="22">
        <f t="shared" si="323"/>
        <v>7</v>
      </c>
      <c r="AT1046" s="24" t="str">
        <f t="shared" si="324"/>
        <v>&gt; 6 months</v>
      </c>
      <c r="AU1046" s="22" t="s">
        <v>3240</v>
      </c>
    </row>
    <row r="1047" spans="1:47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316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310"/>
        <v>283000</v>
      </c>
      <c r="AA1047" s="13">
        <v>1.163</v>
      </c>
      <c r="AB1047" s="21">
        <f t="shared" si="306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1"/>
        <v>35073581.838938057</v>
      </c>
      <c r="AJ1047" s="19">
        <f t="shared" si="312"/>
        <v>5034113.9728989396</v>
      </c>
      <c r="AK1047" s="20">
        <f t="shared" si="319"/>
        <v>0.14353007902118958</v>
      </c>
      <c r="AL1047" s="17"/>
      <c r="AM1047" s="17"/>
      <c r="AN1047" s="17"/>
      <c r="AO1047" s="17"/>
      <c r="AP1047" s="28" t="str">
        <f t="shared" si="320"/>
        <v>20228</v>
      </c>
      <c r="AQ1047" s="28" t="str">
        <f t="shared" si="321"/>
        <v>20228RMB</v>
      </c>
      <c r="AR1047" s="206" t="str">
        <f t="shared" si="322"/>
        <v>HELLER</v>
      </c>
      <c r="AS1047" s="22">
        <f t="shared" si="323"/>
        <v>2</v>
      </c>
      <c r="AT1047" s="24" t="str">
        <f t="shared" si="324"/>
        <v>0-3 months</v>
      </c>
      <c r="AU1047" s="22" t="s">
        <v>3240</v>
      </c>
    </row>
    <row r="1048" spans="1:47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316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310"/>
        <v>283000</v>
      </c>
      <c r="AA1048" s="13">
        <v>1.163</v>
      </c>
      <c r="AB1048" s="21">
        <f t="shared" si="306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1"/>
        <v>35073581.838938057</v>
      </c>
      <c r="AJ1048" s="19">
        <f t="shared" si="312"/>
        <v>5034113.9728989396</v>
      </c>
      <c r="AK1048" s="20">
        <f t="shared" si="319"/>
        <v>0.14353007902118958</v>
      </c>
      <c r="AL1048" s="17"/>
      <c r="AM1048" s="17"/>
      <c r="AN1048" s="17"/>
      <c r="AO1048" s="17"/>
      <c r="AP1048" s="28" t="str">
        <f t="shared" si="320"/>
        <v>20228</v>
      </c>
      <c r="AQ1048" s="28" t="str">
        <f t="shared" si="321"/>
        <v>20228RMB</v>
      </c>
      <c r="AR1048" s="206" t="str">
        <f t="shared" si="322"/>
        <v>HELLER</v>
      </c>
      <c r="AS1048" s="22">
        <f t="shared" si="323"/>
        <v>2</v>
      </c>
      <c r="AT1048" s="24" t="str">
        <f t="shared" si="324"/>
        <v>0-3 months</v>
      </c>
      <c r="AU1048" s="22" t="s">
        <v>3240</v>
      </c>
    </row>
    <row r="1049" spans="1:47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316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310"/>
        <v>560000</v>
      </c>
      <c r="AA1049" s="13">
        <v>1.095</v>
      </c>
      <c r="AB1049" s="21">
        <f t="shared" si="306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1"/>
        <v>23168285.927433632</v>
      </c>
      <c r="AJ1049" s="19">
        <f t="shared" si="312"/>
        <v>2764878.916878053</v>
      </c>
      <c r="AK1049" s="20">
        <f t="shared" si="319"/>
        <v>0.11933895004309111</v>
      </c>
      <c r="AL1049" s="17"/>
      <c r="AM1049" s="17"/>
      <c r="AN1049" s="17"/>
      <c r="AO1049" s="17"/>
      <c r="AP1049" s="28" t="str">
        <f t="shared" si="320"/>
        <v>20203</v>
      </c>
      <c r="AQ1049" s="28" t="str">
        <f t="shared" si="321"/>
        <v>20203RMB</v>
      </c>
      <c r="AR1049" s="206" t="str">
        <f t="shared" si="322"/>
        <v>YAMAHA_Mounter</v>
      </c>
      <c r="AS1049" s="22">
        <f t="shared" si="323"/>
        <v>3</v>
      </c>
      <c r="AT1049" s="24" t="str">
        <f t="shared" si="324"/>
        <v>0-3 months</v>
      </c>
      <c r="AU1049" s="22" t="s">
        <v>3240</v>
      </c>
    </row>
    <row r="1050" spans="1:47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316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310"/>
        <v>979199</v>
      </c>
      <c r="AA1050" s="13">
        <v>1.095</v>
      </c>
      <c r="AB1050" s="21">
        <f t="shared" si="306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1"/>
        <v>23168285.927433632</v>
      </c>
      <c r="AJ1050" s="19">
        <f t="shared" si="312"/>
        <v>2764878.916878053</v>
      </c>
      <c r="AK1050" s="20">
        <f t="shared" si="319"/>
        <v>0.11933895004309111</v>
      </c>
      <c r="AL1050" s="17"/>
      <c r="AM1050" s="17"/>
      <c r="AN1050" s="17"/>
      <c r="AO1050" s="17"/>
      <c r="AP1050" s="28" t="str">
        <f t="shared" si="320"/>
        <v>20203</v>
      </c>
      <c r="AQ1050" s="28" t="str">
        <f t="shared" si="321"/>
        <v>20203RMB</v>
      </c>
      <c r="AR1050" s="206" t="str">
        <f t="shared" si="322"/>
        <v>YAMAHA_Mounter</v>
      </c>
      <c r="AS1050" s="22">
        <f t="shared" si="323"/>
        <v>3</v>
      </c>
      <c r="AT1050" s="24" t="str">
        <f t="shared" si="324"/>
        <v>0-3 months</v>
      </c>
      <c r="AU1050" s="22" t="s">
        <v>3240</v>
      </c>
    </row>
    <row r="1051" spans="1:47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316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310"/>
        <v>418879</v>
      </c>
      <c r="AA1051" s="13">
        <v>1.135</v>
      </c>
      <c r="AB1051" s="21">
        <f t="shared" ref="AB1051:AB1114" si="325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1"/>
        <v>31296887.037898075</v>
      </c>
      <c r="AJ1051" s="19">
        <f t="shared" si="312"/>
        <v>3588873.9502021763</v>
      </c>
      <c r="AK1051" s="20">
        <f t="shared" si="319"/>
        <v>0.11467191436184473</v>
      </c>
      <c r="AL1051" s="17"/>
      <c r="AM1051" s="17"/>
      <c r="AN1051" s="17"/>
      <c r="AO1051" s="17"/>
      <c r="AP1051" s="28" t="str">
        <f t="shared" si="320"/>
        <v>20196</v>
      </c>
      <c r="AQ1051" s="28" t="str">
        <f t="shared" si="321"/>
        <v>20196RMB</v>
      </c>
      <c r="AR1051" s="206" t="str">
        <f t="shared" si="322"/>
        <v>YAMAHA_Non_Mounter</v>
      </c>
      <c r="AS1051" s="22">
        <f t="shared" si="323"/>
        <v>5</v>
      </c>
      <c r="AT1051" s="24" t="str">
        <f t="shared" si="324"/>
        <v>4-6 months</v>
      </c>
      <c r="AU1051" s="22" t="s">
        <v>3240</v>
      </c>
    </row>
    <row r="1052" spans="1:47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316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310"/>
        <v>1656034</v>
      </c>
      <c r="AA1052" s="13">
        <v>1.135</v>
      </c>
      <c r="AB1052" s="21">
        <f t="shared" si="325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1"/>
        <v>31296887.037898075</v>
      </c>
      <c r="AJ1052" s="19">
        <f t="shared" si="312"/>
        <v>3588873.9502021763</v>
      </c>
      <c r="AK1052" s="20">
        <f t="shared" si="319"/>
        <v>0.11467191436184473</v>
      </c>
      <c r="AL1052" s="17"/>
      <c r="AM1052" s="17"/>
      <c r="AN1052" s="17"/>
      <c r="AO1052" s="17"/>
      <c r="AP1052" s="28" t="str">
        <f t="shared" si="320"/>
        <v>20196</v>
      </c>
      <c r="AQ1052" s="28" t="str">
        <f t="shared" si="321"/>
        <v>20196RMB</v>
      </c>
      <c r="AR1052" s="206" t="str">
        <f t="shared" si="322"/>
        <v>HELLER</v>
      </c>
      <c r="AS1052" s="22">
        <f t="shared" si="323"/>
        <v>5</v>
      </c>
      <c r="AT1052" s="24" t="str">
        <f t="shared" si="324"/>
        <v>4-6 months</v>
      </c>
      <c r="AU1052" s="22" t="s">
        <v>3240</v>
      </c>
    </row>
    <row r="1053" spans="1:47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316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310"/>
        <v>350000</v>
      </c>
      <c r="AA1053" s="13">
        <v>1.095</v>
      </c>
      <c r="AB1053" s="21">
        <f t="shared" si="325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1"/>
        <v>33477255.428389374</v>
      </c>
      <c r="AJ1053" s="19">
        <f t="shared" si="312"/>
        <v>4578663.362915583</v>
      </c>
      <c r="AK1053" s="20">
        <f t="shared" si="319"/>
        <v>0.13676937682988152</v>
      </c>
      <c r="AL1053" s="17"/>
      <c r="AM1053" s="17"/>
      <c r="AN1053" s="17"/>
      <c r="AO1053" s="17"/>
      <c r="AP1053" s="28" t="str">
        <f t="shared" si="320"/>
        <v>20204</v>
      </c>
      <c r="AQ1053" s="28" t="str">
        <f t="shared" si="321"/>
        <v>20204RMB</v>
      </c>
      <c r="AR1053" s="206" t="str">
        <f t="shared" si="322"/>
        <v>HELLER</v>
      </c>
      <c r="AS1053" s="22">
        <f t="shared" si="323"/>
        <v>4</v>
      </c>
      <c r="AT1053" s="24" t="str">
        <f t="shared" si="324"/>
        <v>4-6 months</v>
      </c>
      <c r="AU1053" s="22" t="s">
        <v>3240</v>
      </c>
    </row>
    <row r="1054" spans="1:47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316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310"/>
        <v>410000</v>
      </c>
      <c r="AA1054" s="13">
        <v>1.095</v>
      </c>
      <c r="AB1054" s="21">
        <f t="shared" si="325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1"/>
        <v>23168285.927433632</v>
      </c>
      <c r="AJ1054" s="19">
        <f t="shared" si="312"/>
        <v>2764878.916878053</v>
      </c>
      <c r="AK1054" s="20">
        <f t="shared" si="319"/>
        <v>0.11933895004309111</v>
      </c>
      <c r="AL1054" s="17"/>
      <c r="AM1054" s="17"/>
      <c r="AN1054" s="17"/>
      <c r="AO1054" s="17"/>
      <c r="AP1054" s="28" t="str">
        <f t="shared" si="320"/>
        <v>20203</v>
      </c>
      <c r="AQ1054" s="28" t="str">
        <f t="shared" si="321"/>
        <v>20203RMB</v>
      </c>
      <c r="AR1054" s="206" t="str">
        <f t="shared" si="322"/>
        <v>YAMAHA_Non_Mounter</v>
      </c>
      <c r="AS1054" s="22">
        <f t="shared" si="323"/>
        <v>3</v>
      </c>
      <c r="AT1054" s="24" t="str">
        <f t="shared" si="324"/>
        <v>0-3 months</v>
      </c>
      <c r="AU1054" s="22" t="s">
        <v>3240</v>
      </c>
    </row>
    <row r="1055" spans="1:47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316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310"/>
        <v>500000</v>
      </c>
      <c r="AA1055" s="13">
        <v>1.095</v>
      </c>
      <c r="AB1055" s="21">
        <f t="shared" si="325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1"/>
        <v>23168285.927433632</v>
      </c>
      <c r="AJ1055" s="19">
        <f t="shared" si="312"/>
        <v>2764878.916878053</v>
      </c>
      <c r="AK1055" s="20">
        <f t="shared" si="319"/>
        <v>0.11933895004309111</v>
      </c>
      <c r="AL1055" s="17"/>
      <c r="AM1055" s="17"/>
      <c r="AN1055" s="17"/>
      <c r="AO1055" s="17"/>
      <c r="AP1055" s="28" t="str">
        <f t="shared" si="320"/>
        <v>20203</v>
      </c>
      <c r="AQ1055" s="28" t="str">
        <f t="shared" si="321"/>
        <v>20203RMB</v>
      </c>
      <c r="AR1055" s="206" t="str">
        <f t="shared" si="322"/>
        <v>YAMAHA_Non_Mounter</v>
      </c>
      <c r="AS1055" s="22">
        <f t="shared" si="323"/>
        <v>3</v>
      </c>
      <c r="AT1055" s="24" t="str">
        <f t="shared" si="324"/>
        <v>0-3 months</v>
      </c>
      <c r="AU1055" s="22" t="s">
        <v>3240</v>
      </c>
    </row>
    <row r="1056" spans="1:47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316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310"/>
        <v>1039000</v>
      </c>
      <c r="AA1056" s="13">
        <v>1.175</v>
      </c>
      <c r="AB1056" s="21">
        <f t="shared" si="325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1"/>
        <v>48763143.537654862</v>
      </c>
      <c r="AJ1056" s="19">
        <f t="shared" si="312"/>
        <v>5924029.9702154724</v>
      </c>
      <c r="AK1056" s="20">
        <f t="shared" si="319"/>
        <v>0.1214858095774925</v>
      </c>
      <c r="AL1056" s="17"/>
      <c r="AM1056" s="17"/>
      <c r="AN1056" s="17"/>
      <c r="AO1056" s="17"/>
      <c r="AP1056" s="28" t="str">
        <f t="shared" si="320"/>
        <v>202012</v>
      </c>
      <c r="AQ1056" s="28" t="str">
        <f t="shared" si="321"/>
        <v>202012RMB</v>
      </c>
      <c r="AR1056" s="206" t="str">
        <f t="shared" si="322"/>
        <v>YAMAHA_Mounter</v>
      </c>
      <c r="AS1056" s="22">
        <f t="shared" si="323"/>
        <v>2</v>
      </c>
      <c r="AT1056" s="24" t="str">
        <f t="shared" si="324"/>
        <v>0-3 months</v>
      </c>
      <c r="AU1056" s="22" t="s">
        <v>3240</v>
      </c>
    </row>
    <row r="1057" spans="1:47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316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310"/>
        <v>761000</v>
      </c>
      <c r="AA1057" s="13">
        <v>1.175</v>
      </c>
      <c r="AB1057" s="21">
        <f t="shared" si="325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1"/>
        <v>48763143.537654862</v>
      </c>
      <c r="AJ1057" s="19">
        <f t="shared" si="312"/>
        <v>5924029.9702154724</v>
      </c>
      <c r="AK1057" s="20">
        <f t="shared" si="319"/>
        <v>0.1214858095774925</v>
      </c>
      <c r="AL1057" s="17"/>
      <c r="AM1057" s="17"/>
      <c r="AN1057" s="17"/>
      <c r="AO1057" s="17"/>
      <c r="AP1057" s="28" t="str">
        <f t="shared" si="320"/>
        <v>202012</v>
      </c>
      <c r="AQ1057" s="28" t="str">
        <f t="shared" si="321"/>
        <v>202012RMB</v>
      </c>
      <c r="AR1057" s="206" t="str">
        <f t="shared" si="322"/>
        <v>YAMAHA_Mounter</v>
      </c>
      <c r="AS1057" s="22">
        <f t="shared" si="323"/>
        <v>2</v>
      </c>
      <c r="AT1057" s="24" t="str">
        <f t="shared" si="324"/>
        <v>0-3 months</v>
      </c>
      <c r="AU1057" s="22" t="s">
        <v>3240</v>
      </c>
    </row>
    <row r="1058" spans="1:47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316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310"/>
        <v>599000</v>
      </c>
      <c r="AA1058" s="13">
        <v>1.23</v>
      </c>
      <c r="AB1058" s="21">
        <f t="shared" si="325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1"/>
        <v>24398045.86045352</v>
      </c>
      <c r="AJ1058" s="19">
        <f t="shared" si="312"/>
        <v>3478417.4064663448</v>
      </c>
      <c r="AK1058" s="20">
        <f t="shared" si="319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320"/>
        <v>20186</v>
      </c>
      <c r="AQ1058" s="28" t="str">
        <f t="shared" si="321"/>
        <v>20186RMB</v>
      </c>
      <c r="AR1058" s="206" t="str">
        <f t="shared" si="322"/>
        <v>YAMAHA_Mounter</v>
      </c>
      <c r="AS1058" s="22">
        <f t="shared" si="323"/>
        <v>2</v>
      </c>
      <c r="AT1058" s="24" t="str">
        <f t="shared" si="324"/>
        <v>0-3 months</v>
      </c>
      <c r="AU1058" s="22" t="s">
        <v>3240</v>
      </c>
    </row>
    <row r="1059" spans="1:47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316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310"/>
        <v>560000</v>
      </c>
      <c r="AA1059" s="13">
        <v>1.163</v>
      </c>
      <c r="AB1059" s="21">
        <f t="shared" si="325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1"/>
        <v>35073581.838938057</v>
      </c>
      <c r="AJ1059" s="19">
        <f t="shared" si="312"/>
        <v>5034113.9728989396</v>
      </c>
      <c r="AK1059" s="20">
        <f t="shared" si="319"/>
        <v>0.14353007902118958</v>
      </c>
      <c r="AL1059" s="17"/>
      <c r="AM1059" s="17"/>
      <c r="AN1059" s="17"/>
      <c r="AO1059" s="17"/>
      <c r="AP1059" s="28" t="str">
        <f t="shared" si="320"/>
        <v>20228</v>
      </c>
      <c r="AQ1059" s="28" t="str">
        <f t="shared" si="321"/>
        <v>20228RMB</v>
      </c>
      <c r="AR1059" s="206" t="str">
        <f t="shared" si="322"/>
        <v>YAMAHA_Mounter</v>
      </c>
      <c r="AS1059" s="22">
        <f t="shared" si="323"/>
        <v>3</v>
      </c>
      <c r="AT1059" s="24" t="str">
        <f t="shared" si="324"/>
        <v>0-3 months</v>
      </c>
      <c r="AU1059" s="22" t="s">
        <v>3240</v>
      </c>
    </row>
    <row r="1060" spans="1:47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316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310"/>
        <v>540000</v>
      </c>
      <c r="AA1060" s="13">
        <v>1.18</v>
      </c>
      <c r="AB1060" s="21">
        <f t="shared" si="325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1"/>
        <v>29946107.503386207</v>
      </c>
      <c r="AJ1060" s="19">
        <f t="shared" si="312"/>
        <v>3987206.4954923098</v>
      </c>
      <c r="AK1060" s="20">
        <f t="shared" si="319"/>
        <v>0.13314606898547499</v>
      </c>
      <c r="AL1060" s="17"/>
      <c r="AM1060" s="17"/>
      <c r="AN1060" s="17"/>
      <c r="AO1060" s="17"/>
      <c r="AP1060" s="28" t="str">
        <f t="shared" si="320"/>
        <v>20187</v>
      </c>
      <c r="AQ1060" s="28" t="str">
        <f t="shared" si="321"/>
        <v>20187RMB</v>
      </c>
      <c r="AR1060" s="206" t="str">
        <f t="shared" si="322"/>
        <v>YAMAHA_Mounter</v>
      </c>
      <c r="AS1060" s="22">
        <f t="shared" si="323"/>
        <v>3</v>
      </c>
      <c r="AT1060" s="24" t="str">
        <f t="shared" si="324"/>
        <v>0-3 months</v>
      </c>
      <c r="AU1060" s="22" t="s">
        <v>3240</v>
      </c>
    </row>
    <row r="1061" spans="1:47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316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310"/>
        <v>435000</v>
      </c>
      <c r="AA1061" s="13">
        <v>1.095</v>
      </c>
      <c r="AB1061" s="21">
        <f t="shared" si="325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1"/>
        <v>10271727.486725664</v>
      </c>
      <c r="AJ1061" s="19">
        <f t="shared" si="312"/>
        <v>1227228.7260761063</v>
      </c>
      <c r="AK1061" s="20">
        <f t="shared" si="319"/>
        <v>0.11947637120066472</v>
      </c>
      <c r="AL1061" s="17"/>
      <c r="AM1061" s="17"/>
      <c r="AN1061" s="17"/>
      <c r="AO1061" s="17"/>
      <c r="AP1061" s="28" t="str">
        <f t="shared" si="320"/>
        <v>202312</v>
      </c>
      <c r="AQ1061" s="28" t="str">
        <f t="shared" si="321"/>
        <v>202312RMB</v>
      </c>
      <c r="AR1061" s="206" t="str">
        <f t="shared" si="322"/>
        <v>YAMAHA_Mounter</v>
      </c>
      <c r="AS1061" s="22">
        <f t="shared" si="323"/>
        <v>3</v>
      </c>
      <c r="AT1061" s="24" t="str">
        <f t="shared" si="324"/>
        <v>0-3 months</v>
      </c>
      <c r="AU1061" s="22" t="s">
        <v>3240</v>
      </c>
    </row>
    <row r="1062" spans="1:47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316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310"/>
        <v>440000</v>
      </c>
      <c r="AA1062" s="13">
        <v>1.077</v>
      </c>
      <c r="AB1062" s="21">
        <f t="shared" si="325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1"/>
        <v>26078226.463097349</v>
      </c>
      <c r="AJ1062" s="19">
        <f t="shared" si="312"/>
        <v>3137870.4427774516</v>
      </c>
      <c r="AK1062" s="20">
        <f t="shared" si="319"/>
        <v>0.12032530077218917</v>
      </c>
      <c r="AL1062" s="17"/>
      <c r="AM1062" s="17"/>
      <c r="AN1062" s="17"/>
      <c r="AO1062" s="17"/>
      <c r="AP1062" s="28" t="str">
        <f t="shared" si="320"/>
        <v>20239</v>
      </c>
      <c r="AQ1062" s="28" t="str">
        <f t="shared" si="321"/>
        <v>20239RMB</v>
      </c>
      <c r="AR1062" s="206" t="str">
        <f t="shared" si="322"/>
        <v>YAMAHA_Mounter</v>
      </c>
      <c r="AS1062" s="22">
        <f t="shared" si="323"/>
        <v>1</v>
      </c>
      <c r="AT1062" s="24" t="str">
        <f t="shared" si="324"/>
        <v>0-3 months</v>
      </c>
      <c r="AU1062" s="22" t="s">
        <v>3240</v>
      </c>
    </row>
    <row r="1063" spans="1:47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316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310"/>
        <v>400000</v>
      </c>
      <c r="AA1063" s="22">
        <v>1.0900000000000001</v>
      </c>
      <c r="AB1063" s="21">
        <f t="shared" si="325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1"/>
        <v>10524262.405309737</v>
      </c>
      <c r="AJ1063" s="27">
        <f t="shared" si="312"/>
        <v>1479050.9527127435</v>
      </c>
      <c r="AK1063" s="28">
        <f t="shared" si="319"/>
        <v>0.14053725532028996</v>
      </c>
      <c r="AL1063" s="24"/>
      <c r="AM1063" s="24"/>
      <c r="AN1063" s="24"/>
      <c r="AO1063" s="24"/>
      <c r="AP1063" s="28" t="str">
        <f t="shared" si="320"/>
        <v>20242</v>
      </c>
      <c r="AQ1063" s="28" t="str">
        <f t="shared" si="321"/>
        <v>20242RMB</v>
      </c>
      <c r="AR1063" s="206" t="str">
        <f t="shared" si="322"/>
        <v>YAMAHA_Non_Mounter</v>
      </c>
      <c r="AS1063" s="22">
        <f t="shared" si="323"/>
        <v>1</v>
      </c>
      <c r="AT1063" s="24" t="str">
        <f t="shared" si="324"/>
        <v>0-3 months</v>
      </c>
      <c r="AU1063" s="22" t="s">
        <v>3240</v>
      </c>
    </row>
    <row r="1064" spans="1:47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316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310"/>
        <v>1040000</v>
      </c>
      <c r="AA1064" s="13">
        <v>1.23</v>
      </c>
      <c r="AB1064" s="21">
        <f t="shared" si="325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1"/>
        <v>29288201.603076916</v>
      </c>
      <c r="AJ1064" s="19">
        <f t="shared" si="312"/>
        <v>3870159.1769246152</v>
      </c>
      <c r="AK1064" s="20">
        <f t="shared" si="319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320"/>
        <v>20184</v>
      </c>
      <c r="AQ1064" s="28" t="str">
        <f t="shared" si="321"/>
        <v>20184RMB</v>
      </c>
      <c r="AR1064" s="206" t="str">
        <f t="shared" si="322"/>
        <v>YAMAHA_Mounter</v>
      </c>
      <c r="AS1064" s="22">
        <f t="shared" si="323"/>
        <v>5</v>
      </c>
      <c r="AT1064" s="24" t="str">
        <f t="shared" si="324"/>
        <v>4-6 months</v>
      </c>
      <c r="AU1064" s="22" t="s">
        <v>3240</v>
      </c>
    </row>
    <row r="1065" spans="1:47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316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310"/>
        <v>699900</v>
      </c>
      <c r="AA1065" s="13">
        <v>1.18</v>
      </c>
      <c r="AB1065" s="21">
        <f t="shared" si="325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1"/>
        <v>1596627.2413793104</v>
      </c>
      <c r="AJ1065" s="19">
        <f t="shared" si="312"/>
        <v>191595.26896551723</v>
      </c>
      <c r="AK1065" s="20">
        <f t="shared" si="319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320"/>
        <v>20181</v>
      </c>
      <c r="AQ1065" s="28" t="str">
        <f t="shared" si="321"/>
        <v>20181RMB</v>
      </c>
      <c r="AR1065" s="206" t="str">
        <f t="shared" si="322"/>
        <v>YAMAHA_Mounter</v>
      </c>
      <c r="AS1065" s="22">
        <f t="shared" si="323"/>
        <v>12</v>
      </c>
      <c r="AT1065" s="24" t="str">
        <f t="shared" si="324"/>
        <v>&gt; 6 months</v>
      </c>
      <c r="AU1065" s="22" t="s">
        <v>3240</v>
      </c>
    </row>
    <row r="1066" spans="1:47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316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310"/>
        <v>440000</v>
      </c>
      <c r="AA1066" s="13">
        <v>1.23</v>
      </c>
      <c r="AB1066" s="21">
        <f t="shared" si="325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1"/>
        <v>29288201.603076916</v>
      </c>
      <c r="AJ1066" s="19">
        <f t="shared" si="312"/>
        <v>3870159.1769246152</v>
      </c>
      <c r="AK1066" s="20">
        <f t="shared" si="319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320"/>
        <v>20184</v>
      </c>
      <c r="AQ1066" s="28" t="str">
        <f t="shared" si="321"/>
        <v>20184RMB</v>
      </c>
      <c r="AR1066" s="206" t="str">
        <f t="shared" si="322"/>
        <v>YAMAHA_Non_Mounter</v>
      </c>
      <c r="AS1066" s="22">
        <f t="shared" si="323"/>
        <v>5</v>
      </c>
      <c r="AT1066" s="24" t="str">
        <f t="shared" si="324"/>
        <v>4-6 months</v>
      </c>
      <c r="AU1066" s="22" t="s">
        <v>3240</v>
      </c>
    </row>
    <row r="1067" spans="1:47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316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310"/>
        <v>538000</v>
      </c>
      <c r="AA1067" s="13">
        <v>1.1499999999999999</v>
      </c>
      <c r="AB1067" s="21">
        <f t="shared" si="325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1"/>
        <v>26754147.763010349</v>
      </c>
      <c r="AJ1067" s="19">
        <f t="shared" si="312"/>
        <v>3429137.9965357962</v>
      </c>
      <c r="AK1067" s="20">
        <f t="shared" si="319"/>
        <v>0.12817220069617921</v>
      </c>
      <c r="AL1067" s="17"/>
      <c r="AM1067" s="17"/>
      <c r="AN1067" s="17"/>
      <c r="AO1067" s="17"/>
      <c r="AP1067" s="28" t="str">
        <f t="shared" si="320"/>
        <v>20188</v>
      </c>
      <c r="AQ1067" s="28" t="str">
        <f t="shared" si="321"/>
        <v>20188RMB</v>
      </c>
      <c r="AR1067" s="206" t="str">
        <f t="shared" si="322"/>
        <v>YAMAHA_Non_Mounter</v>
      </c>
      <c r="AS1067" s="22">
        <f t="shared" si="323"/>
        <v>1</v>
      </c>
      <c r="AT1067" s="24" t="str">
        <f t="shared" si="324"/>
        <v>0-3 months</v>
      </c>
      <c r="AU1067" s="22" t="s">
        <v>3240</v>
      </c>
    </row>
    <row r="1068" spans="1:47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316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310"/>
        <v>1050000</v>
      </c>
      <c r="AA1068" s="13">
        <v>1.1100000000000001</v>
      </c>
      <c r="AB1068" s="21">
        <f t="shared" si="325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1"/>
        <v>27318180.088495575</v>
      </c>
      <c r="AJ1068" s="19">
        <f t="shared" si="312"/>
        <v>3014099.212353982</v>
      </c>
      <c r="AK1068" s="20">
        <f t="shared" si="319"/>
        <v>0.11033308963444827</v>
      </c>
      <c r="AL1068" s="17"/>
      <c r="AM1068" s="17"/>
      <c r="AN1068" s="17"/>
      <c r="AO1068" s="17"/>
      <c r="AP1068" s="28" t="str">
        <f t="shared" si="320"/>
        <v>201912</v>
      </c>
      <c r="AQ1068" s="28" t="str">
        <f t="shared" si="321"/>
        <v>201912RMB</v>
      </c>
      <c r="AR1068" s="206" t="str">
        <f t="shared" si="322"/>
        <v>YAMAHA_Mounter</v>
      </c>
      <c r="AS1068" s="22">
        <f t="shared" si="323"/>
        <v>1</v>
      </c>
      <c r="AT1068" s="24" t="str">
        <f t="shared" si="324"/>
        <v>0-3 months</v>
      </c>
      <c r="AU1068" s="22" t="s">
        <v>3240</v>
      </c>
    </row>
    <row r="1069" spans="1:47" s="12" customFormat="1">
      <c r="A1069" s="33" t="str">
        <f t="shared" si="313"/>
        <v>cancel</v>
      </c>
      <c r="B1069" s="152"/>
      <c r="C1069" s="152" t="s">
        <v>185</v>
      </c>
      <c r="D1069" s="33" t="str">
        <f t="shared" si="314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315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316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310"/>
        <v>810000</v>
      </c>
      <c r="AA1069" s="13">
        <v>1.1100000000000001</v>
      </c>
      <c r="AB1069" s="21">
        <f t="shared" si="325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1"/>
        <v>499582152.5142017</v>
      </c>
      <c r="AJ1069" s="19">
        <f t="shared" si="312"/>
        <v>59520528.679470733</v>
      </c>
      <c r="AK1069" s="20">
        <f t="shared" si="319"/>
        <v>0.11914062257814291</v>
      </c>
      <c r="AL1069" s="17"/>
      <c r="AM1069" s="17"/>
      <c r="AN1069" s="17"/>
      <c r="AO1069" s="17"/>
      <c r="AP1069" s="28" t="str">
        <f t="shared" si="320"/>
        <v>CancelCancel</v>
      </c>
      <c r="AQ1069" s="28" t="str">
        <f t="shared" si="321"/>
        <v>CancelCancelRMB</v>
      </c>
      <c r="AR1069" s="206" t="str">
        <f t="shared" si="322"/>
        <v>YAMAHA_Mounter</v>
      </c>
      <c r="AS1069" s="22" t="str">
        <f t="shared" si="323"/>
        <v/>
      </c>
      <c r="AT1069" s="24" t="str">
        <f t="shared" si="324"/>
        <v/>
      </c>
      <c r="AU1069" s="22" t="s">
        <v>3240</v>
      </c>
    </row>
    <row r="1070" spans="1:47" s="12" customFormat="1">
      <c r="A1070" s="33" t="str">
        <f t="shared" si="313"/>
        <v>cancel</v>
      </c>
      <c r="B1070" s="152"/>
      <c r="C1070" s="152" t="s">
        <v>185</v>
      </c>
      <c r="D1070" s="33" t="str">
        <f t="shared" si="314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315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316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326">IF(X1070="","",X1070*MAX(O1070,N1070))</f>
        <v>690000</v>
      </c>
      <c r="AA1070" s="13">
        <v>1.1100000000000001</v>
      </c>
      <c r="AB1070" s="21">
        <f t="shared" si="325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1"/>
        <v>499582152.5142017</v>
      </c>
      <c r="AJ1070" s="19">
        <f t="shared" si="312"/>
        <v>59520528.679470733</v>
      </c>
      <c r="AK1070" s="20">
        <f t="shared" si="319"/>
        <v>0.11914062257814291</v>
      </c>
      <c r="AL1070" s="17"/>
      <c r="AM1070" s="17"/>
      <c r="AN1070" s="17"/>
      <c r="AO1070" s="17"/>
      <c r="AP1070" s="28" t="str">
        <f t="shared" si="320"/>
        <v>CancelCancel</v>
      </c>
      <c r="AQ1070" s="28" t="str">
        <f t="shared" si="321"/>
        <v>CancelCancelRMB</v>
      </c>
      <c r="AR1070" s="206" t="str">
        <f t="shared" si="322"/>
        <v>YAMAHA_Mounter</v>
      </c>
      <c r="AS1070" s="22" t="str">
        <f t="shared" si="323"/>
        <v/>
      </c>
      <c r="AT1070" s="24" t="str">
        <f t="shared" si="324"/>
        <v/>
      </c>
      <c r="AU1070" s="22" t="s">
        <v>3240</v>
      </c>
    </row>
    <row r="1071" spans="1:47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316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326"/>
        <v>440000</v>
      </c>
      <c r="AA1071" s="13">
        <v>1.135</v>
      </c>
      <c r="AB1071" s="21">
        <f t="shared" si="325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1"/>
        <v>15948576.102654871</v>
      </c>
      <c r="AJ1071" s="19">
        <f t="shared" si="312"/>
        <v>2739848.7004853105</v>
      </c>
      <c r="AK1071" s="20">
        <f t="shared" si="319"/>
        <v>0.17179268436567344</v>
      </c>
      <c r="AL1071" s="17"/>
      <c r="AM1071" s="17"/>
      <c r="AN1071" s="17"/>
      <c r="AO1071" s="17"/>
      <c r="AP1071" s="28" t="str">
        <f t="shared" si="320"/>
        <v>20229</v>
      </c>
      <c r="AQ1071" s="28" t="str">
        <f t="shared" si="321"/>
        <v>20229RMB</v>
      </c>
      <c r="AR1071" s="206" t="str">
        <f t="shared" si="322"/>
        <v>YAMAHA_Mounter</v>
      </c>
      <c r="AS1071" s="22">
        <f t="shared" si="323"/>
        <v>1</v>
      </c>
      <c r="AT1071" s="24" t="str">
        <f t="shared" si="324"/>
        <v>0-3 months</v>
      </c>
      <c r="AU1071" s="22" t="s">
        <v>3240</v>
      </c>
    </row>
    <row r="1072" spans="1:47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316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326"/>
        <v>816000</v>
      </c>
      <c r="AA1072" s="13">
        <v>1.095</v>
      </c>
      <c r="AB1072" s="21">
        <f t="shared" si="325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1"/>
        <v>37599388.802345134</v>
      </c>
      <c r="AJ1072" s="19">
        <f t="shared" si="312"/>
        <v>4866784.3630338367</v>
      </c>
      <c r="AK1072" s="20">
        <f t="shared" si="319"/>
        <v>0.12943785838163113</v>
      </c>
      <c r="AL1072" s="17"/>
      <c r="AM1072" s="17"/>
      <c r="AN1072" s="17"/>
      <c r="AO1072" s="17"/>
      <c r="AP1072" s="28" t="str">
        <f t="shared" si="320"/>
        <v>20199</v>
      </c>
      <c r="AQ1072" s="28" t="str">
        <f t="shared" si="321"/>
        <v>20199RMB</v>
      </c>
      <c r="AR1072" s="206" t="str">
        <f t="shared" si="322"/>
        <v>YAMAHA_Mounter</v>
      </c>
      <c r="AS1072" s="22">
        <f t="shared" si="323"/>
        <v>1</v>
      </c>
      <c r="AT1072" s="24" t="str">
        <f t="shared" si="324"/>
        <v>0-3 months</v>
      </c>
      <c r="AU1072" s="22" t="s">
        <v>3240</v>
      </c>
    </row>
    <row r="1073" spans="1:47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316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326"/>
        <v>800000</v>
      </c>
      <c r="AA1073" s="13">
        <v>1.105</v>
      </c>
      <c r="AB1073" s="21">
        <f t="shared" si="325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1"/>
        <v>37969334.083628319</v>
      </c>
      <c r="AJ1073" s="19">
        <f t="shared" si="312"/>
        <v>5097226.4551657084</v>
      </c>
      <c r="AK1073" s="20">
        <f t="shared" si="319"/>
        <v>0.13424587441904964</v>
      </c>
      <c r="AL1073" s="17"/>
      <c r="AM1073" s="17"/>
      <c r="AN1073" s="17"/>
      <c r="AO1073" s="17"/>
      <c r="AP1073" s="28" t="str">
        <f t="shared" si="320"/>
        <v>20208</v>
      </c>
      <c r="AQ1073" s="28" t="str">
        <f t="shared" si="321"/>
        <v>20208RMB</v>
      </c>
      <c r="AR1073" s="206" t="str">
        <f t="shared" si="322"/>
        <v>YAMAHA_Mounter</v>
      </c>
      <c r="AS1073" s="22">
        <f t="shared" si="323"/>
        <v>3</v>
      </c>
      <c r="AT1073" s="24" t="str">
        <f t="shared" si="324"/>
        <v>0-3 months</v>
      </c>
      <c r="AU1073" s="22" t="s">
        <v>3240</v>
      </c>
    </row>
    <row r="1074" spans="1:47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316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326"/>
        <v>850000</v>
      </c>
      <c r="AA1074" s="13">
        <v>1.105</v>
      </c>
      <c r="AB1074" s="21">
        <f t="shared" si="325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1"/>
        <v>37969334.083628319</v>
      </c>
      <c r="AJ1074" s="19">
        <f t="shared" si="312"/>
        <v>5097226.4551657084</v>
      </c>
      <c r="AK1074" s="20">
        <f t="shared" si="319"/>
        <v>0.13424587441904964</v>
      </c>
      <c r="AL1074" s="17"/>
      <c r="AM1074" s="17"/>
      <c r="AN1074" s="17"/>
      <c r="AO1074" s="17"/>
      <c r="AP1074" s="28" t="str">
        <f t="shared" si="320"/>
        <v>20208</v>
      </c>
      <c r="AQ1074" s="28" t="str">
        <f t="shared" si="321"/>
        <v>20208RMB</v>
      </c>
      <c r="AR1074" s="206" t="str">
        <f t="shared" si="322"/>
        <v>YAMAHA_Mounter</v>
      </c>
      <c r="AS1074" s="22">
        <f t="shared" si="323"/>
        <v>3</v>
      </c>
      <c r="AT1074" s="24" t="str">
        <f t="shared" si="324"/>
        <v>0-3 months</v>
      </c>
      <c r="AU1074" s="22" t="s">
        <v>3240</v>
      </c>
    </row>
    <row r="1075" spans="1:47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316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326"/>
        <v>830000</v>
      </c>
      <c r="AA1075" s="13">
        <v>1.1950000000000001</v>
      </c>
      <c r="AB1075" s="21">
        <f t="shared" si="325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1"/>
        <v>63006605.696460173</v>
      </c>
      <c r="AJ1075" s="19">
        <f t="shared" si="312"/>
        <v>8897485.660753984</v>
      </c>
      <c r="AK1075" s="20">
        <f t="shared" si="319"/>
        <v>0.141215124388995</v>
      </c>
      <c r="AL1075" s="17"/>
      <c r="AM1075" s="17"/>
      <c r="AN1075" s="17"/>
      <c r="AO1075" s="17"/>
      <c r="AP1075" s="28" t="str">
        <f t="shared" si="320"/>
        <v>20215</v>
      </c>
      <c r="AQ1075" s="28" t="str">
        <f t="shared" si="321"/>
        <v>20215RMB</v>
      </c>
      <c r="AR1075" s="206" t="str">
        <f t="shared" si="322"/>
        <v>YAMAHA_Mounter</v>
      </c>
      <c r="AS1075" s="22">
        <f t="shared" si="323"/>
        <v>4</v>
      </c>
      <c r="AT1075" s="24" t="str">
        <f t="shared" si="324"/>
        <v>4-6 months</v>
      </c>
      <c r="AU1075" s="22" t="s">
        <v>3240</v>
      </c>
    </row>
    <row r="1076" spans="1:47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316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326"/>
        <v>11430000</v>
      </c>
      <c r="AA1076" s="13">
        <v>7.3400000000000007E-2</v>
      </c>
      <c r="AB1076" s="21">
        <f t="shared" si="325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1"/>
        <v>35384300.169380538</v>
      </c>
      <c r="AJ1076" s="19">
        <f t="shared" si="312"/>
        <v>5044538.8896988509</v>
      </c>
      <c r="AK1076" s="20">
        <f t="shared" si="319"/>
        <v>0.14256432557804533</v>
      </c>
      <c r="AL1076" s="17"/>
      <c r="AM1076" s="17"/>
      <c r="AN1076" s="17"/>
      <c r="AO1076" s="17"/>
      <c r="AP1076" s="28" t="str">
        <f t="shared" si="320"/>
        <v>20207</v>
      </c>
      <c r="AQ1076" s="28" t="str">
        <f t="shared" si="321"/>
        <v>20207JPY</v>
      </c>
      <c r="AR1076" s="206" t="str">
        <f t="shared" si="322"/>
        <v>YAMAHA_Mounter</v>
      </c>
      <c r="AS1076" s="22">
        <f t="shared" si="323"/>
        <v>1</v>
      </c>
      <c r="AT1076" s="24" t="str">
        <f t="shared" si="324"/>
        <v>0-3 months</v>
      </c>
      <c r="AU1076" s="22" t="s">
        <v>3744</v>
      </c>
    </row>
    <row r="1077" spans="1:47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316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326"/>
        <v>12910000</v>
      </c>
      <c r="AA1077" s="13">
        <v>7.6100000000000001E-2</v>
      </c>
      <c r="AB1077" s="21">
        <f t="shared" si="325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1"/>
        <v>44078731.611185849</v>
      </c>
      <c r="AJ1077" s="19">
        <f t="shared" si="312"/>
        <v>5508173.2163771465</v>
      </c>
      <c r="AK1077" s="20">
        <f t="shared" si="319"/>
        <v>0.12496215328889679</v>
      </c>
      <c r="AL1077" s="17"/>
      <c r="AM1077" s="17"/>
      <c r="AN1077" s="17"/>
      <c r="AO1077" s="17"/>
      <c r="AP1077" s="28" t="str">
        <f t="shared" si="320"/>
        <v>202011</v>
      </c>
      <c r="AQ1077" s="28" t="str">
        <f t="shared" si="321"/>
        <v>202011JPY</v>
      </c>
      <c r="AR1077" s="206" t="str">
        <f t="shared" si="322"/>
        <v>YAMAHA_Mounter</v>
      </c>
      <c r="AS1077" s="22">
        <f t="shared" si="323"/>
        <v>2</v>
      </c>
      <c r="AT1077" s="24" t="str">
        <f t="shared" si="324"/>
        <v>0-3 months</v>
      </c>
      <c r="AU1077" s="22" t="s">
        <v>3744</v>
      </c>
    </row>
    <row r="1078" spans="1:47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316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326"/>
        <v>12600000</v>
      </c>
      <c r="AA1078" s="13">
        <v>7.6799999999999993E-2</v>
      </c>
      <c r="AB1078" s="21">
        <f t="shared" si="325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1"/>
        <v>45803245.025628321</v>
      </c>
      <c r="AJ1078" s="19">
        <f t="shared" si="312"/>
        <v>5664636.2584379362</v>
      </c>
      <c r="AK1078" s="20">
        <f t="shared" si="319"/>
        <v>0.12367325186825515</v>
      </c>
      <c r="AL1078" s="17"/>
      <c r="AM1078" s="17"/>
      <c r="AN1078" s="17"/>
      <c r="AO1078" s="17"/>
      <c r="AP1078" s="28" t="str">
        <f t="shared" si="320"/>
        <v>20211</v>
      </c>
      <c r="AQ1078" s="28" t="str">
        <f t="shared" si="321"/>
        <v>20211JPY</v>
      </c>
      <c r="AR1078" s="206" t="str">
        <f t="shared" si="322"/>
        <v>YAMAHA_Mounter</v>
      </c>
      <c r="AS1078" s="22">
        <f t="shared" si="323"/>
        <v>3</v>
      </c>
      <c r="AT1078" s="24" t="str">
        <f t="shared" si="324"/>
        <v>0-3 months</v>
      </c>
      <c r="AU1078" s="22" t="s">
        <v>3744</v>
      </c>
    </row>
    <row r="1079" spans="1:47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316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326"/>
        <v>11100000</v>
      </c>
      <c r="AA1079" s="13">
        <v>7.0999999999999994E-2</v>
      </c>
      <c r="AB1079" s="21">
        <f t="shared" si="325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1"/>
        <v>15533177.71460177</v>
      </c>
      <c r="AJ1079" s="19">
        <f t="shared" si="312"/>
        <v>1819298.5437526547</v>
      </c>
      <c r="AK1079" s="20">
        <f t="shared" si="319"/>
        <v>0.11712339723265033</v>
      </c>
      <c r="AL1079" s="17"/>
      <c r="AM1079" s="17"/>
      <c r="AN1079" s="17"/>
      <c r="AO1079" s="17"/>
      <c r="AP1079" s="28" t="str">
        <f t="shared" si="320"/>
        <v>202110</v>
      </c>
      <c r="AQ1079" s="28" t="str">
        <f t="shared" si="321"/>
        <v>202110JPY</v>
      </c>
      <c r="AR1079" s="206" t="str">
        <f t="shared" si="322"/>
        <v>YAMAHA_Mounter</v>
      </c>
      <c r="AS1079" s="22">
        <f t="shared" si="323"/>
        <v>6</v>
      </c>
      <c r="AT1079" s="24" t="str">
        <f t="shared" si="324"/>
        <v>4-6 months</v>
      </c>
      <c r="AU1079" s="22" t="s">
        <v>3744</v>
      </c>
    </row>
    <row r="1080" spans="1:47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316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326"/>
        <v>11100000</v>
      </c>
      <c r="AA1080" s="13">
        <v>6.9199999999999998E-2</v>
      </c>
      <c r="AB1080" s="21">
        <f t="shared" si="325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1"/>
        <v>26407088.359292038</v>
      </c>
      <c r="AJ1080" s="19">
        <f t="shared" si="312"/>
        <v>3424510.6998470789</v>
      </c>
      <c r="AK1080" s="20">
        <f t="shared" si="319"/>
        <v>0.12968149510667554</v>
      </c>
      <c r="AL1080" s="17"/>
      <c r="AM1080" s="17"/>
      <c r="AN1080" s="17"/>
      <c r="AO1080" s="17"/>
      <c r="AP1080" s="28" t="str">
        <f t="shared" si="320"/>
        <v>20221</v>
      </c>
      <c r="AQ1080" s="28" t="str">
        <f t="shared" si="321"/>
        <v>20221JPY</v>
      </c>
      <c r="AR1080" s="206" t="str">
        <f t="shared" si="322"/>
        <v>YAMAHA_Mounter</v>
      </c>
      <c r="AS1080" s="22">
        <f t="shared" si="323"/>
        <v>9</v>
      </c>
      <c r="AT1080" s="24" t="str">
        <f t="shared" si="324"/>
        <v>&gt; 6 months</v>
      </c>
      <c r="AU1080" s="22" t="s">
        <v>3744</v>
      </c>
    </row>
    <row r="1081" spans="1:47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316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326"/>
        <v>846000</v>
      </c>
      <c r="AA1081" s="13">
        <v>1.1299999999999999</v>
      </c>
      <c r="AB1081" s="21">
        <f t="shared" si="325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1"/>
        <v>33543315.897345133</v>
      </c>
      <c r="AJ1081" s="19">
        <f t="shared" si="312"/>
        <v>4706169.3252984071</v>
      </c>
      <c r="AK1081" s="20">
        <f t="shared" si="319"/>
        <v>0.14030125523967318</v>
      </c>
      <c r="AL1081" s="17"/>
      <c r="AM1081" s="17"/>
      <c r="AN1081" s="17"/>
      <c r="AO1081" s="17"/>
      <c r="AP1081" s="28" t="str">
        <f t="shared" si="320"/>
        <v>20233</v>
      </c>
      <c r="AQ1081" s="28" t="str">
        <f t="shared" si="321"/>
        <v>20233RMB</v>
      </c>
      <c r="AR1081" s="206" t="str">
        <f t="shared" si="322"/>
        <v>YAMAHA_Mounter</v>
      </c>
      <c r="AS1081" s="22">
        <f t="shared" si="323"/>
        <v>0</v>
      </c>
      <c r="AT1081" s="24" t="str">
        <f t="shared" si="324"/>
        <v>0-3 months</v>
      </c>
      <c r="AU1081" s="22" t="s">
        <v>3750</v>
      </c>
    </row>
    <row r="1082" spans="1:47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316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326"/>
        <v>846000</v>
      </c>
      <c r="AA1082" s="13">
        <v>1.1299999999999999</v>
      </c>
      <c r="AB1082" s="21">
        <f t="shared" si="325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1"/>
        <v>33543315.897345133</v>
      </c>
      <c r="AJ1082" s="19">
        <f t="shared" si="312"/>
        <v>4706169.3252984071</v>
      </c>
      <c r="AK1082" s="20">
        <f t="shared" si="319"/>
        <v>0.14030125523967318</v>
      </c>
      <c r="AL1082" s="17"/>
      <c r="AM1082" s="17"/>
      <c r="AN1082" s="17"/>
      <c r="AO1082" s="17"/>
      <c r="AP1082" s="28" t="str">
        <f t="shared" si="320"/>
        <v>20233</v>
      </c>
      <c r="AQ1082" s="28" t="str">
        <f t="shared" si="321"/>
        <v>20233RMB</v>
      </c>
      <c r="AR1082" s="206" t="str">
        <f t="shared" si="322"/>
        <v>YAMAHA_Mounter</v>
      </c>
      <c r="AS1082" s="22">
        <f t="shared" si="323"/>
        <v>0</v>
      </c>
      <c r="AT1082" s="24" t="str">
        <f t="shared" si="324"/>
        <v>0-3 months</v>
      </c>
      <c r="AU1082" s="22" t="s">
        <v>3750</v>
      </c>
    </row>
    <row r="1083" spans="1:47" s="12" customFormat="1">
      <c r="A1083" s="33" t="str">
        <f t="shared" si="313"/>
        <v>cancel</v>
      </c>
      <c r="B1083" s="152"/>
      <c r="C1083" s="152" t="s">
        <v>185</v>
      </c>
      <c r="D1083" s="33" t="str">
        <f t="shared" si="314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315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316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326"/>
        <v>1067000</v>
      </c>
      <c r="AA1083" s="13">
        <v>1.095</v>
      </c>
      <c r="AB1083" s="21">
        <f t="shared" si="325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1"/>
        <v>499582152.5142017</v>
      </c>
      <c r="AJ1083" s="19">
        <f t="shared" si="312"/>
        <v>59520528.679470733</v>
      </c>
      <c r="AK1083" s="20">
        <f t="shared" si="319"/>
        <v>0.11914062257814291</v>
      </c>
      <c r="AL1083" s="17"/>
      <c r="AM1083" s="17"/>
      <c r="AN1083" s="17"/>
      <c r="AO1083" s="17"/>
      <c r="AP1083" s="28" t="str">
        <f t="shared" si="320"/>
        <v>CancelCancel</v>
      </c>
      <c r="AQ1083" s="28" t="str">
        <f t="shared" si="321"/>
        <v>CancelCancelRMB</v>
      </c>
      <c r="AR1083" s="206" t="str">
        <f t="shared" si="322"/>
        <v>YAMAHA_Mounter</v>
      </c>
      <c r="AS1083" s="22" t="str">
        <f t="shared" si="323"/>
        <v/>
      </c>
      <c r="AT1083" s="24" t="str">
        <f t="shared" si="324"/>
        <v/>
      </c>
      <c r="AU1083" s="22" t="s">
        <v>3743</v>
      </c>
    </row>
    <row r="1084" spans="1:47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316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326"/>
        <v>7900000</v>
      </c>
      <c r="AA1084" s="13">
        <v>7.3400000000000007E-2</v>
      </c>
      <c r="AB1084" s="21">
        <f t="shared" si="325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1"/>
        <v>35384300.169380538</v>
      </c>
      <c r="AJ1084" s="19">
        <f t="shared" si="312"/>
        <v>5044538.8896988509</v>
      </c>
      <c r="AK1084" s="20">
        <f t="shared" si="319"/>
        <v>0.14256432557804533</v>
      </c>
      <c r="AL1084" s="17"/>
      <c r="AM1084" s="17"/>
      <c r="AN1084" s="17"/>
      <c r="AO1084" s="17"/>
      <c r="AP1084" s="28" t="str">
        <f t="shared" si="320"/>
        <v>20207</v>
      </c>
      <c r="AQ1084" s="28" t="str">
        <f t="shared" si="321"/>
        <v>20207JPY</v>
      </c>
      <c r="AR1084" s="206" t="str">
        <f t="shared" si="322"/>
        <v>YAMAHA_Mounter</v>
      </c>
      <c r="AS1084" s="22">
        <f t="shared" si="323"/>
        <v>0</v>
      </c>
      <c r="AT1084" s="24" t="str">
        <f t="shared" si="324"/>
        <v>0-3 months</v>
      </c>
      <c r="AU1084" s="22" t="s">
        <v>3744</v>
      </c>
    </row>
    <row r="1085" spans="1:47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316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326"/>
        <v>7100000</v>
      </c>
      <c r="AA1085" s="13">
        <v>5.3400000000000003E-2</v>
      </c>
      <c r="AB1085" s="21">
        <f t="shared" si="325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1"/>
        <v>11730565.00042478</v>
      </c>
      <c r="AJ1085" s="19">
        <f t="shared" si="312"/>
        <v>1439625.5685810833</v>
      </c>
      <c r="AK1085" s="20">
        <f t="shared" si="319"/>
        <v>0.12272431622253084</v>
      </c>
      <c r="AL1085" s="17"/>
      <c r="AM1085" s="17"/>
      <c r="AN1085" s="17"/>
      <c r="AO1085" s="17"/>
      <c r="AP1085" s="28" t="str">
        <f t="shared" si="320"/>
        <v>202311</v>
      </c>
      <c r="AQ1085" s="28" t="str">
        <f t="shared" si="321"/>
        <v>202311JPY</v>
      </c>
      <c r="AR1085" s="206" t="str">
        <f t="shared" si="322"/>
        <v>YAMAHA_Mounter</v>
      </c>
      <c r="AS1085" s="22">
        <f t="shared" si="323"/>
        <v>0</v>
      </c>
      <c r="AT1085" s="24" t="str">
        <f t="shared" si="324"/>
        <v>0-3 months</v>
      </c>
      <c r="AU1085" s="22" t="s">
        <v>3744</v>
      </c>
    </row>
    <row r="1086" spans="1:47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316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326"/>
        <v>7100000</v>
      </c>
      <c r="AA1086" s="13">
        <v>5.3400000000000003E-2</v>
      </c>
      <c r="AB1086" s="21">
        <f t="shared" si="325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1"/>
        <v>11730565.00042478</v>
      </c>
      <c r="AJ1086" s="19">
        <f t="shared" si="312"/>
        <v>1439625.5685810833</v>
      </c>
      <c r="AK1086" s="20">
        <f t="shared" si="319"/>
        <v>0.12272431622253084</v>
      </c>
      <c r="AL1086" s="17"/>
      <c r="AM1086" s="17"/>
      <c r="AN1086" s="17"/>
      <c r="AO1086" s="17"/>
      <c r="AP1086" s="28" t="str">
        <f t="shared" si="320"/>
        <v>202311</v>
      </c>
      <c r="AQ1086" s="28" t="str">
        <f t="shared" si="321"/>
        <v>202311JPY</v>
      </c>
      <c r="AR1086" s="206" t="str">
        <f t="shared" si="322"/>
        <v>YAMAHA_Mounter</v>
      </c>
      <c r="AS1086" s="22">
        <f t="shared" si="323"/>
        <v>0</v>
      </c>
      <c r="AT1086" s="24" t="str">
        <f t="shared" si="324"/>
        <v>0-3 months</v>
      </c>
      <c r="AU1086" s="22" t="s">
        <v>3744</v>
      </c>
    </row>
    <row r="1087" spans="1:47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316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326"/>
        <v>6936000</v>
      </c>
      <c r="AA1087" s="13">
        <v>7.51E-2</v>
      </c>
      <c r="AB1087" s="21">
        <f t="shared" si="325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1"/>
        <v>29288201.603076916</v>
      </c>
      <c r="AJ1087" s="19">
        <f t="shared" si="312"/>
        <v>3870159.1769246152</v>
      </c>
      <c r="AK1087" s="20">
        <f t="shared" si="319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320"/>
        <v>20184</v>
      </c>
      <c r="AQ1087" s="28" t="str">
        <f t="shared" si="321"/>
        <v>20184JPY</v>
      </c>
      <c r="AR1087" s="206" t="str">
        <f t="shared" si="322"/>
        <v>YAMAHA_Mounter</v>
      </c>
      <c r="AS1087" s="22" t="str">
        <f t="shared" si="323"/>
        <v/>
      </c>
      <c r="AT1087" s="24" t="str">
        <f t="shared" si="324"/>
        <v/>
      </c>
      <c r="AU1087" s="22" t="s">
        <v>3744</v>
      </c>
    </row>
    <row r="1088" spans="1:47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316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326"/>
        <v>10500000</v>
      </c>
      <c r="AA1088" s="13">
        <v>7.2800000000000004E-2</v>
      </c>
      <c r="AB1088" s="21">
        <f t="shared" si="325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1"/>
        <v>63006605.696460173</v>
      </c>
      <c r="AJ1088" s="19">
        <f t="shared" si="312"/>
        <v>8897485.660753984</v>
      </c>
      <c r="AK1088" s="20">
        <f t="shared" si="319"/>
        <v>0.141215124388995</v>
      </c>
      <c r="AL1088" s="17"/>
      <c r="AM1088" s="17"/>
      <c r="AN1088" s="17"/>
      <c r="AO1088" s="17"/>
      <c r="AP1088" s="28" t="str">
        <f t="shared" si="320"/>
        <v>20215</v>
      </c>
      <c r="AQ1088" s="28" t="str">
        <f t="shared" si="321"/>
        <v>20215JPY</v>
      </c>
      <c r="AR1088" s="206" t="str">
        <f t="shared" si="322"/>
        <v>YAMAHA_Mounter</v>
      </c>
      <c r="AS1088" s="22">
        <f t="shared" si="323"/>
        <v>3</v>
      </c>
      <c r="AT1088" s="24" t="str">
        <f t="shared" si="324"/>
        <v>0-3 months</v>
      </c>
      <c r="AU1088" s="22" t="s">
        <v>3744</v>
      </c>
    </row>
    <row r="1089" spans="1:47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316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326"/>
        <v>10500000</v>
      </c>
      <c r="AA1089" s="13">
        <v>7.2800000000000004E-2</v>
      </c>
      <c r="AB1089" s="21">
        <f t="shared" si="325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1"/>
        <v>63006605.696460173</v>
      </c>
      <c r="AJ1089" s="19">
        <f t="shared" si="312"/>
        <v>8897485.660753984</v>
      </c>
      <c r="AK1089" s="20">
        <f t="shared" si="319"/>
        <v>0.141215124388995</v>
      </c>
      <c r="AL1089" s="17"/>
      <c r="AM1089" s="17"/>
      <c r="AN1089" s="17"/>
      <c r="AO1089" s="17"/>
      <c r="AP1089" s="28" t="str">
        <f t="shared" si="320"/>
        <v>20215</v>
      </c>
      <c r="AQ1089" s="28" t="str">
        <f t="shared" si="321"/>
        <v>20215JPY</v>
      </c>
      <c r="AR1089" s="206" t="str">
        <f t="shared" si="322"/>
        <v>YAMAHA_Mounter</v>
      </c>
      <c r="AS1089" s="22">
        <f t="shared" si="323"/>
        <v>3</v>
      </c>
      <c r="AT1089" s="24" t="str">
        <f t="shared" si="324"/>
        <v>0-3 months</v>
      </c>
      <c r="AU1089" s="22" t="s">
        <v>3744</v>
      </c>
    </row>
    <row r="1090" spans="1:47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316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326"/>
        <v>11000000</v>
      </c>
      <c r="AA1090" s="13">
        <v>7.0400000000000004E-2</v>
      </c>
      <c r="AB1090" s="21">
        <f t="shared" si="325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ref="AI1090:AI1153" si="327">IF(P1090="C66 SERVICE","",SUMIFS(AB:AB,F:F,F1090,G:G,G1090,E:E,E1090))</f>
        <v>29840797.698275864</v>
      </c>
      <c r="AJ1090" s="19">
        <f t="shared" ref="AJ1090:AJ1153" si="328">IF(P1090="C66 SERVICE","",SUMIFS(AC:AC,F:F,F1090,G:G,G1090,E:E,E1090))</f>
        <v>3940167.6555448272</v>
      </c>
      <c r="AK1090" s="20">
        <f t="shared" si="319"/>
        <v>0.13203962224416277</v>
      </c>
      <c r="AL1090" s="17"/>
      <c r="AM1090" s="17"/>
      <c r="AN1090" s="17"/>
      <c r="AO1090" s="17"/>
      <c r="AP1090" s="28" t="str">
        <f t="shared" si="320"/>
        <v>201812</v>
      </c>
      <c r="AQ1090" s="28" t="str">
        <f t="shared" si="321"/>
        <v>201812JPY</v>
      </c>
      <c r="AR1090" s="206" t="str">
        <f t="shared" si="322"/>
        <v>YAMAHA_Mounter</v>
      </c>
      <c r="AS1090" s="22">
        <f t="shared" si="323"/>
        <v>1</v>
      </c>
      <c r="AT1090" s="24" t="str">
        <f t="shared" si="324"/>
        <v>0-3 months</v>
      </c>
      <c r="AU1090" s="22" t="s">
        <v>3744</v>
      </c>
    </row>
    <row r="1091" spans="1:47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316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326"/>
        <v>12500000</v>
      </c>
      <c r="AA1091" s="13">
        <v>7.0400000000000004E-2</v>
      </c>
      <c r="AB1091" s="21">
        <f t="shared" si="325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27"/>
        <v>29840797.698275864</v>
      </c>
      <c r="AJ1091" s="19">
        <f t="shared" si="328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6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  <c r="AU1091" s="22" t="s">
        <v>3744</v>
      </c>
    </row>
    <row r="1092" spans="1:47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316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326"/>
        <v>812550</v>
      </c>
      <c r="AA1092" s="13">
        <v>1.135</v>
      </c>
      <c r="AB1092" s="21">
        <f t="shared" si="325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27"/>
        <v>28177779.013274338</v>
      </c>
      <c r="AJ1092" s="19">
        <f t="shared" si="328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6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  <c r="AU1092" s="22" t="s">
        <v>3750</v>
      </c>
    </row>
    <row r="1093" spans="1:47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316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326"/>
        <v>812550</v>
      </c>
      <c r="AA1093" s="13">
        <v>1.135</v>
      </c>
      <c r="AB1093" s="21">
        <f t="shared" si="325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27"/>
        <v>28177779.013274338</v>
      </c>
      <c r="AJ1093" s="19">
        <f t="shared" si="328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6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  <c r="AU1093" s="22" t="s">
        <v>3750</v>
      </c>
    </row>
    <row r="1094" spans="1:47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326"/>
        <v>1080000</v>
      </c>
      <c r="AA1094" s="13">
        <v>1.095</v>
      </c>
      <c r="AB1094" s="21">
        <f t="shared" si="325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si="327"/>
        <v>33477255.428389374</v>
      </c>
      <c r="AJ1094" s="19">
        <f t="shared" si="328"/>
        <v>4578663.362915583</v>
      </c>
      <c r="AK1094" s="20">
        <f t="shared" ref="AK1094:AK1157" si="335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6">IF(F1094="","",F1094&amp;G1094)</f>
        <v>20204</v>
      </c>
      <c r="AQ1094" s="28" t="str">
        <f t="shared" ref="AQ1094:AQ1157" si="337">IF(W1094="","",F1094&amp;G1094&amp;W1094)</f>
        <v>20204RMB</v>
      </c>
      <c r="AR1094" s="206" t="str">
        <f t="shared" ref="AR1094:AR1157" si="338">IFERROR(IF(AND(M1094="YAMAHA", R1094="C28"), "YAMAHA_Non_Mounter", IF(AND(M1094="YAMAHA", R1094="C49"), "YAMAHA_Mounter", M1094)),"")</f>
        <v>YAMAHA_Mounter</v>
      </c>
      <c r="AS1094" s="22">
        <f t="shared" ref="AS1094:AS1157" si="339">IFERROR(IF(OR(G1094="TBA", G1094=""), "", DATEDIF(DATE(B1094, C1094, 1), DATE(F1094, G1094, 1), "M")),"")</f>
        <v>0</v>
      </c>
      <c r="AT1094" s="24" t="str">
        <f t="shared" ref="AT1094:AT1157" si="340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332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326"/>
        <v>1130000</v>
      </c>
      <c r="AA1095" s="13">
        <v>1.105</v>
      </c>
      <c r="AB1095" s="21">
        <f t="shared" si="325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27"/>
        <v>37969334.083628319</v>
      </c>
      <c r="AJ1095" s="19">
        <f t="shared" si="328"/>
        <v>5097226.4551657084</v>
      </c>
      <c r="AK1095" s="20">
        <f t="shared" si="335"/>
        <v>0.13424587441904964</v>
      </c>
      <c r="AL1095" s="17"/>
      <c r="AM1095" s="17"/>
      <c r="AN1095" s="17"/>
      <c r="AO1095" s="17"/>
      <c r="AP1095" s="28" t="str">
        <f t="shared" si="336"/>
        <v>20208</v>
      </c>
      <c r="AQ1095" s="28" t="str">
        <f t="shared" si="337"/>
        <v>20208RMB</v>
      </c>
      <c r="AR1095" s="206" t="str">
        <f t="shared" si="338"/>
        <v>YAMAHA_Mounter</v>
      </c>
      <c r="AS1095" s="22">
        <f t="shared" si="339"/>
        <v>3</v>
      </c>
      <c r="AT1095" s="24" t="str">
        <f t="shared" si="340"/>
        <v>0-3 months</v>
      </c>
      <c r="AU1095" s="22" t="s">
        <v>3240</v>
      </c>
    </row>
    <row r="1096" spans="1:47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332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326"/>
        <v>645000</v>
      </c>
      <c r="AA1096" s="13">
        <v>1.2150000000000001</v>
      </c>
      <c r="AB1096" s="21">
        <f t="shared" si="325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27"/>
        <v>54700260.692079648</v>
      </c>
      <c r="AJ1096" s="19">
        <f t="shared" si="328"/>
        <v>7482899.5749188727</v>
      </c>
      <c r="AK1096" s="20">
        <f t="shared" si="335"/>
        <v>0.13679824337660537</v>
      </c>
      <c r="AL1096" s="17"/>
      <c r="AM1096" s="17"/>
      <c r="AN1096" s="17"/>
      <c r="AO1096" s="17"/>
      <c r="AP1096" s="28" t="str">
        <f t="shared" si="336"/>
        <v>20216</v>
      </c>
      <c r="AQ1096" s="28" t="str">
        <f t="shared" si="337"/>
        <v>20216RMB</v>
      </c>
      <c r="AR1096" s="206" t="str">
        <f t="shared" si="338"/>
        <v>HELLER</v>
      </c>
      <c r="AS1096" s="22">
        <f t="shared" si="339"/>
        <v>4</v>
      </c>
      <c r="AT1096" s="24" t="str">
        <f t="shared" si="340"/>
        <v>4-6 months</v>
      </c>
      <c r="AU1096" s="22" t="s">
        <v>3240</v>
      </c>
    </row>
    <row r="1097" spans="1:47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332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326"/>
        <v>320000</v>
      </c>
      <c r="AA1097" s="13">
        <v>1.175</v>
      </c>
      <c r="AB1097" s="21">
        <f t="shared" si="325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27"/>
        <v>48763143.537654862</v>
      </c>
      <c r="AJ1097" s="19">
        <f t="shared" si="328"/>
        <v>5924029.9702154724</v>
      </c>
      <c r="AK1097" s="20">
        <f t="shared" si="335"/>
        <v>0.1214858095774925</v>
      </c>
      <c r="AL1097" s="17"/>
      <c r="AM1097" s="17"/>
      <c r="AN1097" s="17"/>
      <c r="AO1097" s="17"/>
      <c r="AP1097" s="28" t="str">
        <f t="shared" si="336"/>
        <v>202012</v>
      </c>
      <c r="AQ1097" s="28" t="str">
        <f t="shared" si="337"/>
        <v>202012RMB</v>
      </c>
      <c r="AR1097" s="206" t="str">
        <f t="shared" si="338"/>
        <v>HELLER</v>
      </c>
      <c r="AS1097" s="22">
        <f t="shared" si="339"/>
        <v>3</v>
      </c>
      <c r="AT1097" s="24" t="str">
        <f t="shared" si="340"/>
        <v>0-3 months</v>
      </c>
      <c r="AU1097" s="22" t="s">
        <v>3240</v>
      </c>
    </row>
    <row r="1098" spans="1:47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332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326"/>
        <v>285000</v>
      </c>
      <c r="AA1098" s="13">
        <v>1.1299999999999999</v>
      </c>
      <c r="AB1098" s="21">
        <f t="shared" si="325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27"/>
        <v>33543315.897345133</v>
      </c>
      <c r="AJ1098" s="19">
        <f t="shared" si="328"/>
        <v>4706169.3252984071</v>
      </c>
      <c r="AK1098" s="20">
        <f t="shared" si="335"/>
        <v>0.14030125523967318</v>
      </c>
      <c r="AL1098" s="17"/>
      <c r="AM1098" s="17"/>
      <c r="AN1098" s="17"/>
      <c r="AO1098" s="17"/>
      <c r="AP1098" s="28" t="str">
        <f t="shared" si="336"/>
        <v>20233</v>
      </c>
      <c r="AQ1098" s="28" t="str">
        <f t="shared" si="337"/>
        <v>20233RMB</v>
      </c>
      <c r="AR1098" s="206" t="str">
        <f t="shared" si="338"/>
        <v>HELLER</v>
      </c>
      <c r="AS1098" s="22">
        <f t="shared" si="339"/>
        <v>1</v>
      </c>
      <c r="AT1098" s="24" t="str">
        <f t="shared" si="340"/>
        <v>0-3 months</v>
      </c>
      <c r="AU1098" s="22" t="s">
        <v>3240</v>
      </c>
    </row>
    <row r="1099" spans="1:47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332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326"/>
        <v>262000</v>
      </c>
      <c r="AA1099" s="13">
        <v>1.2</v>
      </c>
      <c r="AB1099" s="21">
        <f t="shared" si="325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27"/>
        <v>15533177.71460177</v>
      </c>
      <c r="AJ1099" s="19">
        <f t="shared" si="328"/>
        <v>1819298.5437526547</v>
      </c>
      <c r="AK1099" s="20">
        <f t="shared" si="335"/>
        <v>0.11712339723265033</v>
      </c>
      <c r="AL1099" s="17"/>
      <c r="AM1099" s="17"/>
      <c r="AN1099" s="17"/>
      <c r="AO1099" s="17"/>
      <c r="AP1099" s="28" t="str">
        <f t="shared" si="336"/>
        <v>202110</v>
      </c>
      <c r="AQ1099" s="28" t="str">
        <f t="shared" si="337"/>
        <v>202110RMB</v>
      </c>
      <c r="AR1099" s="206" t="str">
        <f t="shared" si="338"/>
        <v>HELLER</v>
      </c>
      <c r="AS1099" s="22">
        <f t="shared" si="339"/>
        <v>6</v>
      </c>
      <c r="AT1099" s="24" t="str">
        <f t="shared" si="340"/>
        <v>4-6 months</v>
      </c>
      <c r="AU1099" s="22" t="s">
        <v>3743</v>
      </c>
    </row>
    <row r="1100" spans="1:47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332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326"/>
        <v>3156450</v>
      </c>
      <c r="AA1100" s="13">
        <v>1.105</v>
      </c>
      <c r="AB1100" s="21">
        <f t="shared" si="325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27"/>
        <v>37969334.083628319</v>
      </c>
      <c r="AJ1100" s="19">
        <f t="shared" si="328"/>
        <v>5097226.4551657084</v>
      </c>
      <c r="AK1100" s="20">
        <f t="shared" si="335"/>
        <v>0.13424587441904964</v>
      </c>
      <c r="AL1100" s="17"/>
      <c r="AM1100" s="17"/>
      <c r="AN1100" s="17"/>
      <c r="AO1100" s="17"/>
      <c r="AP1100" s="28" t="str">
        <f t="shared" si="336"/>
        <v>20208</v>
      </c>
      <c r="AQ1100" s="28" t="str">
        <f t="shared" si="337"/>
        <v>20208RMB</v>
      </c>
      <c r="AR1100" s="206" t="str">
        <f t="shared" si="338"/>
        <v>YAMAHA_Mounter</v>
      </c>
      <c r="AS1100" s="22">
        <f t="shared" si="339"/>
        <v>2</v>
      </c>
      <c r="AT1100" s="24" t="str">
        <f t="shared" si="340"/>
        <v>0-3 months</v>
      </c>
      <c r="AU1100" s="22" t="s">
        <v>3240</v>
      </c>
    </row>
    <row r="1101" spans="1:47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332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326"/>
        <v>4500000</v>
      </c>
      <c r="AA1101" s="13">
        <v>1.095</v>
      </c>
      <c r="AB1101" s="21">
        <f t="shared" si="325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27"/>
        <v>35384300.169380538</v>
      </c>
      <c r="AJ1101" s="19">
        <f t="shared" si="328"/>
        <v>5044538.8896988509</v>
      </c>
      <c r="AK1101" s="20">
        <f t="shared" si="335"/>
        <v>0.14256432557804533</v>
      </c>
      <c r="AL1101" s="17"/>
      <c r="AM1101" s="17"/>
      <c r="AN1101" s="17"/>
      <c r="AO1101" s="17"/>
      <c r="AP1101" s="28" t="str">
        <f t="shared" si="336"/>
        <v>20207</v>
      </c>
      <c r="AQ1101" s="28" t="str">
        <f t="shared" si="337"/>
        <v>20207RMB</v>
      </c>
      <c r="AR1101" s="206" t="str">
        <f t="shared" si="338"/>
        <v>YAMAHA_Mounter</v>
      </c>
      <c r="AS1101" s="22">
        <f t="shared" si="339"/>
        <v>1</v>
      </c>
      <c r="AT1101" s="24" t="str">
        <f t="shared" si="340"/>
        <v>0-3 months</v>
      </c>
      <c r="AU1101" s="22" t="s">
        <v>3240</v>
      </c>
    </row>
    <row r="1102" spans="1:47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332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326"/>
        <v>370172</v>
      </c>
      <c r="AA1102" s="13">
        <v>1.1599999999999999</v>
      </c>
      <c r="AB1102" s="21">
        <f t="shared" si="325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27"/>
        <v>32843736.557277881</v>
      </c>
      <c r="AJ1102" s="19">
        <f t="shared" si="328"/>
        <v>3921470.6822663117</v>
      </c>
      <c r="AK1102" s="20">
        <f t="shared" si="335"/>
        <v>0.11939782416131177</v>
      </c>
      <c r="AL1102" s="17"/>
      <c r="AM1102" s="17"/>
      <c r="AN1102" s="17"/>
      <c r="AO1102" s="17"/>
      <c r="AP1102" s="28" t="str">
        <f t="shared" si="336"/>
        <v>20194</v>
      </c>
      <c r="AQ1102" s="28" t="str">
        <f t="shared" si="337"/>
        <v>20194RMB</v>
      </c>
      <c r="AR1102" s="206" t="str">
        <f t="shared" si="338"/>
        <v>PEMTRON</v>
      </c>
      <c r="AS1102" s="22">
        <f t="shared" si="339"/>
        <v>1</v>
      </c>
      <c r="AT1102" s="24" t="str">
        <f t="shared" si="340"/>
        <v>0-3 months</v>
      </c>
      <c r="AU1102" s="22" t="s">
        <v>3240</v>
      </c>
    </row>
    <row r="1103" spans="1:47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332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326"/>
        <v>400000</v>
      </c>
      <c r="AA1103" s="13">
        <v>1.105</v>
      </c>
      <c r="AB1103" s="21">
        <f t="shared" si="325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27"/>
        <v>37969334.083628319</v>
      </c>
      <c r="AJ1103" s="19">
        <f t="shared" si="328"/>
        <v>5097226.4551657084</v>
      </c>
      <c r="AK1103" s="20">
        <f t="shared" si="335"/>
        <v>0.13424587441904964</v>
      </c>
      <c r="AL1103" s="17"/>
      <c r="AM1103" s="17"/>
      <c r="AN1103" s="17"/>
      <c r="AO1103" s="17"/>
      <c r="AP1103" s="28" t="str">
        <f t="shared" si="336"/>
        <v>20208</v>
      </c>
      <c r="AQ1103" s="28" t="str">
        <f t="shared" si="337"/>
        <v>20208RMB</v>
      </c>
      <c r="AR1103" s="206" t="str">
        <f t="shared" si="338"/>
        <v>YAMAHA_Non_Mounter</v>
      </c>
      <c r="AS1103" s="22">
        <f t="shared" si="339"/>
        <v>2</v>
      </c>
      <c r="AT1103" s="24" t="str">
        <f t="shared" si="340"/>
        <v>0-3 months</v>
      </c>
      <c r="AU1103" s="22" t="s">
        <v>3240</v>
      </c>
    </row>
    <row r="1104" spans="1:47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332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326"/>
        <v>340000</v>
      </c>
      <c r="AA1104" s="13">
        <v>1.095</v>
      </c>
      <c r="AB1104" s="21">
        <f t="shared" si="325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27"/>
        <v>35384300.169380538</v>
      </c>
      <c r="AJ1104" s="19">
        <f t="shared" si="328"/>
        <v>5044538.8896988509</v>
      </c>
      <c r="AK1104" s="20">
        <f t="shared" si="335"/>
        <v>0.14256432557804533</v>
      </c>
      <c r="AL1104" s="17"/>
      <c r="AM1104" s="17"/>
      <c r="AN1104" s="17"/>
      <c r="AO1104" s="17"/>
      <c r="AP1104" s="28" t="str">
        <f t="shared" si="336"/>
        <v>20207</v>
      </c>
      <c r="AQ1104" s="28" t="str">
        <f t="shared" si="337"/>
        <v>20207RMB</v>
      </c>
      <c r="AR1104" s="206" t="str">
        <f t="shared" si="338"/>
        <v>PEMTRON</v>
      </c>
      <c r="AS1104" s="22">
        <f t="shared" si="339"/>
        <v>1</v>
      </c>
      <c r="AT1104" s="24" t="str">
        <f t="shared" si="340"/>
        <v>0-3 months</v>
      </c>
      <c r="AU1104" s="22" t="s">
        <v>3240</v>
      </c>
    </row>
    <row r="1105" spans="1:47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332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326"/>
        <v>325000</v>
      </c>
      <c r="AA1105" s="13">
        <v>1.095</v>
      </c>
      <c r="AB1105" s="21">
        <f t="shared" si="325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27"/>
        <v>35384300.169380538</v>
      </c>
      <c r="AJ1105" s="19">
        <f t="shared" si="328"/>
        <v>5044538.8896988509</v>
      </c>
      <c r="AK1105" s="20">
        <f t="shared" si="335"/>
        <v>0.14256432557804533</v>
      </c>
      <c r="AL1105" s="17"/>
      <c r="AM1105" s="17"/>
      <c r="AN1105" s="17"/>
      <c r="AO1105" s="17"/>
      <c r="AP1105" s="28" t="str">
        <f t="shared" si="336"/>
        <v>20207</v>
      </c>
      <c r="AQ1105" s="28" t="str">
        <f t="shared" si="337"/>
        <v>20207RMB</v>
      </c>
      <c r="AR1105" s="206" t="str">
        <f t="shared" si="338"/>
        <v>HELLER</v>
      </c>
      <c r="AS1105" s="22">
        <f t="shared" si="339"/>
        <v>1</v>
      </c>
      <c r="AT1105" s="24" t="str">
        <f t="shared" si="340"/>
        <v>0-3 months</v>
      </c>
      <c r="AU1105" s="22" t="s">
        <v>3240</v>
      </c>
    </row>
    <row r="1106" spans="1:47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332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326"/>
        <v>715600</v>
      </c>
      <c r="AA1106" s="13">
        <v>1.125</v>
      </c>
      <c r="AB1106" s="21">
        <f t="shared" si="325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27"/>
        <v>29840797.698275864</v>
      </c>
      <c r="AJ1106" s="19">
        <f t="shared" si="328"/>
        <v>3940167.6555448272</v>
      </c>
      <c r="AK1106" s="20">
        <f t="shared" si="335"/>
        <v>0.13203962224416277</v>
      </c>
      <c r="AL1106" s="17"/>
      <c r="AM1106" s="17"/>
      <c r="AN1106" s="17"/>
      <c r="AO1106" s="17"/>
      <c r="AP1106" s="28" t="str">
        <f t="shared" si="336"/>
        <v>201812</v>
      </c>
      <c r="AQ1106" s="28" t="str">
        <f t="shared" si="337"/>
        <v>201812RMB</v>
      </c>
      <c r="AR1106" s="206" t="str">
        <f t="shared" si="338"/>
        <v>YAMAHA_Mounter</v>
      </c>
      <c r="AS1106" s="22">
        <f t="shared" si="339"/>
        <v>0</v>
      </c>
      <c r="AT1106" s="24" t="str">
        <f t="shared" si="340"/>
        <v>0-3 months</v>
      </c>
      <c r="AU1106" s="22" t="s">
        <v>3240</v>
      </c>
    </row>
    <row r="1107" spans="1:47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332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326"/>
        <v>1390000</v>
      </c>
      <c r="AA1107" s="13">
        <v>1.1599999999999999</v>
      </c>
      <c r="AB1107" s="21">
        <f t="shared" si="325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27"/>
        <v>47416008.333399981</v>
      </c>
      <c r="AJ1107" s="19">
        <f t="shared" si="328"/>
        <v>6981738.4465290187</v>
      </c>
      <c r="AK1107" s="20">
        <f t="shared" si="335"/>
        <v>0.14724433143839863</v>
      </c>
      <c r="AL1107" s="17"/>
      <c r="AM1107" s="17"/>
      <c r="AN1107" s="17"/>
      <c r="AO1107" s="17" t="s">
        <v>61</v>
      </c>
      <c r="AP1107" s="28" t="str">
        <f t="shared" si="336"/>
        <v>20193</v>
      </c>
      <c r="AQ1107" s="28" t="str">
        <f t="shared" si="337"/>
        <v>20193RMB</v>
      </c>
      <c r="AR1107" s="206" t="str">
        <f t="shared" si="338"/>
        <v>YAMAHA_Mounter</v>
      </c>
      <c r="AS1107" s="22">
        <f t="shared" si="339"/>
        <v>8</v>
      </c>
      <c r="AT1107" s="24" t="str">
        <f t="shared" si="340"/>
        <v>&gt; 6 months</v>
      </c>
      <c r="AU1107" s="22" t="s">
        <v>3240</v>
      </c>
    </row>
    <row r="1108" spans="1:47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332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326"/>
        <v>490000</v>
      </c>
      <c r="AA1108" s="13">
        <v>1.135</v>
      </c>
      <c r="AB1108" s="21">
        <f t="shared" si="325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27"/>
        <v>21386017.707964607</v>
      </c>
      <c r="AJ1108" s="19">
        <f t="shared" si="328"/>
        <v>2238764.3265707968</v>
      </c>
      <c r="AK1108" s="20">
        <f t="shared" si="335"/>
        <v>0.10468355339185161</v>
      </c>
      <c r="AL1108" s="17"/>
      <c r="AM1108" s="17"/>
      <c r="AN1108" s="17"/>
      <c r="AO1108" s="17"/>
      <c r="AP1108" s="28" t="str">
        <f t="shared" si="336"/>
        <v>20198</v>
      </c>
      <c r="AQ1108" s="28" t="str">
        <f t="shared" si="337"/>
        <v>20198RMB</v>
      </c>
      <c r="AR1108" s="206" t="str">
        <f t="shared" si="338"/>
        <v>YAMAHA_Mounter</v>
      </c>
      <c r="AS1108" s="22">
        <f t="shared" si="339"/>
        <v>0</v>
      </c>
      <c r="AT1108" s="24" t="str">
        <f t="shared" si="340"/>
        <v>0-3 months</v>
      </c>
      <c r="AU1108" s="22" t="s">
        <v>3240</v>
      </c>
    </row>
    <row r="1109" spans="1:47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332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326"/>
        <v>673000</v>
      </c>
      <c r="AA1109" s="13">
        <v>1.1499999999999999</v>
      </c>
      <c r="AB1109" s="21">
        <f t="shared" si="325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27"/>
        <v>26492741.106427077</v>
      </c>
      <c r="AJ1109" s="19">
        <f t="shared" si="328"/>
        <v>3348032.1325698122</v>
      </c>
      <c r="AK1109" s="20">
        <f t="shared" si="335"/>
        <v>0.12637545201985867</v>
      </c>
      <c r="AL1109" s="17"/>
      <c r="AM1109" s="17"/>
      <c r="AN1109" s="17"/>
      <c r="AO1109" s="17" t="s">
        <v>61</v>
      </c>
      <c r="AP1109" s="28" t="str">
        <f t="shared" si="336"/>
        <v>20189</v>
      </c>
      <c r="AQ1109" s="28" t="str">
        <f t="shared" si="337"/>
        <v>20189RMB</v>
      </c>
      <c r="AR1109" s="206" t="str">
        <f t="shared" si="338"/>
        <v>YAMAHA_Mounter</v>
      </c>
      <c r="AS1109" s="22">
        <f t="shared" si="339"/>
        <v>0</v>
      </c>
      <c r="AT1109" s="24" t="str">
        <f t="shared" si="340"/>
        <v>0-3 months</v>
      </c>
      <c r="AU1109" s="22" t="s">
        <v>3240</v>
      </c>
    </row>
    <row r="1110" spans="1:47" s="12" customFormat="1">
      <c r="A1110" s="33" t="str">
        <f t="shared" si="329"/>
        <v>cancel</v>
      </c>
      <c r="B1110" s="152"/>
      <c r="C1110" s="152" t="s">
        <v>185</v>
      </c>
      <c r="D1110" s="33" t="str">
        <f t="shared" si="330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331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332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326"/>
        <v>726152.5</v>
      </c>
      <c r="AA1110" s="13">
        <v>1.155</v>
      </c>
      <c r="AB1110" s="21">
        <f t="shared" si="325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27"/>
        <v>499582152.5142017</v>
      </c>
      <c r="AJ1110" s="19">
        <f t="shared" si="328"/>
        <v>59520528.679470733</v>
      </c>
      <c r="AK1110" s="20">
        <f t="shared" si="335"/>
        <v>0.11914062257814291</v>
      </c>
      <c r="AL1110" s="17"/>
      <c r="AM1110" s="17"/>
      <c r="AN1110" s="17"/>
      <c r="AO1110" s="17"/>
      <c r="AP1110" s="28" t="str">
        <f t="shared" si="336"/>
        <v>CancelCancel</v>
      </c>
      <c r="AQ1110" s="28" t="str">
        <f t="shared" si="337"/>
        <v>CancelCancelRMB</v>
      </c>
      <c r="AR1110" s="206" t="str">
        <f t="shared" si="338"/>
        <v>YAMAHA_Mounter</v>
      </c>
      <c r="AS1110" s="22" t="str">
        <f t="shared" si="339"/>
        <v/>
      </c>
      <c r="AT1110" s="24" t="str">
        <f t="shared" si="340"/>
        <v/>
      </c>
      <c r="AU1110" s="22" t="s">
        <v>3240</v>
      </c>
    </row>
    <row r="1111" spans="1:47" s="12" customFormat="1">
      <c r="A1111" s="33" t="str">
        <f t="shared" si="329"/>
        <v>cancel</v>
      </c>
      <c r="B1111" s="152"/>
      <c r="C1111" s="152" t="s">
        <v>185</v>
      </c>
      <c r="D1111" s="33" t="str">
        <f t="shared" si="330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331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332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326"/>
        <v>726152.5</v>
      </c>
      <c r="AA1111" s="13">
        <v>1.155</v>
      </c>
      <c r="AB1111" s="21">
        <f t="shared" si="325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27"/>
        <v>499582152.5142017</v>
      </c>
      <c r="AJ1111" s="19">
        <f t="shared" si="328"/>
        <v>59520528.679470733</v>
      </c>
      <c r="AK1111" s="20">
        <f t="shared" si="335"/>
        <v>0.11914062257814291</v>
      </c>
      <c r="AL1111" s="17"/>
      <c r="AM1111" s="17"/>
      <c r="AN1111" s="17"/>
      <c r="AO1111" s="17"/>
      <c r="AP1111" s="28" t="str">
        <f t="shared" si="336"/>
        <v>CancelCancel</v>
      </c>
      <c r="AQ1111" s="28" t="str">
        <f t="shared" si="337"/>
        <v>CancelCancelRMB</v>
      </c>
      <c r="AR1111" s="206" t="str">
        <f t="shared" si="338"/>
        <v>YAMAHA_Mounter</v>
      </c>
      <c r="AS1111" s="22" t="str">
        <f t="shared" si="339"/>
        <v/>
      </c>
      <c r="AT1111" s="24" t="str">
        <f t="shared" si="340"/>
        <v/>
      </c>
      <c r="AU1111" s="22" t="s">
        <v>3240</v>
      </c>
    </row>
    <row r="1112" spans="1:47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332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326"/>
        <v>470000</v>
      </c>
      <c r="AA1112" s="13">
        <v>1.1499999999999999</v>
      </c>
      <c r="AB1112" s="21">
        <f t="shared" si="325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27"/>
        <v>26492741.106427077</v>
      </c>
      <c r="AJ1112" s="19">
        <f t="shared" si="328"/>
        <v>3348032.1325698122</v>
      </c>
      <c r="AK1112" s="20">
        <f t="shared" si="335"/>
        <v>0.12637545201985867</v>
      </c>
      <c r="AL1112" s="17"/>
      <c r="AM1112" s="17"/>
      <c r="AN1112" s="17" t="s">
        <v>423</v>
      </c>
      <c r="AO1112" s="17"/>
      <c r="AP1112" s="28" t="str">
        <f t="shared" si="336"/>
        <v>20189</v>
      </c>
      <c r="AQ1112" s="28" t="str">
        <f t="shared" si="337"/>
        <v>20189RMB</v>
      </c>
      <c r="AR1112" s="206" t="str">
        <f t="shared" si="338"/>
        <v>DEK</v>
      </c>
      <c r="AS1112" s="22">
        <f t="shared" si="339"/>
        <v>3</v>
      </c>
      <c r="AT1112" s="24" t="str">
        <f t="shared" si="340"/>
        <v>0-3 months</v>
      </c>
      <c r="AU1112" s="22" t="s">
        <v>3240</v>
      </c>
    </row>
    <row r="1113" spans="1:47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326"/>
        <v>227148.02799999999</v>
      </c>
      <c r="AA1113" s="13">
        <v>1.175</v>
      </c>
      <c r="AB1113" s="21">
        <f t="shared" si="325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27"/>
        <v>48763143.537654862</v>
      </c>
      <c r="AJ1113" s="19">
        <f t="shared" si="328"/>
        <v>5924029.9702154724</v>
      </c>
      <c r="AK1113" s="20">
        <f t="shared" si="335"/>
        <v>0.1214858095774925</v>
      </c>
      <c r="AL1113" s="17"/>
      <c r="AM1113" s="17"/>
      <c r="AN1113" s="17"/>
      <c r="AO1113" s="17"/>
      <c r="AP1113" s="28" t="str">
        <f t="shared" si="336"/>
        <v>202012</v>
      </c>
      <c r="AQ1113" s="28" t="str">
        <f t="shared" si="337"/>
        <v>202012RMB</v>
      </c>
      <c r="AR1113" s="206" t="str">
        <f t="shared" si="338"/>
        <v>YAMAHA_Mounter</v>
      </c>
      <c r="AS1113" s="22">
        <f t="shared" si="339"/>
        <v>3</v>
      </c>
      <c r="AT1113" s="24" t="str">
        <f t="shared" si="340"/>
        <v>0-3 months</v>
      </c>
      <c r="AU1113" s="22" t="s">
        <v>3240</v>
      </c>
    </row>
    <row r="1114" spans="1:47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332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326"/>
        <v>550000</v>
      </c>
      <c r="AA1114" s="13">
        <v>1.089</v>
      </c>
      <c r="AB1114" s="21">
        <f t="shared" si="325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27"/>
        <v>29183109.05575221</v>
      </c>
      <c r="AJ1114" s="19">
        <f t="shared" si="328"/>
        <v>3741266.5648721238</v>
      </c>
      <c r="AK1114" s="20">
        <f t="shared" si="335"/>
        <v>0.12819972531798121</v>
      </c>
      <c r="AL1114" s="17"/>
      <c r="AM1114" s="17"/>
      <c r="AN1114" s="17"/>
      <c r="AO1114" s="17"/>
      <c r="AP1114" s="28" t="str">
        <f t="shared" si="336"/>
        <v>20206</v>
      </c>
      <c r="AQ1114" s="28" t="str">
        <f t="shared" si="337"/>
        <v>20206RMB</v>
      </c>
      <c r="AR1114" s="206" t="str">
        <f t="shared" si="338"/>
        <v>YAMAHA_Mounter</v>
      </c>
      <c r="AS1114" s="22">
        <f t="shared" si="339"/>
        <v>0</v>
      </c>
      <c r="AT1114" s="24" t="str">
        <f t="shared" si="340"/>
        <v>0-3 months</v>
      </c>
      <c r="AU1114" s="22" t="s">
        <v>3240</v>
      </c>
    </row>
    <row r="1115" spans="1:47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332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326"/>
        <v>550000</v>
      </c>
      <c r="AA1115" s="13">
        <v>1.089</v>
      </c>
      <c r="AB1115" s="21">
        <f t="shared" ref="AB1115:AB1178" si="341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27"/>
        <v>29183109.05575221</v>
      </c>
      <c r="AJ1115" s="19">
        <f t="shared" si="328"/>
        <v>3741266.5648721238</v>
      </c>
      <c r="AK1115" s="20">
        <f t="shared" si="335"/>
        <v>0.12819972531798121</v>
      </c>
      <c r="AL1115" s="17"/>
      <c r="AM1115" s="17"/>
      <c r="AN1115" s="17"/>
      <c r="AO1115" s="17"/>
      <c r="AP1115" s="28" t="str">
        <f t="shared" si="336"/>
        <v>20206</v>
      </c>
      <c r="AQ1115" s="28" t="str">
        <f t="shared" si="337"/>
        <v>20206RMB</v>
      </c>
      <c r="AR1115" s="206" t="str">
        <f t="shared" si="338"/>
        <v>YAMAHA_Mounter</v>
      </c>
      <c r="AS1115" s="22">
        <f t="shared" si="339"/>
        <v>0</v>
      </c>
      <c r="AT1115" s="24" t="str">
        <f t="shared" si="340"/>
        <v>0-3 months</v>
      </c>
      <c r="AU1115" s="22" t="s">
        <v>3240</v>
      </c>
    </row>
    <row r="1116" spans="1:47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332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326"/>
        <v>824500</v>
      </c>
      <c r="AA1116" s="13">
        <v>1.089</v>
      </c>
      <c r="AB1116" s="21">
        <f t="shared" si="341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27"/>
        <v>29183109.05575221</v>
      </c>
      <c r="AJ1116" s="19">
        <f t="shared" si="328"/>
        <v>3741266.5648721238</v>
      </c>
      <c r="AK1116" s="20">
        <f t="shared" si="335"/>
        <v>0.12819972531798121</v>
      </c>
      <c r="AL1116" s="17"/>
      <c r="AM1116" s="17"/>
      <c r="AN1116" s="17"/>
      <c r="AO1116" s="17"/>
      <c r="AP1116" s="28" t="str">
        <f t="shared" si="336"/>
        <v>20206</v>
      </c>
      <c r="AQ1116" s="28" t="str">
        <f t="shared" si="337"/>
        <v>20206RMB</v>
      </c>
      <c r="AR1116" s="206" t="str">
        <f t="shared" si="338"/>
        <v>YAMAHA_Mounter</v>
      </c>
      <c r="AS1116" s="22">
        <f t="shared" si="339"/>
        <v>2</v>
      </c>
      <c r="AT1116" s="24" t="str">
        <f t="shared" si="340"/>
        <v>0-3 months</v>
      </c>
      <c r="AU1116" s="22" t="s">
        <v>3240</v>
      </c>
    </row>
    <row r="1117" spans="1:47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332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326"/>
        <v>305000</v>
      </c>
      <c r="AA1117" s="13">
        <v>1.089</v>
      </c>
      <c r="AB1117" s="21">
        <f t="shared" si="341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27"/>
        <v>29183109.05575221</v>
      </c>
      <c r="AJ1117" s="19">
        <f t="shared" si="328"/>
        <v>3741266.5648721238</v>
      </c>
      <c r="AK1117" s="20">
        <f t="shared" si="335"/>
        <v>0.12819972531798121</v>
      </c>
      <c r="AL1117" s="17"/>
      <c r="AM1117" s="17"/>
      <c r="AN1117" s="17"/>
      <c r="AO1117" s="17"/>
      <c r="AP1117" s="28" t="str">
        <f t="shared" si="336"/>
        <v>20206</v>
      </c>
      <c r="AQ1117" s="28" t="str">
        <f t="shared" si="337"/>
        <v>20206RMB</v>
      </c>
      <c r="AR1117" s="206" t="str">
        <f t="shared" si="338"/>
        <v>HELLER</v>
      </c>
      <c r="AS1117" s="22">
        <f t="shared" si="339"/>
        <v>2</v>
      </c>
      <c r="AT1117" s="24" t="str">
        <f t="shared" si="340"/>
        <v>0-3 months</v>
      </c>
      <c r="AU1117" s="22" t="s">
        <v>3240</v>
      </c>
    </row>
    <row r="1118" spans="1:47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332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326"/>
        <v>35000</v>
      </c>
      <c r="AA1118" s="13">
        <v>1.089</v>
      </c>
      <c r="AB1118" s="21">
        <f t="shared" si="341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27"/>
        <v>29183109.05575221</v>
      </c>
      <c r="AJ1118" s="19">
        <f t="shared" si="328"/>
        <v>3741266.5648721238</v>
      </c>
      <c r="AK1118" s="20">
        <f t="shared" si="335"/>
        <v>0.12819972531798121</v>
      </c>
      <c r="AL1118" s="17"/>
      <c r="AM1118" s="17"/>
      <c r="AN1118" s="17"/>
      <c r="AO1118" s="17"/>
      <c r="AP1118" s="28" t="str">
        <f t="shared" si="336"/>
        <v>20206</v>
      </c>
      <c r="AQ1118" s="28" t="str">
        <f t="shared" si="337"/>
        <v>20206RMB</v>
      </c>
      <c r="AR1118" s="206" t="str">
        <f t="shared" si="338"/>
        <v>SOLDERSTAR</v>
      </c>
      <c r="AS1118" s="22">
        <f t="shared" si="339"/>
        <v>2</v>
      </c>
      <c r="AT1118" s="24" t="str">
        <f t="shared" si="340"/>
        <v>0-3 months</v>
      </c>
      <c r="AU1118" s="22" t="s">
        <v>3240</v>
      </c>
    </row>
    <row r="1119" spans="1:47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332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326"/>
        <v>396500</v>
      </c>
      <c r="AA1119" s="13">
        <v>1.089</v>
      </c>
      <c r="AB1119" s="21">
        <f t="shared" si="341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27"/>
        <v>29183109.05575221</v>
      </c>
      <c r="AJ1119" s="19">
        <f t="shared" si="328"/>
        <v>3741266.5648721238</v>
      </c>
      <c r="AK1119" s="20">
        <f t="shared" si="335"/>
        <v>0.12819972531798121</v>
      </c>
      <c r="AL1119" s="17"/>
      <c r="AM1119" s="17"/>
      <c r="AN1119" s="17"/>
      <c r="AO1119" s="17"/>
      <c r="AP1119" s="28" t="str">
        <f t="shared" si="336"/>
        <v>20206</v>
      </c>
      <c r="AQ1119" s="28" t="str">
        <f t="shared" si="337"/>
        <v>20206RMB</v>
      </c>
      <c r="AR1119" s="206" t="str">
        <f t="shared" si="338"/>
        <v>LOCAL SUPPLIER</v>
      </c>
      <c r="AS1119" s="22">
        <f t="shared" si="339"/>
        <v>2</v>
      </c>
      <c r="AT1119" s="24" t="str">
        <f t="shared" si="340"/>
        <v>0-3 months</v>
      </c>
      <c r="AU1119" s="22" t="s">
        <v>3240</v>
      </c>
    </row>
    <row r="1120" spans="1:47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332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326"/>
        <v>66000</v>
      </c>
      <c r="AA1120" s="22">
        <v>1.083</v>
      </c>
      <c r="AB1120" s="197">
        <f t="shared" si="341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27"/>
        <v>11472879.764601771</v>
      </c>
      <c r="AJ1120" s="200">
        <f t="shared" si="328"/>
        <v>2038344.1716106194</v>
      </c>
      <c r="AK1120" s="201">
        <f t="shared" si="335"/>
        <v>0.17766630640544948</v>
      </c>
      <c r="AL1120" s="24"/>
      <c r="AM1120" s="24"/>
      <c r="AN1120" s="24"/>
      <c r="AO1120" s="24"/>
      <c r="AP1120" s="105" t="str">
        <f t="shared" si="336"/>
        <v>20245</v>
      </c>
      <c r="AQ1120" s="28" t="str">
        <f t="shared" si="337"/>
        <v>20245RMB</v>
      </c>
      <c r="AR1120" s="206" t="str">
        <f t="shared" si="338"/>
        <v>SOLDERSTAR</v>
      </c>
      <c r="AS1120" s="22">
        <f t="shared" si="339"/>
        <v>1</v>
      </c>
      <c r="AT1120" s="24" t="str">
        <f t="shared" si="340"/>
        <v>0-3 months</v>
      </c>
      <c r="AU1120" s="22" t="s">
        <v>3240</v>
      </c>
    </row>
    <row r="1121" spans="1:47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332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326"/>
        <v>800000</v>
      </c>
      <c r="AA1121" s="13">
        <v>1.1100000000000001</v>
      </c>
      <c r="AB1121" s="21">
        <f t="shared" si="341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27"/>
        <v>27318180.088495575</v>
      </c>
      <c r="AJ1121" s="19">
        <f t="shared" si="328"/>
        <v>3014099.212353982</v>
      </c>
      <c r="AK1121" s="20">
        <f t="shared" si="335"/>
        <v>0.11033308963444827</v>
      </c>
      <c r="AL1121" s="17"/>
      <c r="AM1121" s="17"/>
      <c r="AN1121" s="17"/>
      <c r="AO1121" s="17"/>
      <c r="AP1121" s="28" t="str">
        <f t="shared" si="336"/>
        <v>201912</v>
      </c>
      <c r="AQ1121" s="28" t="str">
        <f t="shared" si="337"/>
        <v>201912RMB</v>
      </c>
      <c r="AR1121" s="206" t="str">
        <f t="shared" si="338"/>
        <v>YAMAHA_Mounter</v>
      </c>
      <c r="AS1121" s="22">
        <f t="shared" si="339"/>
        <v>0</v>
      </c>
      <c r="AT1121" s="24" t="str">
        <f t="shared" si="340"/>
        <v>0-3 months</v>
      </c>
      <c r="AU1121" s="22" t="s">
        <v>3240</v>
      </c>
    </row>
    <row r="1122" spans="1:47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332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326"/>
        <v>620000</v>
      </c>
      <c r="AA1122" s="13">
        <v>1.1100000000000001</v>
      </c>
      <c r="AB1122" s="21">
        <f t="shared" si="341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27"/>
        <v>27318180.088495575</v>
      </c>
      <c r="AJ1122" s="19">
        <f t="shared" si="328"/>
        <v>3014099.212353982</v>
      </c>
      <c r="AK1122" s="20">
        <f t="shared" si="335"/>
        <v>0.11033308963444827</v>
      </c>
      <c r="AL1122" s="17"/>
      <c r="AM1122" s="17"/>
      <c r="AN1122" s="17"/>
      <c r="AO1122" s="17"/>
      <c r="AP1122" s="28" t="str">
        <f t="shared" si="336"/>
        <v>201912</v>
      </c>
      <c r="AQ1122" s="28" t="str">
        <f t="shared" si="337"/>
        <v>201912RMB</v>
      </c>
      <c r="AR1122" s="206" t="str">
        <f t="shared" si="338"/>
        <v>YAMAHA_Mounter</v>
      </c>
      <c r="AS1122" s="22">
        <f t="shared" si="339"/>
        <v>0</v>
      </c>
      <c r="AT1122" s="24" t="str">
        <f t="shared" si="340"/>
        <v>0-3 months</v>
      </c>
      <c r="AU1122" s="22" t="s">
        <v>3240</v>
      </c>
    </row>
    <row r="1123" spans="1:47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332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326"/>
        <v>520000</v>
      </c>
      <c r="AA1123" s="13">
        <v>1.1950000000000001</v>
      </c>
      <c r="AB1123" s="21">
        <f t="shared" si="341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27"/>
        <v>63006605.696460173</v>
      </c>
      <c r="AJ1123" s="19">
        <f t="shared" si="328"/>
        <v>8897485.660753984</v>
      </c>
      <c r="AK1123" s="20">
        <f t="shared" si="335"/>
        <v>0.141215124388995</v>
      </c>
      <c r="AL1123" s="17"/>
      <c r="AM1123" s="17"/>
      <c r="AN1123" s="17"/>
      <c r="AO1123" s="17"/>
      <c r="AP1123" s="28" t="str">
        <f t="shared" si="336"/>
        <v>20215</v>
      </c>
      <c r="AQ1123" s="28" t="str">
        <f t="shared" si="337"/>
        <v>20215RMB</v>
      </c>
      <c r="AR1123" s="206" t="str">
        <f t="shared" si="338"/>
        <v>YAMAHA_Mounter</v>
      </c>
      <c r="AS1123" s="22">
        <f t="shared" si="339"/>
        <v>1</v>
      </c>
      <c r="AT1123" s="24" t="str">
        <f t="shared" si="340"/>
        <v>0-3 months</v>
      </c>
      <c r="AU1123" s="22" t="s">
        <v>3240</v>
      </c>
    </row>
    <row r="1124" spans="1:47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332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326"/>
        <v>470000</v>
      </c>
      <c r="AA1124" s="13">
        <v>1.1599999999999999</v>
      </c>
      <c r="AB1124" s="21">
        <f t="shared" si="341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27"/>
        <v>21045012.884955753</v>
      </c>
      <c r="AJ1124" s="19">
        <f t="shared" si="328"/>
        <v>2650260.9603327443</v>
      </c>
      <c r="AK1124" s="20">
        <f t="shared" si="335"/>
        <v>0.12593296924172048</v>
      </c>
      <c r="AL1124" s="17"/>
      <c r="AM1124" s="17"/>
      <c r="AN1124" s="17"/>
      <c r="AO1124" s="17"/>
      <c r="AP1124" s="28" t="str">
        <f t="shared" si="336"/>
        <v>20232</v>
      </c>
      <c r="AQ1124" s="28" t="str">
        <f t="shared" si="337"/>
        <v>20232RMB</v>
      </c>
      <c r="AR1124" s="206" t="str">
        <f t="shared" si="338"/>
        <v>YAMAHA_Mounter</v>
      </c>
      <c r="AS1124" s="22">
        <f t="shared" si="339"/>
        <v>0</v>
      </c>
      <c r="AT1124" s="24" t="str">
        <f t="shared" si="340"/>
        <v>0-3 months</v>
      </c>
      <c r="AU1124" s="22" t="s">
        <v>3240</v>
      </c>
    </row>
    <row r="1125" spans="1:47" s="12" customFormat="1">
      <c r="A1125" s="33" t="str">
        <f t="shared" si="329"/>
        <v>cancel</v>
      </c>
      <c r="B1125" s="152"/>
      <c r="C1125" s="152" t="s">
        <v>185</v>
      </c>
      <c r="D1125" s="33" t="str">
        <f t="shared" si="330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331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332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326"/>
        <v>540000</v>
      </c>
      <c r="AA1125" s="13">
        <v>1.18</v>
      </c>
      <c r="AB1125" s="21">
        <f t="shared" si="341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27"/>
        <v>499582152.5142017</v>
      </c>
      <c r="AJ1125" s="19">
        <f t="shared" si="328"/>
        <v>59520528.679470733</v>
      </c>
      <c r="AK1125" s="20">
        <f t="shared" si="335"/>
        <v>0.11914062257814291</v>
      </c>
      <c r="AL1125" s="17"/>
      <c r="AM1125" s="17"/>
      <c r="AN1125" s="17"/>
      <c r="AO1125" s="17"/>
      <c r="AP1125" s="28" t="str">
        <f t="shared" si="336"/>
        <v>CancelCANCEL</v>
      </c>
      <c r="AQ1125" s="28" t="str">
        <f t="shared" si="337"/>
        <v>CancelCANCELRMB</v>
      </c>
      <c r="AR1125" s="206" t="str">
        <f t="shared" si="338"/>
        <v>YAMAHA_Mounter</v>
      </c>
      <c r="AS1125" s="22" t="str">
        <f t="shared" si="339"/>
        <v/>
      </c>
      <c r="AT1125" s="24" t="str">
        <f t="shared" si="340"/>
        <v/>
      </c>
      <c r="AU1125" s="22" t="s">
        <v>3240</v>
      </c>
    </row>
    <row r="1126" spans="1:47" s="12" customFormat="1">
      <c r="A1126" s="33" t="str">
        <f t="shared" si="329"/>
        <v>cancel</v>
      </c>
      <c r="B1126" s="152"/>
      <c r="C1126" s="152" t="s">
        <v>185</v>
      </c>
      <c r="D1126" s="33" t="str">
        <f t="shared" si="330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331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332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326"/>
        <v>540000</v>
      </c>
      <c r="AA1126" s="13">
        <v>1.18</v>
      </c>
      <c r="AB1126" s="21">
        <f t="shared" si="341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27"/>
        <v>499582152.5142017</v>
      </c>
      <c r="AJ1126" s="19">
        <f t="shared" si="328"/>
        <v>59520528.679470733</v>
      </c>
      <c r="AK1126" s="20">
        <f t="shared" si="335"/>
        <v>0.11914062257814291</v>
      </c>
      <c r="AL1126" s="17"/>
      <c r="AM1126" s="17"/>
      <c r="AN1126" s="17"/>
      <c r="AO1126" s="17"/>
      <c r="AP1126" s="28" t="str">
        <f t="shared" si="336"/>
        <v>CancelCANCEL</v>
      </c>
      <c r="AQ1126" s="28" t="str">
        <f t="shared" si="337"/>
        <v>CancelCANCELRMB</v>
      </c>
      <c r="AR1126" s="206" t="str">
        <f t="shared" si="338"/>
        <v>YAMAHA_Mounter</v>
      </c>
      <c r="AS1126" s="22" t="str">
        <f t="shared" si="339"/>
        <v/>
      </c>
      <c r="AT1126" s="24" t="str">
        <f t="shared" si="340"/>
        <v/>
      </c>
      <c r="AU1126" s="22" t="s">
        <v>3240</v>
      </c>
    </row>
    <row r="1127" spans="1:47" s="12" customFormat="1" ht="26.4">
      <c r="A1127" s="33" t="str">
        <f t="shared" si="329"/>
        <v>cancel</v>
      </c>
      <c r="B1127" s="152"/>
      <c r="C1127" s="152" t="s">
        <v>185</v>
      </c>
      <c r="D1127" s="33" t="str">
        <f t="shared" si="330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331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326"/>
        <v>11679000</v>
      </c>
      <c r="AA1127" s="13">
        <v>1.18</v>
      </c>
      <c r="AB1127" s="21">
        <f t="shared" si="341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27"/>
        <v>499582152.5142017</v>
      </c>
      <c r="AJ1127" s="19">
        <f t="shared" si="328"/>
        <v>59520528.679470733</v>
      </c>
      <c r="AK1127" s="20">
        <f t="shared" si="335"/>
        <v>0.11914062257814291</v>
      </c>
      <c r="AL1127" s="17"/>
      <c r="AM1127" s="17"/>
      <c r="AN1127" s="17"/>
      <c r="AO1127" s="17"/>
      <c r="AP1127" s="28" t="str">
        <f t="shared" si="336"/>
        <v>CancelCANCEL</v>
      </c>
      <c r="AQ1127" s="28" t="str">
        <f t="shared" si="337"/>
        <v>CancelCANCELRMB</v>
      </c>
      <c r="AR1127" s="206" t="str">
        <f t="shared" si="338"/>
        <v>YAMAHA_Mounter</v>
      </c>
      <c r="AS1127" s="22" t="str">
        <f t="shared" si="339"/>
        <v/>
      </c>
      <c r="AT1127" s="24" t="str">
        <f t="shared" si="340"/>
        <v/>
      </c>
      <c r="AU1127" s="22" t="s">
        <v>3240</v>
      </c>
    </row>
    <row r="1128" spans="1:47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332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326"/>
        <v>642931</v>
      </c>
      <c r="AA1128" s="13">
        <v>1.135</v>
      </c>
      <c r="AB1128" s="21">
        <f t="shared" si="341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27"/>
        <v>21386017.707964607</v>
      </c>
      <c r="AJ1128" s="19">
        <f t="shared" si="328"/>
        <v>2238764.3265707968</v>
      </c>
      <c r="AK1128" s="20">
        <f t="shared" si="335"/>
        <v>0.10468355339185161</v>
      </c>
      <c r="AL1128" s="17"/>
      <c r="AM1128" s="17"/>
      <c r="AN1128" s="17"/>
      <c r="AO1128" s="17"/>
      <c r="AP1128" s="28" t="str">
        <f t="shared" si="336"/>
        <v>20198</v>
      </c>
      <c r="AQ1128" s="28" t="str">
        <f t="shared" si="337"/>
        <v>20198RMB</v>
      </c>
      <c r="AR1128" s="206" t="str">
        <f t="shared" si="338"/>
        <v>YAMAHA_Mounter</v>
      </c>
      <c r="AS1128" s="22">
        <f t="shared" si="339"/>
        <v>5</v>
      </c>
      <c r="AT1128" s="24" t="str">
        <f t="shared" si="340"/>
        <v>4-6 months</v>
      </c>
      <c r="AU1128" s="22" t="s">
        <v>3240</v>
      </c>
    </row>
    <row r="1129" spans="1:47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332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326"/>
        <v>642931</v>
      </c>
      <c r="AA1129" s="13">
        <v>1.135</v>
      </c>
      <c r="AB1129" s="21">
        <f t="shared" si="341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27"/>
        <v>21386017.707964607</v>
      </c>
      <c r="AJ1129" s="19">
        <f t="shared" si="328"/>
        <v>2238764.3265707968</v>
      </c>
      <c r="AK1129" s="20">
        <f t="shared" si="335"/>
        <v>0.10468355339185161</v>
      </c>
      <c r="AL1129" s="17"/>
      <c r="AM1129" s="17"/>
      <c r="AN1129" s="17"/>
      <c r="AO1129" s="17"/>
      <c r="AP1129" s="28" t="str">
        <f t="shared" si="336"/>
        <v>20198</v>
      </c>
      <c r="AQ1129" s="28" t="str">
        <f t="shared" si="337"/>
        <v>20198RMB</v>
      </c>
      <c r="AR1129" s="206" t="str">
        <f t="shared" si="338"/>
        <v>YAMAHA_Mounter</v>
      </c>
      <c r="AS1129" s="22">
        <f t="shared" si="339"/>
        <v>5</v>
      </c>
      <c r="AT1129" s="24" t="str">
        <f t="shared" si="340"/>
        <v>4-6 months</v>
      </c>
      <c r="AU1129" s="22" t="s">
        <v>3240</v>
      </c>
    </row>
    <row r="1130" spans="1:47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332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326"/>
        <v>560000</v>
      </c>
      <c r="AA1130" s="13">
        <v>1.175</v>
      </c>
      <c r="AB1130" s="21">
        <f t="shared" si="341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27"/>
        <v>35682787.057522126</v>
      </c>
      <c r="AJ1130" s="19">
        <f t="shared" si="328"/>
        <v>5833368.3789623892</v>
      </c>
      <c r="AK1130" s="20">
        <f t="shared" si="335"/>
        <v>0.16347849649632912</v>
      </c>
      <c r="AL1130" s="17"/>
      <c r="AM1130" s="17"/>
      <c r="AN1130" s="17"/>
      <c r="AO1130" s="17"/>
      <c r="AP1130" s="28" t="str">
        <f t="shared" si="336"/>
        <v>20226</v>
      </c>
      <c r="AQ1130" s="28" t="str">
        <f t="shared" si="337"/>
        <v>20226RMB</v>
      </c>
      <c r="AR1130" s="206" t="str">
        <f t="shared" si="338"/>
        <v>YAMAHA_Mounter</v>
      </c>
      <c r="AS1130" s="22">
        <f t="shared" si="339"/>
        <v>2</v>
      </c>
      <c r="AT1130" s="24" t="str">
        <f t="shared" si="340"/>
        <v>0-3 months</v>
      </c>
      <c r="AU1130" s="22" t="s">
        <v>3240</v>
      </c>
    </row>
    <row r="1131" spans="1:47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332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326"/>
        <v>580000</v>
      </c>
      <c r="AA1131" s="13">
        <v>1.123</v>
      </c>
      <c r="AB1131" s="21">
        <f t="shared" si="341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27"/>
        <v>13250187.062905986</v>
      </c>
      <c r="AJ1131" s="19">
        <f t="shared" si="328"/>
        <v>1545643.7555487182</v>
      </c>
      <c r="AK1131" s="20">
        <f t="shared" si="335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36"/>
        <v>20183</v>
      </c>
      <c r="AQ1131" s="28" t="str">
        <f t="shared" si="337"/>
        <v>20183RMB</v>
      </c>
      <c r="AR1131" s="206" t="str">
        <f t="shared" si="338"/>
        <v>YAMAHA_Mounter</v>
      </c>
      <c r="AS1131" s="22">
        <f t="shared" si="339"/>
        <v>3</v>
      </c>
      <c r="AT1131" s="24" t="str">
        <f t="shared" si="340"/>
        <v>0-3 months</v>
      </c>
      <c r="AU1131" s="22" t="s">
        <v>3240</v>
      </c>
    </row>
    <row r="1132" spans="1:47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332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326"/>
        <v>840000</v>
      </c>
      <c r="AA1132" s="13">
        <v>1.135</v>
      </c>
      <c r="AB1132" s="21">
        <f t="shared" si="341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27"/>
        <v>28011162.254106201</v>
      </c>
      <c r="AJ1132" s="19">
        <f t="shared" si="328"/>
        <v>3401347.1124888416</v>
      </c>
      <c r="AK1132" s="20">
        <f t="shared" si="335"/>
        <v>0.12142827497242578</v>
      </c>
      <c r="AL1132" s="17"/>
      <c r="AM1132" s="17"/>
      <c r="AN1132" s="17"/>
      <c r="AO1132" s="17"/>
      <c r="AP1132" s="28" t="str">
        <f t="shared" si="336"/>
        <v>202010</v>
      </c>
      <c r="AQ1132" s="28" t="str">
        <f t="shared" si="337"/>
        <v>202010RMB</v>
      </c>
      <c r="AR1132" s="206" t="str">
        <f t="shared" si="338"/>
        <v>YAMAHA_Mounter</v>
      </c>
      <c r="AS1132" s="22">
        <f t="shared" si="339"/>
        <v>3</v>
      </c>
      <c r="AT1132" s="24" t="str">
        <f t="shared" si="340"/>
        <v>0-3 months</v>
      </c>
      <c r="AU1132" s="22" t="s">
        <v>3240</v>
      </c>
    </row>
    <row r="1133" spans="1:47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332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326"/>
        <v>434999</v>
      </c>
      <c r="AA1133" s="22">
        <v>1.083</v>
      </c>
      <c r="AB1133" s="21">
        <f t="shared" si="341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27"/>
        <v>11472879.764601771</v>
      </c>
      <c r="AJ1133" s="27">
        <f t="shared" si="328"/>
        <v>2038344.1716106194</v>
      </c>
      <c r="AK1133" s="28">
        <f t="shared" si="335"/>
        <v>0.17766630640544948</v>
      </c>
      <c r="AL1133" s="24"/>
      <c r="AM1133" s="24"/>
      <c r="AN1133" s="24"/>
      <c r="AO1133" s="24"/>
      <c r="AP1133" s="28" t="str">
        <f t="shared" si="336"/>
        <v>20245</v>
      </c>
      <c r="AQ1133" s="28" t="str">
        <f t="shared" si="337"/>
        <v>20245RMB</v>
      </c>
      <c r="AR1133" s="206" t="str">
        <f t="shared" si="338"/>
        <v>YAMAHA_Mounter</v>
      </c>
      <c r="AS1133" s="22">
        <f t="shared" si="339"/>
        <v>2</v>
      </c>
      <c r="AT1133" s="24" t="str">
        <f t="shared" si="340"/>
        <v>0-3 months</v>
      </c>
      <c r="AU1133" s="22" t="s">
        <v>3240</v>
      </c>
    </row>
    <row r="1134" spans="1:47" s="12" customFormat="1">
      <c r="A1134" s="33" t="str">
        <f t="shared" si="329"/>
        <v>cancel</v>
      </c>
      <c r="B1134" s="152"/>
      <c r="C1134" s="152" t="s">
        <v>185</v>
      </c>
      <c r="D1134" s="33" t="str">
        <f t="shared" si="330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331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332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42">IF(X1134="","",X1134*MAX(O1134,N1134))</f>
        <v>11840000</v>
      </c>
      <c r="AA1134" s="13">
        <v>7.2999999999999995E-2</v>
      </c>
      <c r="AB1134" s="21">
        <f t="shared" si="341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27"/>
        <v>499582152.5142017</v>
      </c>
      <c r="AJ1134" s="19">
        <f t="shared" si="328"/>
        <v>59520528.679470733</v>
      </c>
      <c r="AK1134" s="20">
        <f t="shared" si="335"/>
        <v>0.11914062257814291</v>
      </c>
      <c r="AL1134" s="17"/>
      <c r="AM1134" s="17"/>
      <c r="AN1134" s="17"/>
      <c r="AO1134" s="17"/>
      <c r="AP1134" s="28" t="str">
        <f t="shared" si="336"/>
        <v>CancelCancel</v>
      </c>
      <c r="AQ1134" s="28" t="str">
        <f t="shared" si="337"/>
        <v>CancelCancelJPY</v>
      </c>
      <c r="AR1134" s="206" t="str">
        <f t="shared" si="338"/>
        <v>YAMAHA_Mounter</v>
      </c>
      <c r="AS1134" s="22" t="str">
        <f t="shared" si="339"/>
        <v/>
      </c>
      <c r="AT1134" s="24" t="str">
        <f t="shared" si="340"/>
        <v/>
      </c>
      <c r="AU1134" s="22" t="s">
        <v>3744</v>
      </c>
    </row>
    <row r="1135" spans="1:47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332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42"/>
        <v>12400000</v>
      </c>
      <c r="AA1135" s="13">
        <v>7.17E-2</v>
      </c>
      <c r="AB1135" s="21">
        <f t="shared" si="341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27"/>
        <v>14593788.187146019</v>
      </c>
      <c r="AJ1135" s="19">
        <f t="shared" si="328"/>
        <v>1868647.7321969916</v>
      </c>
      <c r="AK1135" s="20">
        <f t="shared" si="335"/>
        <v>0.12804404916900652</v>
      </c>
      <c r="AL1135" s="17"/>
      <c r="AM1135" s="17"/>
      <c r="AN1135" s="17"/>
      <c r="AO1135" s="17"/>
      <c r="AP1135" s="28" t="str">
        <f t="shared" si="336"/>
        <v>20195</v>
      </c>
      <c r="AQ1135" s="28" t="str">
        <f t="shared" si="337"/>
        <v>20195JPY</v>
      </c>
      <c r="AR1135" s="206" t="str">
        <f t="shared" si="338"/>
        <v>YAMAHA_Mounter</v>
      </c>
      <c r="AS1135" s="22">
        <f t="shared" si="339"/>
        <v>10</v>
      </c>
      <c r="AT1135" s="24" t="str">
        <f t="shared" si="340"/>
        <v>&gt; 6 months</v>
      </c>
      <c r="AU1135" s="22" t="s">
        <v>3745</v>
      </c>
    </row>
    <row r="1136" spans="1:47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332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42"/>
        <v>10500000</v>
      </c>
      <c r="AA1136" s="13">
        <v>7.4899999999999994E-2</v>
      </c>
      <c r="AB1136" s="21">
        <f t="shared" si="341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27"/>
        <v>47907808.356810622</v>
      </c>
      <c r="AJ1136" s="19">
        <f t="shared" si="328"/>
        <v>6027384.8806384448</v>
      </c>
      <c r="AK1136" s="20">
        <f t="shared" si="335"/>
        <v>0.12581216063459488</v>
      </c>
      <c r="AL1136" s="17"/>
      <c r="AM1136" s="17"/>
      <c r="AN1136" s="17"/>
      <c r="AO1136" s="17"/>
      <c r="AP1136" s="28" t="str">
        <f t="shared" si="336"/>
        <v>20209</v>
      </c>
      <c r="AQ1136" s="28" t="str">
        <f t="shared" si="337"/>
        <v>20209JPY</v>
      </c>
      <c r="AR1136" s="206" t="str">
        <f t="shared" si="338"/>
        <v>YAMAHA_Mounter</v>
      </c>
      <c r="AS1136" s="22">
        <f t="shared" si="339"/>
        <v>2</v>
      </c>
      <c r="AT1136" s="24" t="str">
        <f t="shared" si="340"/>
        <v>0-3 months</v>
      </c>
      <c r="AU1136" s="22" t="s">
        <v>3744</v>
      </c>
    </row>
    <row r="1137" spans="1:47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332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43">IF(W1137="RMB","1.13", "1")</f>
        <v>1</v>
      </c>
      <c r="Z1137" s="18">
        <f t="shared" si="342"/>
        <v>6950000</v>
      </c>
      <c r="AA1137" s="13">
        <v>7.2099999999999997E-2</v>
      </c>
      <c r="AB1137" s="21">
        <f t="shared" si="341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27"/>
        <v>54700260.692079648</v>
      </c>
      <c r="AJ1137" s="19">
        <f t="shared" si="328"/>
        <v>7482899.5749188727</v>
      </c>
      <c r="AK1137" s="20">
        <f t="shared" si="335"/>
        <v>0.13679824337660537</v>
      </c>
      <c r="AL1137" s="17"/>
      <c r="AM1137" s="17"/>
      <c r="AN1137" s="17"/>
      <c r="AO1137" s="17"/>
      <c r="AP1137" s="28" t="str">
        <f t="shared" si="336"/>
        <v>20216</v>
      </c>
      <c r="AQ1137" s="28" t="str">
        <f t="shared" si="337"/>
        <v>20216JPY</v>
      </c>
      <c r="AR1137" s="206" t="str">
        <f t="shared" si="338"/>
        <v>YAMAHA_Mounter</v>
      </c>
      <c r="AS1137" s="22">
        <f t="shared" si="339"/>
        <v>3</v>
      </c>
      <c r="AT1137" s="24" t="str">
        <f t="shared" si="340"/>
        <v>0-3 months</v>
      </c>
      <c r="AU1137" s="22" t="s">
        <v>3744</v>
      </c>
    </row>
    <row r="1138" spans="1:47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332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43"/>
        <v>1</v>
      </c>
      <c r="Z1138" s="18">
        <f t="shared" si="342"/>
        <v>6950000</v>
      </c>
      <c r="AA1138" s="13">
        <v>7.2099999999999997E-2</v>
      </c>
      <c r="AB1138" s="21">
        <f t="shared" si="341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27"/>
        <v>54700260.692079648</v>
      </c>
      <c r="AJ1138" s="19">
        <f t="shared" si="328"/>
        <v>7482899.5749188727</v>
      </c>
      <c r="AK1138" s="20">
        <f t="shared" si="335"/>
        <v>0.13679824337660537</v>
      </c>
      <c r="AL1138" s="17"/>
      <c r="AM1138" s="17"/>
      <c r="AN1138" s="17"/>
      <c r="AO1138" s="17"/>
      <c r="AP1138" s="28" t="str">
        <f t="shared" si="336"/>
        <v>20216</v>
      </c>
      <c r="AQ1138" s="28" t="str">
        <f t="shared" si="337"/>
        <v>20216JPY</v>
      </c>
      <c r="AR1138" s="206" t="str">
        <f t="shared" si="338"/>
        <v>YAMAHA_Mounter</v>
      </c>
      <c r="AS1138" s="22">
        <f t="shared" si="339"/>
        <v>3</v>
      </c>
      <c r="AT1138" s="24" t="str">
        <f t="shared" si="340"/>
        <v>0-3 months</v>
      </c>
      <c r="AU1138" s="22" t="s">
        <v>3744</v>
      </c>
    </row>
    <row r="1139" spans="1:47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332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43"/>
        <v>1</v>
      </c>
      <c r="Z1139" s="18">
        <f t="shared" si="342"/>
        <v>13000000</v>
      </c>
      <c r="AA1139" s="13">
        <v>6.25E-2</v>
      </c>
      <c r="AB1139" s="21">
        <f t="shared" si="341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27"/>
        <v>35682787.057522126</v>
      </c>
      <c r="AJ1139" s="19">
        <f t="shared" si="328"/>
        <v>5833368.3789623892</v>
      </c>
      <c r="AK1139" s="20">
        <f t="shared" si="335"/>
        <v>0.16347849649632912</v>
      </c>
      <c r="AL1139" s="17"/>
      <c r="AM1139" s="17"/>
      <c r="AN1139" s="17"/>
      <c r="AO1139" s="17"/>
      <c r="AP1139" s="28" t="str">
        <f t="shared" si="336"/>
        <v>20226</v>
      </c>
      <c r="AQ1139" s="28" t="str">
        <f t="shared" si="337"/>
        <v>20226JPY</v>
      </c>
      <c r="AR1139" s="206" t="str">
        <f t="shared" si="338"/>
        <v>YAMAHA_Mounter</v>
      </c>
      <c r="AS1139" s="22">
        <f t="shared" si="339"/>
        <v>4</v>
      </c>
      <c r="AT1139" s="24" t="str">
        <f t="shared" si="340"/>
        <v>4-6 months</v>
      </c>
      <c r="AU1139" s="22" t="s">
        <v>3744</v>
      </c>
    </row>
    <row r="1140" spans="1:47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332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43"/>
        <v>1</v>
      </c>
      <c r="Z1140" s="18">
        <f t="shared" si="342"/>
        <v>8000000</v>
      </c>
      <c r="AA1140" s="13">
        <v>6.25E-2</v>
      </c>
      <c r="AB1140" s="21">
        <f t="shared" si="341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27"/>
        <v>35682787.057522126</v>
      </c>
      <c r="AJ1140" s="19">
        <f t="shared" si="328"/>
        <v>5833368.3789623892</v>
      </c>
      <c r="AK1140" s="20">
        <f t="shared" si="335"/>
        <v>0.16347849649632912</v>
      </c>
      <c r="AL1140" s="17"/>
      <c r="AM1140" s="17"/>
      <c r="AN1140" s="17"/>
      <c r="AO1140" s="17"/>
      <c r="AP1140" s="28" t="str">
        <f t="shared" si="336"/>
        <v>20226</v>
      </c>
      <c r="AQ1140" s="28" t="str">
        <f t="shared" si="337"/>
        <v>20226JPY</v>
      </c>
      <c r="AR1140" s="206" t="str">
        <f t="shared" si="338"/>
        <v>YAMAHA_Mounter</v>
      </c>
      <c r="AS1140" s="22">
        <f t="shared" si="339"/>
        <v>4</v>
      </c>
      <c r="AT1140" s="24" t="str">
        <f t="shared" si="340"/>
        <v>4-6 months</v>
      </c>
      <c r="AU1140" s="22" t="s">
        <v>3744</v>
      </c>
    </row>
    <row r="1141" spans="1:47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332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43"/>
        <v>1.13</v>
      </c>
      <c r="Z1141" s="18">
        <f t="shared" si="342"/>
        <v>415000</v>
      </c>
      <c r="AA1141" s="13">
        <v>1.1399999999999999</v>
      </c>
      <c r="AB1141" s="21">
        <f t="shared" si="341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27"/>
        <v>30573205.452778768</v>
      </c>
      <c r="AJ1141" s="19">
        <f t="shared" si="328"/>
        <v>3790930.1683151261</v>
      </c>
      <c r="AK1141" s="20">
        <f t="shared" si="335"/>
        <v>0.12399518179964254</v>
      </c>
      <c r="AL1141" s="17"/>
      <c r="AM1141" s="17"/>
      <c r="AN1141" s="17"/>
      <c r="AO1141" s="17"/>
      <c r="AP1141" s="28" t="str">
        <f t="shared" si="336"/>
        <v>20234</v>
      </c>
      <c r="AQ1141" s="28" t="str">
        <f t="shared" si="337"/>
        <v>20234RMB</v>
      </c>
      <c r="AR1141" s="206" t="str">
        <f t="shared" si="338"/>
        <v>YAMAHA_Mounter</v>
      </c>
      <c r="AS1141" s="22">
        <f t="shared" si="339"/>
        <v>4</v>
      </c>
      <c r="AT1141" s="24" t="str">
        <f t="shared" si="340"/>
        <v>4-6 months</v>
      </c>
      <c r="AU1141" s="22" t="s">
        <v>3750</v>
      </c>
    </row>
    <row r="1142" spans="1:47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332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43"/>
        <v>1.13</v>
      </c>
      <c r="Z1142" s="18">
        <f t="shared" si="342"/>
        <v>415000</v>
      </c>
      <c r="AA1142" s="13">
        <v>1.1399999999999999</v>
      </c>
      <c r="AB1142" s="21">
        <f t="shared" si="341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27"/>
        <v>30573205.452778768</v>
      </c>
      <c r="AJ1142" s="19">
        <f t="shared" si="328"/>
        <v>3790930.1683151261</v>
      </c>
      <c r="AK1142" s="20">
        <f t="shared" si="335"/>
        <v>0.12399518179964254</v>
      </c>
      <c r="AL1142" s="17"/>
      <c r="AM1142" s="17"/>
      <c r="AN1142" s="17"/>
      <c r="AO1142" s="17"/>
      <c r="AP1142" s="28" t="str">
        <f t="shared" si="336"/>
        <v>20234</v>
      </c>
      <c r="AQ1142" s="28" t="str">
        <f t="shared" si="337"/>
        <v>20234RMB</v>
      </c>
      <c r="AR1142" s="206" t="str">
        <f t="shared" si="338"/>
        <v>YAMAHA_Mounter</v>
      </c>
      <c r="AS1142" s="22">
        <f t="shared" si="339"/>
        <v>4</v>
      </c>
      <c r="AT1142" s="24" t="str">
        <f t="shared" si="340"/>
        <v>4-6 months</v>
      </c>
      <c r="AU1142" s="22" t="s">
        <v>3750</v>
      </c>
    </row>
    <row r="1143" spans="1:47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332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42"/>
        <v>434999</v>
      </c>
      <c r="AA1143" s="22">
        <v>1.083</v>
      </c>
      <c r="AB1143" s="21">
        <f t="shared" si="341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27"/>
        <v>11472879.764601771</v>
      </c>
      <c r="AJ1143" s="27">
        <f t="shared" si="328"/>
        <v>2038344.1716106194</v>
      </c>
      <c r="AK1143" s="28">
        <f t="shared" si="335"/>
        <v>0.17766630640544948</v>
      </c>
      <c r="AL1143" s="24"/>
      <c r="AM1143" s="24"/>
      <c r="AN1143" s="24"/>
      <c r="AO1143" s="24"/>
      <c r="AP1143" s="28" t="str">
        <f t="shared" si="336"/>
        <v>20245</v>
      </c>
      <c r="AQ1143" s="28" t="str">
        <f t="shared" si="337"/>
        <v>20245RMB</v>
      </c>
      <c r="AR1143" s="206" t="str">
        <f t="shared" si="338"/>
        <v>YAMAHA_Mounter</v>
      </c>
      <c r="AS1143" s="22">
        <f t="shared" si="339"/>
        <v>2</v>
      </c>
      <c r="AT1143" s="24" t="str">
        <f t="shared" si="340"/>
        <v>0-3 months</v>
      </c>
      <c r="AU1143" s="22" t="s">
        <v>3240</v>
      </c>
    </row>
    <row r="1144" spans="1:47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332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42"/>
        <v>918000</v>
      </c>
      <c r="AA1144" s="22">
        <v>1.083</v>
      </c>
      <c r="AB1144" s="21">
        <f t="shared" si="341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27"/>
        <v>11472879.764601771</v>
      </c>
      <c r="AJ1144" s="19">
        <f t="shared" si="328"/>
        <v>2038344.1716106194</v>
      </c>
      <c r="AK1144" s="20">
        <f t="shared" si="335"/>
        <v>0.17766630640544948</v>
      </c>
      <c r="AL1144" s="17"/>
      <c r="AM1144" s="17"/>
      <c r="AN1144" s="17"/>
      <c r="AO1144" s="17"/>
      <c r="AP1144" s="28" t="str">
        <f t="shared" si="336"/>
        <v>20245</v>
      </c>
      <c r="AQ1144" s="28" t="str">
        <f t="shared" si="337"/>
        <v>20245RMB</v>
      </c>
      <c r="AR1144" s="206" t="str">
        <f t="shared" si="338"/>
        <v>YAMAHA_Mounter</v>
      </c>
      <c r="AS1144" s="22">
        <f t="shared" si="339"/>
        <v>13</v>
      </c>
      <c r="AT1144" s="24" t="str">
        <f t="shared" si="340"/>
        <v>&gt; 6 months</v>
      </c>
      <c r="AU1144" s="22" t="s">
        <v>3240</v>
      </c>
    </row>
    <row r="1145" spans="1:47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332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42"/>
        <v>855000</v>
      </c>
      <c r="AA1145" s="13">
        <v>1.095</v>
      </c>
      <c r="AB1145" s="21">
        <f t="shared" si="341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27"/>
        <v>35384300.169380538</v>
      </c>
      <c r="AJ1145" s="19">
        <f t="shared" si="328"/>
        <v>5044538.8896988509</v>
      </c>
      <c r="AK1145" s="20">
        <f t="shared" si="335"/>
        <v>0.14256432557804533</v>
      </c>
      <c r="AL1145" s="17"/>
      <c r="AM1145" s="17"/>
      <c r="AN1145" s="17"/>
      <c r="AO1145" s="17"/>
      <c r="AP1145" s="28" t="str">
        <f t="shared" si="336"/>
        <v>20207</v>
      </c>
      <c r="AQ1145" s="28" t="str">
        <f t="shared" si="337"/>
        <v>20207RMB</v>
      </c>
      <c r="AR1145" s="206" t="str">
        <f t="shared" si="338"/>
        <v>YAMAHA_Mounter</v>
      </c>
      <c r="AS1145" s="22">
        <f t="shared" si="339"/>
        <v>0</v>
      </c>
      <c r="AT1145" s="24" t="str">
        <f t="shared" si="340"/>
        <v>0-3 months</v>
      </c>
      <c r="AU1145" s="22" t="s">
        <v>3240</v>
      </c>
    </row>
    <row r="1146" spans="1:47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332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42"/>
        <v>542000</v>
      </c>
      <c r="AA1146" s="13">
        <v>1.135</v>
      </c>
      <c r="AB1146" s="21">
        <f t="shared" si="341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27"/>
        <v>31296887.037898075</v>
      </c>
      <c r="AJ1146" s="19">
        <f t="shared" si="328"/>
        <v>3588873.9502021763</v>
      </c>
      <c r="AK1146" s="20">
        <f t="shared" si="335"/>
        <v>0.11467191436184473</v>
      </c>
      <c r="AL1146" s="17"/>
      <c r="AM1146" s="17"/>
      <c r="AN1146" s="17"/>
      <c r="AO1146" s="17"/>
      <c r="AP1146" s="28" t="str">
        <f t="shared" si="336"/>
        <v>20196</v>
      </c>
      <c r="AQ1146" s="28" t="str">
        <f t="shared" si="337"/>
        <v>20196RMB</v>
      </c>
      <c r="AR1146" s="206" t="str">
        <f t="shared" si="338"/>
        <v>YAMAHA_Mounter</v>
      </c>
      <c r="AS1146" s="22">
        <f t="shared" si="339"/>
        <v>0</v>
      </c>
      <c r="AT1146" s="24" t="str">
        <f t="shared" si="340"/>
        <v>0-3 months</v>
      </c>
      <c r="AU1146" s="22" t="s">
        <v>3240</v>
      </c>
    </row>
    <row r="1147" spans="1:47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332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42"/>
        <v>988600</v>
      </c>
      <c r="AA1147" s="13">
        <v>1.18</v>
      </c>
      <c r="AB1147" s="21">
        <f t="shared" si="341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27"/>
        <v>43684091.636631854</v>
      </c>
      <c r="AJ1147" s="19">
        <f t="shared" si="328"/>
        <v>6483951.8242071122</v>
      </c>
      <c r="AK1147" s="20">
        <f t="shared" si="335"/>
        <v>0.14842821680123736</v>
      </c>
      <c r="AL1147" s="17"/>
      <c r="AM1147" s="17"/>
      <c r="AN1147" s="17"/>
      <c r="AO1147" s="17"/>
      <c r="AP1147" s="28" t="str">
        <f t="shared" si="336"/>
        <v>20214</v>
      </c>
      <c r="AQ1147" s="28" t="str">
        <f t="shared" si="337"/>
        <v>20214RMB</v>
      </c>
      <c r="AR1147" s="206" t="str">
        <f t="shared" si="338"/>
        <v>YAMAHA_Mounter</v>
      </c>
      <c r="AS1147" s="22">
        <f t="shared" si="339"/>
        <v>0</v>
      </c>
      <c r="AT1147" s="24" t="str">
        <f t="shared" si="340"/>
        <v>0-3 months</v>
      </c>
      <c r="AU1147" s="22" t="s">
        <v>3240</v>
      </c>
    </row>
    <row r="1148" spans="1:47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332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42"/>
        <v>14448643</v>
      </c>
      <c r="AA1148" s="13">
        <v>7.0199999999999999E-2</v>
      </c>
      <c r="AB1148" s="21">
        <f t="shared" si="341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27"/>
        <v>10786543.370020689</v>
      </c>
      <c r="AJ1148" s="19">
        <f t="shared" si="328"/>
        <v>1330367.5841569281</v>
      </c>
      <c r="AK1148" s="20">
        <f t="shared" si="335"/>
        <v>0.123335858255987</v>
      </c>
      <c r="AL1148" s="17"/>
      <c r="AM1148" s="17"/>
      <c r="AN1148" s="17"/>
      <c r="AO1148" s="17"/>
      <c r="AP1148" s="28" t="str">
        <f t="shared" si="336"/>
        <v>201810</v>
      </c>
      <c r="AQ1148" s="28" t="str">
        <f t="shared" si="337"/>
        <v>201810JPY</v>
      </c>
      <c r="AR1148" s="206" t="str">
        <f t="shared" si="338"/>
        <v>YAMAHA_Mounter</v>
      </c>
      <c r="AS1148" s="22">
        <f t="shared" si="339"/>
        <v>4</v>
      </c>
      <c r="AT1148" s="24" t="str">
        <f t="shared" si="340"/>
        <v>4-6 months</v>
      </c>
      <c r="AU1148" s="22" t="s">
        <v>3744</v>
      </c>
    </row>
    <row r="1149" spans="1:47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332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42"/>
        <v>9100000</v>
      </c>
      <c r="AA1149" s="13">
        <v>7.4099999999999999E-2</v>
      </c>
      <c r="AB1149" s="21">
        <f t="shared" si="341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27"/>
        <v>28647263.974455759</v>
      </c>
      <c r="AJ1149" s="19">
        <f t="shared" si="328"/>
        <v>3219855.6912513468</v>
      </c>
      <c r="AK1149" s="20">
        <f t="shared" si="335"/>
        <v>0.11239662168514358</v>
      </c>
      <c r="AL1149" s="17"/>
      <c r="AM1149" s="17"/>
      <c r="AN1149" s="17"/>
      <c r="AO1149" s="17"/>
      <c r="AP1149" s="28" t="str">
        <f t="shared" si="336"/>
        <v>201910</v>
      </c>
      <c r="AQ1149" s="28" t="str">
        <f t="shared" si="337"/>
        <v>201910JPY</v>
      </c>
      <c r="AR1149" s="206" t="str">
        <f t="shared" si="338"/>
        <v>YAMAHA_Mounter</v>
      </c>
      <c r="AS1149" s="22">
        <f t="shared" si="339"/>
        <v>0</v>
      </c>
      <c r="AT1149" s="24" t="str">
        <f t="shared" si="340"/>
        <v>0-3 months</v>
      </c>
      <c r="AU1149" s="22" t="s">
        <v>3744</v>
      </c>
    </row>
    <row r="1150" spans="1:47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332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42"/>
        <v>900000</v>
      </c>
      <c r="AA1150" s="13">
        <v>1.095</v>
      </c>
      <c r="AB1150" s="21">
        <f t="shared" si="341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27"/>
        <v>28065694.408805311</v>
      </c>
      <c r="AJ1150" s="19">
        <f t="shared" si="328"/>
        <v>4157433.2906989697</v>
      </c>
      <c r="AK1150" s="20">
        <f t="shared" si="335"/>
        <v>0.14813220831602228</v>
      </c>
      <c r="AL1150" s="17"/>
      <c r="AM1150" s="17"/>
      <c r="AN1150" s="17"/>
      <c r="AO1150" s="17"/>
      <c r="AP1150" s="28" t="str">
        <f t="shared" si="336"/>
        <v>20205</v>
      </c>
      <c r="AQ1150" s="28" t="str">
        <f t="shared" si="337"/>
        <v>20205RMB</v>
      </c>
      <c r="AR1150" s="206" t="str">
        <f t="shared" si="338"/>
        <v>YAMAHA_Mounter</v>
      </c>
      <c r="AS1150" s="22">
        <f t="shared" si="339"/>
        <v>0</v>
      </c>
      <c r="AT1150" s="24" t="str">
        <f t="shared" si="340"/>
        <v>0-3 months</v>
      </c>
      <c r="AU1150" s="22" t="s">
        <v>3743</v>
      </c>
    </row>
    <row r="1151" spans="1:47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332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42"/>
        <v>620000</v>
      </c>
      <c r="AA1151" s="13">
        <v>1.095</v>
      </c>
      <c r="AB1151" s="21">
        <f t="shared" si="341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27"/>
        <v>28065694.408805311</v>
      </c>
      <c r="AJ1151" s="19">
        <f t="shared" si="328"/>
        <v>4157433.2906989697</v>
      </c>
      <c r="AK1151" s="20">
        <f t="shared" si="335"/>
        <v>0.14813220831602228</v>
      </c>
      <c r="AL1151" s="17"/>
      <c r="AM1151" s="17"/>
      <c r="AN1151" s="17"/>
      <c r="AO1151" s="17"/>
      <c r="AP1151" s="28" t="str">
        <f t="shared" si="336"/>
        <v>20205</v>
      </c>
      <c r="AQ1151" s="28" t="str">
        <f t="shared" si="337"/>
        <v>20205RMB</v>
      </c>
      <c r="AR1151" s="206" t="str">
        <f t="shared" si="338"/>
        <v>YAMAHA_Mounter</v>
      </c>
      <c r="AS1151" s="22">
        <f t="shared" si="339"/>
        <v>0</v>
      </c>
      <c r="AT1151" s="24" t="str">
        <f t="shared" si="340"/>
        <v>0-3 months</v>
      </c>
      <c r="AU1151" s="22" t="s">
        <v>3743</v>
      </c>
    </row>
    <row r="1152" spans="1:47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332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44">IF(W1152="RMB","1.13", "1")</f>
        <v>1.13</v>
      </c>
      <c r="Z1152" s="18">
        <f t="shared" si="342"/>
        <v>518000</v>
      </c>
      <c r="AA1152" s="13">
        <v>1.155</v>
      </c>
      <c r="AB1152" s="21">
        <f t="shared" si="341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27"/>
        <v>44078731.611185849</v>
      </c>
      <c r="AJ1152" s="19">
        <f t="shared" si="328"/>
        <v>5508173.2163771465</v>
      </c>
      <c r="AK1152" s="20">
        <f t="shared" si="335"/>
        <v>0.12496215328889679</v>
      </c>
      <c r="AL1152" s="17"/>
      <c r="AM1152" s="17"/>
      <c r="AN1152" s="17"/>
      <c r="AO1152" s="17"/>
      <c r="AP1152" s="28" t="str">
        <f t="shared" si="336"/>
        <v>202011</v>
      </c>
      <c r="AQ1152" s="28" t="str">
        <f t="shared" si="337"/>
        <v>202011RMB</v>
      </c>
      <c r="AR1152" s="206" t="str">
        <f t="shared" si="338"/>
        <v>YAMAHA_Mounter</v>
      </c>
      <c r="AS1152" s="22">
        <f t="shared" si="339"/>
        <v>2</v>
      </c>
      <c r="AT1152" s="24" t="str">
        <f t="shared" si="340"/>
        <v>0-3 months</v>
      </c>
      <c r="AU1152" s="22" t="s">
        <v>3743</v>
      </c>
    </row>
    <row r="1153" spans="1:47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332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44"/>
        <v>1</v>
      </c>
      <c r="Z1153" s="18">
        <f t="shared" si="342"/>
        <v>12605000</v>
      </c>
      <c r="AA1153" s="13">
        <v>7.17E-2</v>
      </c>
      <c r="AB1153" s="21">
        <f t="shared" si="341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27"/>
        <v>43684091.636631854</v>
      </c>
      <c r="AJ1153" s="19">
        <f t="shared" si="328"/>
        <v>6483951.8242071122</v>
      </c>
      <c r="AK1153" s="20">
        <f t="shared" si="335"/>
        <v>0.14842821680123736</v>
      </c>
      <c r="AL1153" s="17"/>
      <c r="AM1153" s="17"/>
      <c r="AN1153" s="17"/>
      <c r="AO1153" s="17"/>
      <c r="AP1153" s="28" t="str">
        <f t="shared" si="336"/>
        <v>20214</v>
      </c>
      <c r="AQ1153" s="28" t="str">
        <f t="shared" si="337"/>
        <v>20214JPY</v>
      </c>
      <c r="AR1153" s="206" t="str">
        <f t="shared" si="338"/>
        <v>YAMAHA_Mounter</v>
      </c>
      <c r="AS1153" s="22">
        <f t="shared" si="339"/>
        <v>3</v>
      </c>
      <c r="AT1153" s="24" t="str">
        <f t="shared" si="340"/>
        <v>0-3 months</v>
      </c>
      <c r="AU1153" s="22" t="s">
        <v>3744</v>
      </c>
    </row>
    <row r="1154" spans="1:47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332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44"/>
        <v>1</v>
      </c>
      <c r="Z1154" s="18">
        <f t="shared" si="342"/>
        <v>8590000</v>
      </c>
      <c r="AA1154" s="13">
        <v>6.9199999999999998E-2</v>
      </c>
      <c r="AB1154" s="21">
        <f t="shared" si="341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ref="AI1154:AI1217" si="345">IF(P1154="C66 SERVICE","",SUMIFS(AB:AB,F:F,F1154,G:G,G1154,E:E,E1154))</f>
        <v>26407088.359292038</v>
      </c>
      <c r="AJ1154" s="19">
        <f t="shared" ref="AJ1154:AJ1217" si="346">IF(P1154="C66 SERVICE","",SUMIFS(AC:AC,F:F,F1154,G:G,G1154,E:E,E1154))</f>
        <v>3424510.6998470789</v>
      </c>
      <c r="AK1154" s="20">
        <f t="shared" si="335"/>
        <v>0.12968149510667554</v>
      </c>
      <c r="AL1154" s="17"/>
      <c r="AM1154" s="17"/>
      <c r="AN1154" s="17"/>
      <c r="AO1154" s="17"/>
      <c r="AP1154" s="28" t="str">
        <f t="shared" si="336"/>
        <v>20221</v>
      </c>
      <c r="AQ1154" s="28" t="str">
        <f t="shared" si="337"/>
        <v>20221JPY</v>
      </c>
      <c r="AR1154" s="206" t="str">
        <f t="shared" si="338"/>
        <v>YAMAHA_Mounter</v>
      </c>
      <c r="AS1154" s="22">
        <f t="shared" si="339"/>
        <v>9</v>
      </c>
      <c r="AT1154" s="24" t="str">
        <f t="shared" si="340"/>
        <v>&gt; 6 months</v>
      </c>
      <c r="AU1154" s="22" t="s">
        <v>3744</v>
      </c>
    </row>
    <row r="1155" spans="1:47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332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44"/>
        <v>1</v>
      </c>
      <c r="Z1155" s="18">
        <f t="shared" si="342"/>
        <v>14000000</v>
      </c>
      <c r="AA1155" s="13">
        <v>5.96E-2</v>
      </c>
      <c r="AB1155" s="21">
        <f t="shared" si="341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45"/>
        <v>35073581.838938057</v>
      </c>
      <c r="AJ1155" s="19">
        <f t="shared" si="346"/>
        <v>5034113.9728989396</v>
      </c>
      <c r="AK1155" s="20">
        <f t="shared" si="335"/>
        <v>0.14353007902118958</v>
      </c>
      <c r="AL1155" s="17"/>
      <c r="AM1155" s="17"/>
      <c r="AN1155" s="17"/>
      <c r="AO1155" s="17"/>
      <c r="AP1155" s="28" t="str">
        <f t="shared" si="336"/>
        <v>20228</v>
      </c>
      <c r="AQ1155" s="28" t="str">
        <f t="shared" si="337"/>
        <v>20228JPY</v>
      </c>
      <c r="AR1155" s="206" t="str">
        <f t="shared" si="338"/>
        <v>YAMAHA_Mounter</v>
      </c>
      <c r="AS1155" s="22">
        <f t="shared" si="339"/>
        <v>3</v>
      </c>
      <c r="AT1155" s="24" t="str">
        <f t="shared" si="340"/>
        <v>0-3 months</v>
      </c>
      <c r="AU1155" s="22" t="s">
        <v>3744</v>
      </c>
    </row>
    <row r="1156" spans="1:47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332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44"/>
        <v>1</v>
      </c>
      <c r="Z1156" s="18">
        <f t="shared" si="342"/>
        <v>10000000</v>
      </c>
      <c r="AA1156" s="13">
        <v>5.96E-2</v>
      </c>
      <c r="AB1156" s="21">
        <f t="shared" si="341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45"/>
        <v>35073581.838938057</v>
      </c>
      <c r="AJ1156" s="19">
        <f t="shared" si="346"/>
        <v>5034113.9728989396</v>
      </c>
      <c r="AK1156" s="20">
        <f t="shared" si="335"/>
        <v>0.14353007902118958</v>
      </c>
      <c r="AL1156" s="17"/>
      <c r="AM1156" s="17"/>
      <c r="AN1156" s="17"/>
      <c r="AO1156" s="17"/>
      <c r="AP1156" s="28" t="str">
        <f t="shared" si="336"/>
        <v>20228</v>
      </c>
      <c r="AQ1156" s="28" t="str">
        <f t="shared" si="337"/>
        <v>20228JPY</v>
      </c>
      <c r="AR1156" s="206" t="str">
        <f t="shared" si="338"/>
        <v>YAMAHA_Mounter</v>
      </c>
      <c r="AS1156" s="22">
        <f t="shared" si="339"/>
        <v>3</v>
      </c>
      <c r="AT1156" s="24" t="str">
        <f t="shared" si="340"/>
        <v>0-3 months</v>
      </c>
      <c r="AU1156" s="22" t="s">
        <v>3744</v>
      </c>
    </row>
    <row r="1157" spans="1:47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332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44"/>
        <v>1.13</v>
      </c>
      <c r="Z1157" s="18">
        <f t="shared" si="342"/>
        <v>458000</v>
      </c>
      <c r="AA1157" s="13">
        <v>1.1299999999999999</v>
      </c>
      <c r="AB1157" s="21">
        <f t="shared" si="341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45"/>
        <v>33543315.897345133</v>
      </c>
      <c r="AJ1157" s="19">
        <f t="shared" si="346"/>
        <v>4706169.3252984071</v>
      </c>
      <c r="AK1157" s="20">
        <f t="shared" si="335"/>
        <v>0.14030125523967318</v>
      </c>
      <c r="AL1157" s="17"/>
      <c r="AM1157" s="17"/>
      <c r="AN1157" s="17"/>
      <c r="AO1157" s="17"/>
      <c r="AP1157" s="28" t="str">
        <f t="shared" si="336"/>
        <v>20233</v>
      </c>
      <c r="AQ1157" s="28" t="str">
        <f t="shared" si="337"/>
        <v>20233RMB</v>
      </c>
      <c r="AR1157" s="206" t="str">
        <f t="shared" si="338"/>
        <v>YAMAHA_Mounter</v>
      </c>
      <c r="AS1157" s="22">
        <f t="shared" si="339"/>
        <v>2</v>
      </c>
      <c r="AT1157" s="24" t="str">
        <f t="shared" si="340"/>
        <v>0-3 months</v>
      </c>
      <c r="AU1157" s="22" t="s">
        <v>3240</v>
      </c>
    </row>
    <row r="1158" spans="1:47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44"/>
        <v>1.13</v>
      </c>
      <c r="Z1158" s="18">
        <f t="shared" si="342"/>
        <v>670000</v>
      </c>
      <c r="AA1158" s="13">
        <v>1.077</v>
      </c>
      <c r="AB1158" s="21">
        <f t="shared" si="341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si="345"/>
        <v>26078226.463097349</v>
      </c>
      <c r="AJ1158" s="19">
        <f t="shared" si="346"/>
        <v>3137870.4427774516</v>
      </c>
      <c r="AK1158" s="20">
        <f t="shared" ref="AK1158:AK1221" si="353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4">IF(F1158="","",F1158&amp;G1158)</f>
        <v>20239</v>
      </c>
      <c r="AQ1158" s="28" t="str">
        <f t="shared" ref="AQ1158:AQ1221" si="355">IF(W1158="","",F1158&amp;G1158&amp;W1158)</f>
        <v>20239RMB</v>
      </c>
      <c r="AR1158" s="206" t="str">
        <f t="shared" ref="AR1158:AR1221" si="356">IFERROR(IF(AND(M1158="YAMAHA", R1158="C28"), "YAMAHA_Non_Mounter", IF(AND(M1158="YAMAHA", R1158="C49"), "YAMAHA_Mounter", M1158)),"")</f>
        <v>YAMAHA_Mounter</v>
      </c>
      <c r="AS1158" s="22">
        <f t="shared" ref="AS1158:AS1221" si="357">IFERROR(IF(OR(G1158="TBA", G1158=""), "", DATEDIF(DATE(B1158, C1158, 1), DATE(F1158, G1158, 1), "M")),"")</f>
        <v>0</v>
      </c>
      <c r="AT1158" s="24" t="str">
        <f t="shared" ref="AT1158:AT1221" si="358">IF(ISNUMBER(AS1158), IF(AS1158&gt;=0, IF(AS1158&lt;=3, "0-3 months", IF(AS1158&lt;=6, "4-6 months", "&gt; 6 months"))), "")</f>
        <v>0-3 months</v>
      </c>
      <c r="AU1158" s="22" t="s">
        <v>3750</v>
      </c>
    </row>
    <row r="1159" spans="1:47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50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42"/>
        <v>1112500</v>
      </c>
      <c r="AA1159" s="13">
        <v>1.095</v>
      </c>
      <c r="AB1159" s="21">
        <f t="shared" si="341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45"/>
        <v>37599388.802345134</v>
      </c>
      <c r="AJ1159" s="19">
        <f t="shared" si="346"/>
        <v>4866784.3630338367</v>
      </c>
      <c r="AK1159" s="20">
        <f t="shared" si="353"/>
        <v>0.12943785838163113</v>
      </c>
      <c r="AL1159" s="17"/>
      <c r="AM1159" s="17"/>
      <c r="AN1159" s="17"/>
      <c r="AO1159" s="17"/>
      <c r="AP1159" s="28" t="str">
        <f t="shared" si="354"/>
        <v>20199</v>
      </c>
      <c r="AQ1159" s="28" t="str">
        <f t="shared" si="355"/>
        <v>20199RMB</v>
      </c>
      <c r="AR1159" s="206" t="str">
        <f t="shared" si="356"/>
        <v>YAMAHA_Mounter</v>
      </c>
      <c r="AS1159" s="22">
        <f t="shared" si="357"/>
        <v>0</v>
      </c>
      <c r="AT1159" s="24" t="str">
        <f t="shared" si="358"/>
        <v>0-3 months</v>
      </c>
      <c r="AU1159" s="22" t="s">
        <v>3743</v>
      </c>
    </row>
    <row r="1160" spans="1:47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50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42"/>
        <v>1112500</v>
      </c>
      <c r="AA1160" s="13">
        <v>1.095</v>
      </c>
      <c r="AB1160" s="21">
        <f t="shared" si="341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45"/>
        <v>37599388.802345134</v>
      </c>
      <c r="AJ1160" s="19">
        <f t="shared" si="346"/>
        <v>4866784.3630338367</v>
      </c>
      <c r="AK1160" s="20">
        <f t="shared" si="353"/>
        <v>0.12943785838163113</v>
      </c>
      <c r="AL1160" s="17"/>
      <c r="AM1160" s="17"/>
      <c r="AN1160" s="17"/>
      <c r="AO1160" s="17"/>
      <c r="AP1160" s="28" t="str">
        <f t="shared" si="354"/>
        <v>20199</v>
      </c>
      <c r="AQ1160" s="28" t="str">
        <f t="shared" si="355"/>
        <v>20199RMB</v>
      </c>
      <c r="AR1160" s="206" t="str">
        <f t="shared" si="356"/>
        <v>YAMAHA_Mounter</v>
      </c>
      <c r="AS1160" s="22">
        <f t="shared" si="357"/>
        <v>0</v>
      </c>
      <c r="AT1160" s="24" t="str">
        <f t="shared" si="358"/>
        <v>0-3 months</v>
      </c>
      <c r="AU1160" s="22" t="s">
        <v>3743</v>
      </c>
    </row>
    <row r="1161" spans="1:47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50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42"/>
        <v>12500000</v>
      </c>
      <c r="AA1161" s="13">
        <v>7.2800000000000004E-2</v>
      </c>
      <c r="AB1161" s="21">
        <f t="shared" si="341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45"/>
        <v>63006605.696460173</v>
      </c>
      <c r="AJ1161" s="19">
        <f t="shared" si="346"/>
        <v>8897485.660753984</v>
      </c>
      <c r="AK1161" s="20">
        <f t="shared" si="353"/>
        <v>0.141215124388995</v>
      </c>
      <c r="AL1161" s="17"/>
      <c r="AM1161" s="17"/>
      <c r="AN1161" s="17"/>
      <c r="AO1161" s="17"/>
      <c r="AP1161" s="28" t="str">
        <f t="shared" si="354"/>
        <v>20215</v>
      </c>
      <c r="AQ1161" s="28" t="str">
        <f t="shared" si="355"/>
        <v>20215JPY</v>
      </c>
      <c r="AR1161" s="206" t="str">
        <f t="shared" si="356"/>
        <v>YAMAHA_Mounter</v>
      </c>
      <c r="AS1161" s="22">
        <f t="shared" si="357"/>
        <v>1</v>
      </c>
      <c r="AT1161" s="24" t="str">
        <f t="shared" si="358"/>
        <v>0-3 months</v>
      </c>
      <c r="AU1161" s="22" t="s">
        <v>3744</v>
      </c>
    </row>
    <row r="1162" spans="1:47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50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42"/>
        <v>8353000</v>
      </c>
      <c r="AA1162" s="13">
        <v>7.2800000000000004E-2</v>
      </c>
      <c r="AB1162" s="21">
        <f t="shared" si="341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45"/>
        <v>63006605.696460173</v>
      </c>
      <c r="AJ1162" s="19">
        <f t="shared" si="346"/>
        <v>8897485.660753984</v>
      </c>
      <c r="AK1162" s="20">
        <f t="shared" si="353"/>
        <v>0.141215124388995</v>
      </c>
      <c r="AL1162" s="17"/>
      <c r="AM1162" s="17"/>
      <c r="AN1162" s="17"/>
      <c r="AO1162" s="17"/>
      <c r="AP1162" s="28" t="str">
        <f t="shared" si="354"/>
        <v>20215</v>
      </c>
      <c r="AQ1162" s="28" t="str">
        <f t="shared" si="355"/>
        <v>20215JPY</v>
      </c>
      <c r="AR1162" s="206" t="str">
        <f t="shared" si="356"/>
        <v>YAMAHA_Mounter</v>
      </c>
      <c r="AS1162" s="22">
        <f t="shared" si="357"/>
        <v>1</v>
      </c>
      <c r="AT1162" s="24" t="str">
        <f t="shared" si="358"/>
        <v>0-3 months</v>
      </c>
      <c r="AU1162" s="22" t="s">
        <v>3744</v>
      </c>
    </row>
    <row r="1163" spans="1:47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50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42"/>
        <v>8353000</v>
      </c>
      <c r="AA1163" s="13">
        <v>7.2800000000000004E-2</v>
      </c>
      <c r="AB1163" s="21">
        <f t="shared" si="341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45"/>
        <v>63006605.696460173</v>
      </c>
      <c r="AJ1163" s="19">
        <f t="shared" si="346"/>
        <v>8897485.660753984</v>
      </c>
      <c r="AK1163" s="20">
        <f t="shared" si="353"/>
        <v>0.141215124388995</v>
      </c>
      <c r="AL1163" s="17"/>
      <c r="AM1163" s="17"/>
      <c r="AN1163" s="17"/>
      <c r="AO1163" s="17"/>
      <c r="AP1163" s="28" t="str">
        <f t="shared" si="354"/>
        <v>20215</v>
      </c>
      <c r="AQ1163" s="28" t="str">
        <f t="shared" si="355"/>
        <v>20215JPY</v>
      </c>
      <c r="AR1163" s="206" t="str">
        <f t="shared" si="356"/>
        <v>YAMAHA_Mounter</v>
      </c>
      <c r="AS1163" s="22">
        <f t="shared" si="357"/>
        <v>1</v>
      </c>
      <c r="AT1163" s="24" t="str">
        <f t="shared" si="358"/>
        <v>0-3 months</v>
      </c>
      <c r="AU1163" s="22" t="s">
        <v>3744</v>
      </c>
    </row>
    <row r="1164" spans="1:47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50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42"/>
        <v>12600000</v>
      </c>
      <c r="AA1164" s="13">
        <v>7.2900000000000006E-2</v>
      </c>
      <c r="AB1164" s="21">
        <f t="shared" si="341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45"/>
        <v>27318180.088495575</v>
      </c>
      <c r="AJ1164" s="19">
        <f t="shared" si="346"/>
        <v>3014099.212353982</v>
      </c>
      <c r="AK1164" s="20">
        <f t="shared" si="353"/>
        <v>0.11033308963444827</v>
      </c>
      <c r="AL1164" s="17"/>
      <c r="AM1164" s="17"/>
      <c r="AN1164" s="17"/>
      <c r="AO1164" s="17"/>
      <c r="AP1164" s="28" t="str">
        <f t="shared" si="354"/>
        <v>201912</v>
      </c>
      <c r="AQ1164" s="28" t="str">
        <f t="shared" si="355"/>
        <v>201912JPY</v>
      </c>
      <c r="AR1164" s="206" t="str">
        <f t="shared" si="356"/>
        <v>YAMAHA_Mounter</v>
      </c>
      <c r="AS1164" s="22">
        <f t="shared" si="357"/>
        <v>1</v>
      </c>
      <c r="AT1164" s="24" t="str">
        <f t="shared" si="358"/>
        <v>0-3 months</v>
      </c>
      <c r="AU1164" s="22" t="s">
        <v>3744</v>
      </c>
    </row>
    <row r="1165" spans="1:47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50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59">IF(W1165="RMB","1.13", "1")</f>
        <v>1</v>
      </c>
      <c r="Z1165" s="18">
        <f t="shared" si="342"/>
        <v>8700000</v>
      </c>
      <c r="AA1165" s="13">
        <v>7.6100000000000001E-2</v>
      </c>
      <c r="AB1165" s="21">
        <f t="shared" si="341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45"/>
        <v>44078731.611185849</v>
      </c>
      <c r="AJ1165" s="19">
        <f t="shared" si="346"/>
        <v>5508173.2163771465</v>
      </c>
      <c r="AK1165" s="20">
        <f t="shared" si="353"/>
        <v>0.12496215328889679</v>
      </c>
      <c r="AL1165" s="17"/>
      <c r="AM1165" s="17"/>
      <c r="AN1165" s="17"/>
      <c r="AO1165" s="17"/>
      <c r="AP1165" s="28" t="str">
        <f t="shared" si="354"/>
        <v>202011</v>
      </c>
      <c r="AQ1165" s="28" t="str">
        <f t="shared" si="355"/>
        <v>202011JPY</v>
      </c>
      <c r="AR1165" s="206" t="str">
        <f t="shared" si="356"/>
        <v>YAMAHA_Mounter</v>
      </c>
      <c r="AS1165" s="22">
        <f t="shared" si="357"/>
        <v>1</v>
      </c>
      <c r="AT1165" s="24" t="str">
        <f t="shared" si="358"/>
        <v>0-3 months</v>
      </c>
      <c r="AU1165" s="22" t="s">
        <v>3744</v>
      </c>
    </row>
    <row r="1166" spans="1:47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49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50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59"/>
        <v>1.13</v>
      </c>
      <c r="Z1166" s="18">
        <f t="shared" si="342"/>
        <v>1150000</v>
      </c>
      <c r="AA1166" s="13">
        <v>1.095</v>
      </c>
      <c r="AB1166" s="21">
        <f t="shared" si="341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45"/>
        <v>499582152.5142017</v>
      </c>
      <c r="AJ1166" s="19">
        <f t="shared" si="346"/>
        <v>59520528.679470733</v>
      </c>
      <c r="AK1166" s="20">
        <f t="shared" si="353"/>
        <v>0.11914062257814291</v>
      </c>
      <c r="AL1166" s="17"/>
      <c r="AM1166" s="17"/>
      <c r="AN1166" s="17"/>
      <c r="AO1166" s="17"/>
      <c r="AP1166" s="28" t="str">
        <f t="shared" si="354"/>
        <v>CancelCancel</v>
      </c>
      <c r="AQ1166" s="28" t="str">
        <f t="shared" si="355"/>
        <v>CancelCancelRMB</v>
      </c>
      <c r="AR1166" s="206" t="str">
        <f t="shared" si="356"/>
        <v>YAMAHA_Mounter</v>
      </c>
      <c r="AS1166" s="22" t="str">
        <f t="shared" si="357"/>
        <v/>
      </c>
      <c r="AT1166" s="24" t="str">
        <f t="shared" si="358"/>
        <v/>
      </c>
      <c r="AU1166" s="22" t="s">
        <v>3750</v>
      </c>
    </row>
    <row r="1167" spans="1:47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49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50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59"/>
        <v>1.13</v>
      </c>
      <c r="Z1167" s="18">
        <f t="shared" si="342"/>
        <v>1150000</v>
      </c>
      <c r="AA1167" s="13">
        <v>1.095</v>
      </c>
      <c r="AB1167" s="21">
        <f t="shared" si="341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45"/>
        <v>499582152.5142017</v>
      </c>
      <c r="AJ1167" s="19">
        <f t="shared" si="346"/>
        <v>59520528.679470733</v>
      </c>
      <c r="AK1167" s="20">
        <f t="shared" si="353"/>
        <v>0.11914062257814291</v>
      </c>
      <c r="AL1167" s="17"/>
      <c r="AM1167" s="17"/>
      <c r="AN1167" s="17"/>
      <c r="AO1167" s="17"/>
      <c r="AP1167" s="28" t="str">
        <f t="shared" si="354"/>
        <v>CancelCancel</v>
      </c>
      <c r="AQ1167" s="28" t="str">
        <f t="shared" si="355"/>
        <v>CancelCancelRMB</v>
      </c>
      <c r="AR1167" s="206" t="str">
        <f t="shared" si="356"/>
        <v>YAMAHA_Mounter</v>
      </c>
      <c r="AS1167" s="22" t="str">
        <f t="shared" si="357"/>
        <v/>
      </c>
      <c r="AT1167" s="24" t="str">
        <f t="shared" si="358"/>
        <v/>
      </c>
      <c r="AU1167" s="22" t="s">
        <v>3750</v>
      </c>
    </row>
    <row r="1168" spans="1:47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49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50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59"/>
        <v>1.13</v>
      </c>
      <c r="Z1168" s="18">
        <f t="shared" si="342"/>
        <v>1150000</v>
      </c>
      <c r="AA1168" s="13">
        <v>1.095</v>
      </c>
      <c r="AB1168" s="21">
        <f t="shared" si="341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45"/>
        <v>499582152.5142017</v>
      </c>
      <c r="AJ1168" s="19">
        <f t="shared" si="346"/>
        <v>59520528.679470733</v>
      </c>
      <c r="AK1168" s="20">
        <f t="shared" si="353"/>
        <v>0.11914062257814291</v>
      </c>
      <c r="AL1168" s="17"/>
      <c r="AM1168" s="17"/>
      <c r="AN1168" s="17"/>
      <c r="AO1168" s="17"/>
      <c r="AP1168" s="28" t="str">
        <f t="shared" si="354"/>
        <v>CancelCancel</v>
      </c>
      <c r="AQ1168" s="28" t="str">
        <f t="shared" si="355"/>
        <v>CancelCancelRMB</v>
      </c>
      <c r="AR1168" s="206" t="str">
        <f t="shared" si="356"/>
        <v>YAMAHA_Mounter</v>
      </c>
      <c r="AS1168" s="22" t="str">
        <f t="shared" si="357"/>
        <v/>
      </c>
      <c r="AT1168" s="24" t="str">
        <f t="shared" si="358"/>
        <v/>
      </c>
      <c r="AU1168" s="22" t="s">
        <v>3750</v>
      </c>
    </row>
    <row r="1169" spans="1:47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49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50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59"/>
        <v>1.13</v>
      </c>
      <c r="Z1169" s="18">
        <f t="shared" si="342"/>
        <v>1150000</v>
      </c>
      <c r="AA1169" s="13">
        <v>1.095</v>
      </c>
      <c r="AB1169" s="21">
        <f t="shared" si="341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45"/>
        <v>499582152.5142017</v>
      </c>
      <c r="AJ1169" s="19">
        <f t="shared" si="346"/>
        <v>59520528.679470733</v>
      </c>
      <c r="AK1169" s="20">
        <f t="shared" si="353"/>
        <v>0.11914062257814291</v>
      </c>
      <c r="AL1169" s="17"/>
      <c r="AM1169" s="17"/>
      <c r="AN1169" s="17"/>
      <c r="AO1169" s="17"/>
      <c r="AP1169" s="28" t="str">
        <f t="shared" si="354"/>
        <v>CancelCancel</v>
      </c>
      <c r="AQ1169" s="28" t="str">
        <f t="shared" si="355"/>
        <v>CancelCancelRMB</v>
      </c>
      <c r="AR1169" s="206" t="str">
        <f t="shared" si="356"/>
        <v>YAMAHA_Mounter</v>
      </c>
      <c r="AS1169" s="22" t="str">
        <f t="shared" si="357"/>
        <v/>
      </c>
      <c r="AT1169" s="24" t="str">
        <f t="shared" si="358"/>
        <v/>
      </c>
      <c r="AU1169" s="22" t="s">
        <v>3750</v>
      </c>
    </row>
    <row r="1170" spans="1:47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49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50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59"/>
        <v>1.13</v>
      </c>
      <c r="Z1170" s="18">
        <f t="shared" si="342"/>
        <v>1150000</v>
      </c>
      <c r="AA1170" s="13">
        <v>1.095</v>
      </c>
      <c r="AB1170" s="21">
        <f t="shared" si="341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45"/>
        <v>499582152.5142017</v>
      </c>
      <c r="AJ1170" s="19">
        <f t="shared" si="346"/>
        <v>59520528.679470733</v>
      </c>
      <c r="AK1170" s="20">
        <f t="shared" si="353"/>
        <v>0.11914062257814291</v>
      </c>
      <c r="AL1170" s="17"/>
      <c r="AM1170" s="17"/>
      <c r="AN1170" s="17"/>
      <c r="AO1170" s="17"/>
      <c r="AP1170" s="28" t="str">
        <f t="shared" si="354"/>
        <v>CancelCancel</v>
      </c>
      <c r="AQ1170" s="28" t="str">
        <f t="shared" si="355"/>
        <v>CancelCancelRMB</v>
      </c>
      <c r="AR1170" s="206" t="str">
        <f t="shared" si="356"/>
        <v>YAMAHA_Mounter</v>
      </c>
      <c r="AS1170" s="22" t="str">
        <f t="shared" si="357"/>
        <v/>
      </c>
      <c r="AT1170" s="24" t="str">
        <f t="shared" si="358"/>
        <v/>
      </c>
      <c r="AU1170" s="22" t="s">
        <v>3750</v>
      </c>
    </row>
    <row r="1171" spans="1:47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49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50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59"/>
        <v>1.13</v>
      </c>
      <c r="Z1171" s="18">
        <f t="shared" si="342"/>
        <v>1050000</v>
      </c>
      <c r="AA1171" s="13">
        <v>1.095</v>
      </c>
      <c r="AB1171" s="21">
        <f t="shared" si="341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45"/>
        <v>499582152.5142017</v>
      </c>
      <c r="AJ1171" s="19">
        <f t="shared" si="346"/>
        <v>59520528.679470733</v>
      </c>
      <c r="AK1171" s="20">
        <f t="shared" si="353"/>
        <v>0.11914062257814291</v>
      </c>
      <c r="AL1171" s="17"/>
      <c r="AM1171" s="17"/>
      <c r="AN1171" s="17"/>
      <c r="AO1171" s="17"/>
      <c r="AP1171" s="28" t="str">
        <f t="shared" si="354"/>
        <v>CancelCancel</v>
      </c>
      <c r="AQ1171" s="28" t="str">
        <f t="shared" si="355"/>
        <v>CancelCancelRMB</v>
      </c>
      <c r="AR1171" s="206" t="str">
        <f t="shared" si="356"/>
        <v>YAMAHA_Mounter</v>
      </c>
      <c r="AS1171" s="22" t="str">
        <f t="shared" si="357"/>
        <v/>
      </c>
      <c r="AT1171" s="24" t="str">
        <f t="shared" si="358"/>
        <v/>
      </c>
      <c r="AU1171" s="22" t="s">
        <v>3750</v>
      </c>
    </row>
    <row r="1172" spans="1:47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49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50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59"/>
        <v>1.13</v>
      </c>
      <c r="Z1172" s="18">
        <f t="shared" si="342"/>
        <v>1050000</v>
      </c>
      <c r="AA1172" s="13">
        <v>1.095</v>
      </c>
      <c r="AB1172" s="21">
        <f t="shared" si="341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45"/>
        <v>499582152.5142017</v>
      </c>
      <c r="AJ1172" s="19">
        <f t="shared" si="346"/>
        <v>59520528.679470733</v>
      </c>
      <c r="AK1172" s="20">
        <f t="shared" si="353"/>
        <v>0.11914062257814291</v>
      </c>
      <c r="AL1172" s="17"/>
      <c r="AM1172" s="17"/>
      <c r="AN1172" s="17"/>
      <c r="AO1172" s="17"/>
      <c r="AP1172" s="28" t="str">
        <f t="shared" si="354"/>
        <v>CancelCancel</v>
      </c>
      <c r="AQ1172" s="28" t="str">
        <f t="shared" si="355"/>
        <v>CancelCancelRMB</v>
      </c>
      <c r="AR1172" s="206" t="str">
        <f t="shared" si="356"/>
        <v>YAMAHA_Mounter</v>
      </c>
      <c r="AS1172" s="22" t="str">
        <f t="shared" si="357"/>
        <v/>
      </c>
      <c r="AT1172" s="24" t="str">
        <f t="shared" si="358"/>
        <v/>
      </c>
      <c r="AU1172" s="22" t="s">
        <v>3750</v>
      </c>
    </row>
    <row r="1173" spans="1:47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49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50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59"/>
        <v>1.13</v>
      </c>
      <c r="Z1173" s="18">
        <f t="shared" si="342"/>
        <v>1050000</v>
      </c>
      <c r="AA1173" s="13">
        <v>1.095</v>
      </c>
      <c r="AB1173" s="21">
        <f t="shared" si="341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45"/>
        <v>499582152.5142017</v>
      </c>
      <c r="AJ1173" s="19">
        <f t="shared" si="346"/>
        <v>59520528.679470733</v>
      </c>
      <c r="AK1173" s="20">
        <f t="shared" si="353"/>
        <v>0.11914062257814291</v>
      </c>
      <c r="AL1173" s="17"/>
      <c r="AM1173" s="17"/>
      <c r="AN1173" s="17"/>
      <c r="AO1173" s="17"/>
      <c r="AP1173" s="28" t="str">
        <f t="shared" si="354"/>
        <v>CancelCancel</v>
      </c>
      <c r="AQ1173" s="28" t="str">
        <f t="shared" si="355"/>
        <v>CancelCancelRMB</v>
      </c>
      <c r="AR1173" s="206" t="str">
        <f t="shared" si="356"/>
        <v>YAMAHA_Mounter</v>
      </c>
      <c r="AS1173" s="22" t="str">
        <f t="shared" si="357"/>
        <v/>
      </c>
      <c r="AT1173" s="24" t="str">
        <f t="shared" si="358"/>
        <v/>
      </c>
      <c r="AU1173" s="22" t="s">
        <v>3750</v>
      </c>
    </row>
    <row r="1174" spans="1:47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49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50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59"/>
        <v>1.13</v>
      </c>
      <c r="Z1174" s="18">
        <f t="shared" si="342"/>
        <v>900000</v>
      </c>
      <c r="AA1174" s="13">
        <v>1.095</v>
      </c>
      <c r="AB1174" s="21">
        <f t="shared" si="341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45"/>
        <v>499582152.5142017</v>
      </c>
      <c r="AJ1174" s="19">
        <f t="shared" si="346"/>
        <v>59520528.679470733</v>
      </c>
      <c r="AK1174" s="20">
        <f t="shared" si="353"/>
        <v>0.11914062257814291</v>
      </c>
      <c r="AL1174" s="17"/>
      <c r="AM1174" s="17"/>
      <c r="AN1174" s="17"/>
      <c r="AO1174" s="17"/>
      <c r="AP1174" s="28" t="str">
        <f t="shared" si="354"/>
        <v>CancelCancel</v>
      </c>
      <c r="AQ1174" s="28" t="str">
        <f t="shared" si="355"/>
        <v>CancelCancelRMB</v>
      </c>
      <c r="AR1174" s="206" t="str">
        <f t="shared" si="356"/>
        <v>YAMAHA_Mounter</v>
      </c>
      <c r="AS1174" s="22" t="str">
        <f t="shared" si="357"/>
        <v/>
      </c>
      <c r="AT1174" s="24" t="str">
        <f t="shared" si="358"/>
        <v/>
      </c>
      <c r="AU1174" s="22" t="s">
        <v>3750</v>
      </c>
    </row>
    <row r="1175" spans="1:47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49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50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59"/>
        <v>1.13</v>
      </c>
      <c r="Z1175" s="18">
        <f t="shared" si="342"/>
        <v>900000</v>
      </c>
      <c r="AA1175" s="13">
        <v>1.095</v>
      </c>
      <c r="AB1175" s="21">
        <f t="shared" si="341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45"/>
        <v>499582152.5142017</v>
      </c>
      <c r="AJ1175" s="19">
        <f t="shared" si="346"/>
        <v>59520528.679470733</v>
      </c>
      <c r="AK1175" s="20">
        <f t="shared" si="353"/>
        <v>0.11914062257814291</v>
      </c>
      <c r="AL1175" s="17"/>
      <c r="AM1175" s="17"/>
      <c r="AN1175" s="17"/>
      <c r="AO1175" s="17"/>
      <c r="AP1175" s="28" t="str">
        <f t="shared" si="354"/>
        <v>CancelCancel</v>
      </c>
      <c r="AQ1175" s="28" t="str">
        <f t="shared" si="355"/>
        <v>CancelCancelRMB</v>
      </c>
      <c r="AR1175" s="206" t="str">
        <f t="shared" si="356"/>
        <v>YAMAHA_Mounter</v>
      </c>
      <c r="AS1175" s="22" t="str">
        <f t="shared" si="357"/>
        <v/>
      </c>
      <c r="AT1175" s="24" t="str">
        <f t="shared" si="358"/>
        <v/>
      </c>
      <c r="AU1175" s="22" t="s">
        <v>3750</v>
      </c>
    </row>
    <row r="1176" spans="1:47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49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50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59"/>
        <v>1.13</v>
      </c>
      <c r="Z1176" s="18">
        <f t="shared" si="342"/>
        <v>600000</v>
      </c>
      <c r="AA1176" s="13">
        <v>1.095</v>
      </c>
      <c r="AB1176" s="21">
        <f t="shared" si="341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45"/>
        <v>499582152.5142017</v>
      </c>
      <c r="AJ1176" s="19">
        <f t="shared" si="346"/>
        <v>59520528.679470733</v>
      </c>
      <c r="AK1176" s="20">
        <f t="shared" si="353"/>
        <v>0.11914062257814291</v>
      </c>
      <c r="AL1176" s="17"/>
      <c r="AM1176" s="17"/>
      <c r="AN1176" s="17"/>
      <c r="AO1176" s="17"/>
      <c r="AP1176" s="28" t="str">
        <f t="shared" si="354"/>
        <v>CancelCancel</v>
      </c>
      <c r="AQ1176" s="28" t="str">
        <f t="shared" si="355"/>
        <v>CancelCancelRMB</v>
      </c>
      <c r="AR1176" s="206" t="str">
        <f t="shared" si="356"/>
        <v>YAMAHA_Mounter</v>
      </c>
      <c r="AS1176" s="22" t="str">
        <f t="shared" si="357"/>
        <v/>
      </c>
      <c r="AT1176" s="24" t="str">
        <f t="shared" si="358"/>
        <v/>
      </c>
      <c r="AU1176" s="22" t="s">
        <v>3750</v>
      </c>
    </row>
    <row r="1177" spans="1:47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49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50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59"/>
        <v>1.13</v>
      </c>
      <c r="Z1177" s="18">
        <f t="shared" si="342"/>
        <v>600000</v>
      </c>
      <c r="AA1177" s="13">
        <v>1.095</v>
      </c>
      <c r="AB1177" s="21">
        <f t="shared" si="341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45"/>
        <v>499582152.5142017</v>
      </c>
      <c r="AJ1177" s="19">
        <f t="shared" si="346"/>
        <v>59520528.679470733</v>
      </c>
      <c r="AK1177" s="20">
        <f t="shared" si="353"/>
        <v>0.11914062257814291</v>
      </c>
      <c r="AL1177" s="17"/>
      <c r="AM1177" s="17"/>
      <c r="AN1177" s="17"/>
      <c r="AO1177" s="17"/>
      <c r="AP1177" s="28" t="str">
        <f t="shared" si="354"/>
        <v>CancelCancel</v>
      </c>
      <c r="AQ1177" s="28" t="str">
        <f t="shared" si="355"/>
        <v>CancelCancelRMB</v>
      </c>
      <c r="AR1177" s="206" t="str">
        <f t="shared" si="356"/>
        <v>YAMAHA_Mounter</v>
      </c>
      <c r="AS1177" s="22" t="str">
        <f t="shared" si="357"/>
        <v/>
      </c>
      <c r="AT1177" s="24" t="str">
        <f t="shared" si="358"/>
        <v/>
      </c>
      <c r="AU1177" s="22" t="s">
        <v>3750</v>
      </c>
    </row>
    <row r="1178" spans="1:47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50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42"/>
        <v>9175000</v>
      </c>
      <c r="AA1178" s="13">
        <v>7.2099999999999997E-2</v>
      </c>
      <c r="AB1178" s="21">
        <f t="shared" si="341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45"/>
        <v>26492741.106427077</v>
      </c>
      <c r="AJ1178" s="19">
        <f t="shared" si="346"/>
        <v>3348032.1325698122</v>
      </c>
      <c r="AK1178" s="20">
        <f t="shared" si="353"/>
        <v>0.12637545201985867</v>
      </c>
      <c r="AL1178" s="17"/>
      <c r="AM1178" s="17"/>
      <c r="AN1178" s="17"/>
      <c r="AO1178" s="17"/>
      <c r="AP1178" s="28" t="str">
        <f t="shared" si="354"/>
        <v>20189</v>
      </c>
      <c r="AQ1178" s="28" t="str">
        <f t="shared" si="355"/>
        <v>20189JPY</v>
      </c>
      <c r="AR1178" s="206" t="str">
        <f t="shared" si="356"/>
        <v>YAMAHA_Mounter</v>
      </c>
      <c r="AS1178" s="22">
        <f t="shared" si="357"/>
        <v>0</v>
      </c>
      <c r="AT1178" s="24" t="str">
        <f t="shared" si="358"/>
        <v>0-3 months</v>
      </c>
      <c r="AU1178" s="22" t="s">
        <v>3745</v>
      </c>
    </row>
    <row r="1179" spans="1:47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50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42"/>
        <v>12600000</v>
      </c>
      <c r="AA1179" s="13">
        <v>5.4199999999999998E-2</v>
      </c>
      <c r="AB1179" s="21">
        <f t="shared" ref="AB1179:AB1242" si="360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45"/>
        <v>10271727.486725664</v>
      </c>
      <c r="AJ1179" s="19">
        <f t="shared" si="346"/>
        <v>1227228.7260761063</v>
      </c>
      <c r="AK1179" s="20">
        <f t="shared" si="353"/>
        <v>0.11947637120066472</v>
      </c>
      <c r="AL1179" s="17"/>
      <c r="AM1179" s="17"/>
      <c r="AN1179" s="17"/>
      <c r="AO1179" s="17"/>
      <c r="AP1179" s="28" t="str">
        <f t="shared" si="354"/>
        <v>202312</v>
      </c>
      <c r="AQ1179" s="28" t="str">
        <f t="shared" si="355"/>
        <v>202312JPY</v>
      </c>
      <c r="AR1179" s="206" t="str">
        <f t="shared" si="356"/>
        <v>YAMAHA_Mounter</v>
      </c>
      <c r="AS1179" s="22">
        <f t="shared" si="357"/>
        <v>1</v>
      </c>
      <c r="AT1179" s="24" t="str">
        <f t="shared" si="358"/>
        <v>0-3 months</v>
      </c>
      <c r="AU1179" s="22" t="s">
        <v>3744</v>
      </c>
    </row>
    <row r="1180" spans="1:47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50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42"/>
        <v>9510000</v>
      </c>
      <c r="AA1180" s="13">
        <v>5.4199999999999998E-2</v>
      </c>
      <c r="AB1180" s="21">
        <f t="shared" si="360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45"/>
        <v>10271727.486725664</v>
      </c>
      <c r="AJ1180" s="19">
        <f t="shared" si="346"/>
        <v>1227228.7260761063</v>
      </c>
      <c r="AK1180" s="20">
        <f t="shared" si="353"/>
        <v>0.11947637120066472</v>
      </c>
      <c r="AL1180" s="17"/>
      <c r="AM1180" s="17"/>
      <c r="AN1180" s="17"/>
      <c r="AO1180" s="17"/>
      <c r="AP1180" s="28" t="str">
        <f t="shared" si="354"/>
        <v>202312</v>
      </c>
      <c r="AQ1180" s="28" t="str">
        <f t="shared" si="355"/>
        <v>202312JPY</v>
      </c>
      <c r="AR1180" s="206" t="str">
        <f t="shared" si="356"/>
        <v>YAMAHA_Mounter</v>
      </c>
      <c r="AS1180" s="22">
        <f t="shared" si="357"/>
        <v>1</v>
      </c>
      <c r="AT1180" s="24" t="str">
        <f t="shared" si="358"/>
        <v>0-3 months</v>
      </c>
      <c r="AU1180" s="22" t="s">
        <v>3744</v>
      </c>
    </row>
    <row r="1181" spans="1:47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50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42"/>
        <v>1020000</v>
      </c>
      <c r="AA1181" s="13">
        <v>1.095</v>
      </c>
      <c r="AB1181" s="21">
        <f t="shared" si="360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45"/>
        <v>28647263.974455759</v>
      </c>
      <c r="AJ1181" s="19">
        <f t="shared" si="346"/>
        <v>3219855.6912513468</v>
      </c>
      <c r="AK1181" s="20">
        <f t="shared" si="353"/>
        <v>0.11239662168514358</v>
      </c>
      <c r="AL1181" s="17"/>
      <c r="AM1181" s="17"/>
      <c r="AN1181" s="17"/>
      <c r="AO1181" s="17"/>
      <c r="AP1181" s="28" t="str">
        <f t="shared" si="354"/>
        <v>201910</v>
      </c>
      <c r="AQ1181" s="28" t="str">
        <f t="shared" si="355"/>
        <v>201910RMB</v>
      </c>
      <c r="AR1181" s="206" t="str">
        <f t="shared" si="356"/>
        <v>YAMAHA_Mounter</v>
      </c>
      <c r="AS1181" s="22">
        <f t="shared" si="357"/>
        <v>2</v>
      </c>
      <c r="AT1181" s="24" t="str">
        <f t="shared" si="358"/>
        <v>0-3 months</v>
      </c>
      <c r="AU1181" s="22" t="s">
        <v>3743</v>
      </c>
    </row>
    <row r="1182" spans="1:47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50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42"/>
        <v>12350000</v>
      </c>
      <c r="AA1182" s="13">
        <v>7.2999999999999995E-2</v>
      </c>
      <c r="AB1182" s="21">
        <f t="shared" si="360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45"/>
        <v>11620538.477876106</v>
      </c>
      <c r="AJ1182" s="19">
        <f t="shared" si="346"/>
        <v>1598596.3145221241</v>
      </c>
      <c r="AK1182" s="20">
        <f t="shared" si="353"/>
        <v>0.13756645766163331</v>
      </c>
      <c r="AL1182" s="17"/>
      <c r="AM1182" s="17"/>
      <c r="AN1182" s="17"/>
      <c r="AO1182" s="17"/>
      <c r="AP1182" s="28" t="str">
        <f t="shared" si="354"/>
        <v>20201</v>
      </c>
      <c r="AQ1182" s="28" t="str">
        <f t="shared" si="355"/>
        <v>20201JPY</v>
      </c>
      <c r="AR1182" s="206" t="str">
        <f t="shared" si="356"/>
        <v>YAMAHA_Mounter</v>
      </c>
      <c r="AS1182" s="22">
        <f t="shared" si="357"/>
        <v>2</v>
      </c>
      <c r="AT1182" s="24" t="str">
        <f t="shared" si="358"/>
        <v>0-3 months</v>
      </c>
      <c r="AU1182" s="22" t="s">
        <v>3744</v>
      </c>
    </row>
    <row r="1183" spans="1:47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50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42"/>
        <v>12350000</v>
      </c>
      <c r="AA1183" s="13">
        <v>7.2999999999999995E-2</v>
      </c>
      <c r="AB1183" s="21">
        <f t="shared" si="360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45"/>
        <v>11620538.477876106</v>
      </c>
      <c r="AJ1183" s="19">
        <f t="shared" si="346"/>
        <v>1598596.3145221241</v>
      </c>
      <c r="AK1183" s="20">
        <f t="shared" si="353"/>
        <v>0.13756645766163331</v>
      </c>
      <c r="AL1183" s="17"/>
      <c r="AM1183" s="17"/>
      <c r="AN1183" s="17"/>
      <c r="AO1183" s="17"/>
      <c r="AP1183" s="28" t="str">
        <f t="shared" si="354"/>
        <v>20201</v>
      </c>
      <c r="AQ1183" s="28" t="str">
        <f t="shared" si="355"/>
        <v>20201JPY</v>
      </c>
      <c r="AR1183" s="206" t="str">
        <f t="shared" si="356"/>
        <v>YAMAHA_Mounter</v>
      </c>
      <c r="AS1183" s="22">
        <f t="shared" si="357"/>
        <v>2</v>
      </c>
      <c r="AT1183" s="24" t="str">
        <f t="shared" si="358"/>
        <v>0-3 months</v>
      </c>
      <c r="AU1183" s="22" t="s">
        <v>3744</v>
      </c>
    </row>
    <row r="1184" spans="1:47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50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61">IF(W1184="RMB","1.13", "1")</f>
        <v>1</v>
      </c>
      <c r="Z1184" s="18">
        <f t="shared" si="342"/>
        <v>16200000</v>
      </c>
      <c r="AA1184" s="13">
        <v>7.4899999999999994E-2</v>
      </c>
      <c r="AB1184" s="21">
        <f t="shared" si="360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45"/>
        <v>28011162.254106201</v>
      </c>
      <c r="AJ1184" s="19">
        <f t="shared" si="346"/>
        <v>3401347.1124888416</v>
      </c>
      <c r="AK1184" s="20">
        <f t="shared" si="353"/>
        <v>0.12142827497242578</v>
      </c>
      <c r="AL1184" s="17"/>
      <c r="AM1184" s="17"/>
      <c r="AN1184" s="17"/>
      <c r="AO1184" s="17"/>
      <c r="AP1184" s="28" t="str">
        <f t="shared" si="354"/>
        <v>202010</v>
      </c>
      <c r="AQ1184" s="28" t="str">
        <f t="shared" si="355"/>
        <v>202010JPY</v>
      </c>
      <c r="AR1184" s="206" t="str">
        <f t="shared" si="356"/>
        <v>YAMAHA_Mounter</v>
      </c>
      <c r="AS1184" s="22">
        <f t="shared" si="357"/>
        <v>10</v>
      </c>
      <c r="AT1184" s="24" t="str">
        <f t="shared" si="358"/>
        <v>&gt; 6 months</v>
      </c>
      <c r="AU1184" s="22" t="s">
        <v>3744</v>
      </c>
    </row>
    <row r="1185" spans="1:47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50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61"/>
        <v>1</v>
      </c>
      <c r="Z1185" s="18">
        <f t="shared" si="342"/>
        <v>10200000</v>
      </c>
      <c r="AA1185" s="13">
        <v>7.4899999999999994E-2</v>
      </c>
      <c r="AB1185" s="21">
        <f t="shared" si="360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45"/>
        <v>28011162.254106201</v>
      </c>
      <c r="AJ1185" s="19">
        <f t="shared" si="346"/>
        <v>3401347.1124888416</v>
      </c>
      <c r="AK1185" s="20">
        <f t="shared" si="353"/>
        <v>0.12142827497242578</v>
      </c>
      <c r="AL1185" s="17"/>
      <c r="AM1185" s="17"/>
      <c r="AN1185" s="17"/>
      <c r="AO1185" s="17"/>
      <c r="AP1185" s="28" t="str">
        <f t="shared" si="354"/>
        <v>202010</v>
      </c>
      <c r="AQ1185" s="28" t="str">
        <f t="shared" si="355"/>
        <v>202010JPY</v>
      </c>
      <c r="AR1185" s="206" t="str">
        <f t="shared" si="356"/>
        <v>YAMAHA_Mounter</v>
      </c>
      <c r="AS1185" s="22">
        <f t="shared" si="357"/>
        <v>10</v>
      </c>
      <c r="AT1185" s="24" t="str">
        <f t="shared" si="358"/>
        <v>&gt; 6 months</v>
      </c>
      <c r="AU1185" s="22" t="s">
        <v>3744</v>
      </c>
    </row>
    <row r="1186" spans="1:47" s="12" customFormat="1">
      <c r="A1186" s="33" t="str">
        <f t="shared" si="347"/>
        <v>cancel</v>
      </c>
      <c r="B1186" s="152"/>
      <c r="C1186" s="152" t="s">
        <v>185</v>
      </c>
      <c r="D1186" s="33" t="str">
        <f t="shared" si="348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49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50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61"/>
        <v>1</v>
      </c>
      <c r="Z1186" s="18">
        <f t="shared" si="342"/>
        <v>10600000</v>
      </c>
      <c r="AA1186" s="13">
        <v>7.2999999999999995E-2</v>
      </c>
      <c r="AB1186" s="21">
        <f t="shared" si="360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45"/>
        <v>499582152.5142017</v>
      </c>
      <c r="AJ1186" s="19">
        <f t="shared" si="346"/>
        <v>59520528.679470733</v>
      </c>
      <c r="AK1186" s="20">
        <f t="shared" si="353"/>
        <v>0.11914062257814291</v>
      </c>
      <c r="AL1186" s="17"/>
      <c r="AM1186" s="17"/>
      <c r="AN1186" s="17"/>
      <c r="AO1186" s="17"/>
      <c r="AP1186" s="28" t="str">
        <f t="shared" si="354"/>
        <v>CancelCancel</v>
      </c>
      <c r="AQ1186" s="28" t="str">
        <f t="shared" si="355"/>
        <v>CancelCancelJPY</v>
      </c>
      <c r="AR1186" s="206" t="str">
        <f t="shared" si="356"/>
        <v>YAMAHA_Mounter</v>
      </c>
      <c r="AS1186" s="22" t="str">
        <f t="shared" si="357"/>
        <v/>
      </c>
      <c r="AT1186" s="24" t="str">
        <f t="shared" si="358"/>
        <v/>
      </c>
      <c r="AU1186" s="22" t="s">
        <v>3744</v>
      </c>
    </row>
    <row r="1187" spans="1:47" s="12" customFormat="1">
      <c r="A1187" s="33" t="str">
        <f t="shared" si="347"/>
        <v>cancel</v>
      </c>
      <c r="B1187" s="152"/>
      <c r="C1187" s="152" t="s">
        <v>185</v>
      </c>
      <c r="D1187" s="33" t="str">
        <f t="shared" si="348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49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50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61"/>
        <v>1</v>
      </c>
      <c r="Z1187" s="18">
        <f t="shared" si="342"/>
        <v>8150000</v>
      </c>
      <c r="AA1187" s="13">
        <v>7.2999999999999995E-2</v>
      </c>
      <c r="AB1187" s="21">
        <f t="shared" si="360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45"/>
        <v>499582152.5142017</v>
      </c>
      <c r="AJ1187" s="19">
        <f t="shared" si="346"/>
        <v>59520528.679470733</v>
      </c>
      <c r="AK1187" s="20">
        <f t="shared" si="353"/>
        <v>0.11914062257814291</v>
      </c>
      <c r="AL1187" s="17"/>
      <c r="AM1187" s="17"/>
      <c r="AN1187" s="17"/>
      <c r="AO1187" s="17"/>
      <c r="AP1187" s="28" t="str">
        <f t="shared" si="354"/>
        <v>CancelCancel</v>
      </c>
      <c r="AQ1187" s="28" t="str">
        <f t="shared" si="355"/>
        <v>CancelCancelJPY</v>
      </c>
      <c r="AR1187" s="206" t="str">
        <f t="shared" si="356"/>
        <v>YAMAHA_Mounter</v>
      </c>
      <c r="AS1187" s="22" t="str">
        <f t="shared" si="357"/>
        <v/>
      </c>
      <c r="AT1187" s="24" t="str">
        <f t="shared" si="358"/>
        <v/>
      </c>
      <c r="AU1187" s="22" t="s">
        <v>3744</v>
      </c>
    </row>
    <row r="1188" spans="1:47" s="12" customFormat="1">
      <c r="A1188" s="33" t="str">
        <f t="shared" si="347"/>
        <v>cancel</v>
      </c>
      <c r="B1188" s="152"/>
      <c r="C1188" s="152" t="s">
        <v>185</v>
      </c>
      <c r="D1188" s="33" t="str">
        <f t="shared" si="348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49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50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61"/>
        <v>1</v>
      </c>
      <c r="Z1188" s="18">
        <f t="shared" si="342"/>
        <v>8150000</v>
      </c>
      <c r="AA1188" s="13">
        <v>7.2999999999999995E-2</v>
      </c>
      <c r="AB1188" s="21">
        <f t="shared" si="360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45"/>
        <v>499582152.5142017</v>
      </c>
      <c r="AJ1188" s="19">
        <f t="shared" si="346"/>
        <v>59520528.679470733</v>
      </c>
      <c r="AK1188" s="20">
        <f t="shared" si="353"/>
        <v>0.11914062257814291</v>
      </c>
      <c r="AL1188" s="17"/>
      <c r="AM1188" s="17"/>
      <c r="AN1188" s="17"/>
      <c r="AO1188" s="17"/>
      <c r="AP1188" s="28" t="str">
        <f t="shared" si="354"/>
        <v>CancelCancel</v>
      </c>
      <c r="AQ1188" s="28" t="str">
        <f t="shared" si="355"/>
        <v>CancelCancelJPY</v>
      </c>
      <c r="AR1188" s="206" t="str">
        <f t="shared" si="356"/>
        <v>YAMAHA_Mounter</v>
      </c>
      <c r="AS1188" s="22" t="str">
        <f t="shared" si="357"/>
        <v/>
      </c>
      <c r="AT1188" s="24" t="str">
        <f t="shared" si="358"/>
        <v/>
      </c>
      <c r="AU1188" s="22" t="s">
        <v>3744</v>
      </c>
    </row>
    <row r="1189" spans="1:47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50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61"/>
        <v>1</v>
      </c>
      <c r="Z1189" s="18">
        <f t="shared" si="342"/>
        <v>8300000</v>
      </c>
      <c r="AA1189" s="13">
        <v>5.7500000000000002E-2</v>
      </c>
      <c r="AB1189" s="21">
        <f t="shared" si="360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45"/>
        <v>17329060.066371687</v>
      </c>
      <c r="AJ1189" s="19">
        <f t="shared" si="346"/>
        <v>2472600.2142256643</v>
      </c>
      <c r="AK1189" s="20">
        <f t="shared" si="353"/>
        <v>0.14268518919984163</v>
      </c>
      <c r="AL1189" s="17"/>
      <c r="AM1189" s="17"/>
      <c r="AN1189" s="17"/>
      <c r="AO1189" s="17"/>
      <c r="AP1189" s="28" t="str">
        <f t="shared" si="354"/>
        <v>202212</v>
      </c>
      <c r="AQ1189" s="28" t="str">
        <f t="shared" si="355"/>
        <v>202212JPY</v>
      </c>
      <c r="AR1189" s="206" t="str">
        <f t="shared" si="356"/>
        <v>YAMAHA_Mounter</v>
      </c>
      <c r="AS1189" s="22">
        <f t="shared" si="357"/>
        <v>6</v>
      </c>
      <c r="AT1189" s="24" t="str">
        <f t="shared" si="358"/>
        <v>4-6 months</v>
      </c>
      <c r="AU1189" s="22" t="s">
        <v>3745</v>
      </c>
    </row>
    <row r="1190" spans="1:47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50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61"/>
        <v>1</v>
      </c>
      <c r="Z1190" s="18">
        <f t="shared" si="342"/>
        <v>8300000</v>
      </c>
      <c r="AA1190" s="13">
        <v>5.7500000000000002E-2</v>
      </c>
      <c r="AB1190" s="21">
        <f t="shared" si="360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45"/>
        <v>17329060.066371687</v>
      </c>
      <c r="AJ1190" s="19">
        <f t="shared" si="346"/>
        <v>2472600.2142256643</v>
      </c>
      <c r="AK1190" s="20">
        <f t="shared" si="353"/>
        <v>0.14268518919984163</v>
      </c>
      <c r="AL1190" s="17"/>
      <c r="AM1190" s="17"/>
      <c r="AN1190" s="17"/>
      <c r="AO1190" s="17"/>
      <c r="AP1190" s="28" t="str">
        <f t="shared" si="354"/>
        <v>202212</v>
      </c>
      <c r="AQ1190" s="28" t="str">
        <f t="shared" si="355"/>
        <v>202212JPY</v>
      </c>
      <c r="AR1190" s="206" t="str">
        <f t="shared" si="356"/>
        <v>YAMAHA_Mounter</v>
      </c>
      <c r="AS1190" s="22">
        <f t="shared" si="357"/>
        <v>6</v>
      </c>
      <c r="AT1190" s="24" t="str">
        <f t="shared" si="358"/>
        <v>4-6 months</v>
      </c>
      <c r="AU1190" s="22" t="s">
        <v>3745</v>
      </c>
    </row>
    <row r="1191" spans="1:47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50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42"/>
        <v>650000</v>
      </c>
      <c r="AA1191" s="22">
        <v>1.083</v>
      </c>
      <c r="AB1191" s="21">
        <f t="shared" si="360"/>
        <v>622964.60176991147</v>
      </c>
      <c r="AC1191" s="25">
        <f t="shared" si="351"/>
        <v>144590.08407079647</v>
      </c>
      <c r="AD1191" s="22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45"/>
        <v>11472879.764601771</v>
      </c>
      <c r="AJ1191" s="27">
        <f t="shared" si="346"/>
        <v>2038344.1716106194</v>
      </c>
      <c r="AK1191" s="28">
        <f t="shared" si="353"/>
        <v>0.17766630640544948</v>
      </c>
      <c r="AL1191" s="24"/>
      <c r="AM1191" s="24"/>
      <c r="AN1191" s="24"/>
      <c r="AO1191" s="24"/>
      <c r="AP1191" s="28" t="str">
        <f t="shared" si="354"/>
        <v>20245</v>
      </c>
      <c r="AQ1191" s="28" t="str">
        <f t="shared" si="355"/>
        <v>20245RMB</v>
      </c>
      <c r="AR1191" s="206" t="str">
        <f t="shared" si="356"/>
        <v>YAMAHA_Mounter</v>
      </c>
      <c r="AS1191" s="22">
        <f t="shared" si="357"/>
        <v>4</v>
      </c>
      <c r="AT1191" s="24" t="str">
        <f t="shared" si="358"/>
        <v>4-6 months</v>
      </c>
      <c r="AU1191" s="22" t="s">
        <v>3750</v>
      </c>
    </row>
    <row r="1192" spans="1:47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50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62">IF(W1192="RMB","1.13", "1")</f>
        <v>1</v>
      </c>
      <c r="Z1192" s="18">
        <f t="shared" si="342"/>
        <v>8600000</v>
      </c>
      <c r="AA1192" s="13">
        <v>7.4499999999999997E-2</v>
      </c>
      <c r="AB1192" s="21">
        <f t="shared" si="360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45"/>
        <v>57778307.282035396</v>
      </c>
      <c r="AJ1192" s="19">
        <f t="shared" si="346"/>
        <v>7259860.7225420559</v>
      </c>
      <c r="AK1192" s="20">
        <f t="shared" si="353"/>
        <v>0.12565028406083667</v>
      </c>
      <c r="AL1192" s="17"/>
      <c r="AM1192" s="17"/>
      <c r="AN1192" s="17"/>
      <c r="AO1192" s="17"/>
      <c r="AP1192" s="28" t="str">
        <f t="shared" si="354"/>
        <v>20213</v>
      </c>
      <c r="AQ1192" s="28" t="str">
        <f t="shared" si="355"/>
        <v>20213JPY</v>
      </c>
      <c r="AR1192" s="206" t="str">
        <f t="shared" si="356"/>
        <v>YAMAHA_Mounter</v>
      </c>
      <c r="AS1192" s="22">
        <f t="shared" si="357"/>
        <v>3</v>
      </c>
      <c r="AT1192" s="24" t="str">
        <f t="shared" si="358"/>
        <v>0-3 months</v>
      </c>
      <c r="AU1192" s="22" t="s">
        <v>3744</v>
      </c>
    </row>
    <row r="1193" spans="1:47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50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62"/>
        <v>1</v>
      </c>
      <c r="Z1193" s="18">
        <f t="shared" si="342"/>
        <v>8600000</v>
      </c>
      <c r="AA1193" s="13">
        <v>7.4499999999999997E-2</v>
      </c>
      <c r="AB1193" s="21">
        <f t="shared" si="360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45"/>
        <v>57778307.282035396</v>
      </c>
      <c r="AJ1193" s="19">
        <f t="shared" si="346"/>
        <v>7259860.7225420559</v>
      </c>
      <c r="AK1193" s="20">
        <f t="shared" si="353"/>
        <v>0.12565028406083667</v>
      </c>
      <c r="AL1193" s="17"/>
      <c r="AM1193" s="17"/>
      <c r="AN1193" s="17"/>
      <c r="AO1193" s="17"/>
      <c r="AP1193" s="28" t="str">
        <f t="shared" si="354"/>
        <v>20213</v>
      </c>
      <c r="AQ1193" s="28" t="str">
        <f t="shared" si="355"/>
        <v>20213JPY</v>
      </c>
      <c r="AR1193" s="206" t="str">
        <f t="shared" si="356"/>
        <v>YAMAHA_Mounter</v>
      </c>
      <c r="AS1193" s="22">
        <f t="shared" si="357"/>
        <v>3</v>
      </c>
      <c r="AT1193" s="24" t="str">
        <f t="shared" si="358"/>
        <v>0-3 months</v>
      </c>
      <c r="AU1193" s="22" t="s">
        <v>3744</v>
      </c>
    </row>
    <row r="1194" spans="1:47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49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50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62"/>
        <v>1</v>
      </c>
      <c r="Z1194" s="18">
        <f t="shared" si="342"/>
        <v>8150000</v>
      </c>
      <c r="AA1194" s="13">
        <v>7.2400000000000006E-2</v>
      </c>
      <c r="AB1194" s="21">
        <f t="shared" si="360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45"/>
        <v>499582152.5142017</v>
      </c>
      <c r="AJ1194" s="19">
        <f t="shared" si="346"/>
        <v>59520528.679470733</v>
      </c>
      <c r="AK1194" s="20">
        <f t="shared" si="353"/>
        <v>0.11914062257814291</v>
      </c>
      <c r="AL1194" s="17"/>
      <c r="AM1194" s="17"/>
      <c r="AN1194" s="17"/>
      <c r="AO1194" s="17"/>
      <c r="AP1194" s="28" t="str">
        <f t="shared" si="354"/>
        <v>CancelCancel</v>
      </c>
      <c r="AQ1194" s="28" t="str">
        <f t="shared" si="355"/>
        <v>CancelCancelJPY</v>
      </c>
      <c r="AR1194" s="206" t="str">
        <f t="shared" si="356"/>
        <v>YAMAHA_Mounter</v>
      </c>
      <c r="AS1194" s="22" t="str">
        <f t="shared" si="357"/>
        <v/>
      </c>
      <c r="AT1194" s="24" t="str">
        <f t="shared" si="358"/>
        <v/>
      </c>
      <c r="AU1194" s="22" t="s">
        <v>3744</v>
      </c>
    </row>
    <row r="1195" spans="1:47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49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50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62"/>
        <v>1</v>
      </c>
      <c r="Z1195" s="18">
        <f t="shared" si="342"/>
        <v>8150000</v>
      </c>
      <c r="AA1195" s="13">
        <v>7.2400000000000006E-2</v>
      </c>
      <c r="AB1195" s="21">
        <f t="shared" si="360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45"/>
        <v>499582152.5142017</v>
      </c>
      <c r="AJ1195" s="19">
        <f t="shared" si="346"/>
        <v>59520528.679470733</v>
      </c>
      <c r="AK1195" s="20">
        <f t="shared" si="353"/>
        <v>0.11914062257814291</v>
      </c>
      <c r="AL1195" s="17"/>
      <c r="AM1195" s="17"/>
      <c r="AN1195" s="17"/>
      <c r="AO1195" s="17"/>
      <c r="AP1195" s="28" t="str">
        <f t="shared" si="354"/>
        <v>CancelCancel</v>
      </c>
      <c r="AQ1195" s="28" t="str">
        <f t="shared" si="355"/>
        <v>CancelCancelJPY</v>
      </c>
      <c r="AR1195" s="206" t="str">
        <f t="shared" si="356"/>
        <v>YAMAHA_Mounter</v>
      </c>
      <c r="AS1195" s="22" t="str">
        <f t="shared" si="357"/>
        <v/>
      </c>
      <c r="AT1195" s="24" t="str">
        <f t="shared" si="358"/>
        <v/>
      </c>
      <c r="AU1195" s="22" t="s">
        <v>3744</v>
      </c>
    </row>
    <row r="1196" spans="1:47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49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50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62"/>
        <v>1</v>
      </c>
      <c r="Z1196" s="18">
        <f t="shared" si="342"/>
        <v>8150000</v>
      </c>
      <c r="AA1196" s="13">
        <v>7.2400000000000006E-2</v>
      </c>
      <c r="AB1196" s="21">
        <f t="shared" si="360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45"/>
        <v>499582152.5142017</v>
      </c>
      <c r="AJ1196" s="19">
        <f t="shared" si="346"/>
        <v>59520528.679470733</v>
      </c>
      <c r="AK1196" s="20">
        <f t="shared" si="353"/>
        <v>0.11914062257814291</v>
      </c>
      <c r="AL1196" s="17"/>
      <c r="AM1196" s="17"/>
      <c r="AN1196" s="17"/>
      <c r="AO1196" s="17"/>
      <c r="AP1196" s="28" t="str">
        <f t="shared" si="354"/>
        <v>CancelCancel</v>
      </c>
      <c r="AQ1196" s="28" t="str">
        <f t="shared" si="355"/>
        <v>CancelCancelJPY</v>
      </c>
      <c r="AR1196" s="206" t="str">
        <f t="shared" si="356"/>
        <v>YAMAHA_Mounter</v>
      </c>
      <c r="AS1196" s="22" t="str">
        <f t="shared" si="357"/>
        <v/>
      </c>
      <c r="AT1196" s="24" t="str">
        <f t="shared" si="358"/>
        <v/>
      </c>
      <c r="AU1196" s="22" t="s">
        <v>3744</v>
      </c>
    </row>
    <row r="1197" spans="1:47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49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50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62"/>
        <v>1</v>
      </c>
      <c r="Z1197" s="18">
        <f t="shared" si="342"/>
        <v>8150000</v>
      </c>
      <c r="AA1197" s="13">
        <v>7.2400000000000006E-2</v>
      </c>
      <c r="AB1197" s="21">
        <f t="shared" si="360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45"/>
        <v>499582152.5142017</v>
      </c>
      <c r="AJ1197" s="19">
        <f t="shared" si="346"/>
        <v>59520528.679470733</v>
      </c>
      <c r="AK1197" s="20">
        <f t="shared" si="353"/>
        <v>0.11914062257814291</v>
      </c>
      <c r="AL1197" s="17"/>
      <c r="AM1197" s="17"/>
      <c r="AN1197" s="17"/>
      <c r="AO1197" s="17"/>
      <c r="AP1197" s="28" t="str">
        <f t="shared" si="354"/>
        <v>CancelCancel</v>
      </c>
      <c r="AQ1197" s="28" t="str">
        <f t="shared" si="355"/>
        <v>CancelCancelJPY</v>
      </c>
      <c r="AR1197" s="206" t="str">
        <f t="shared" si="356"/>
        <v>YAMAHA_Mounter</v>
      </c>
      <c r="AS1197" s="22" t="str">
        <f t="shared" si="357"/>
        <v/>
      </c>
      <c r="AT1197" s="24" t="str">
        <f t="shared" si="358"/>
        <v/>
      </c>
      <c r="AU1197" s="22" t="s">
        <v>3744</v>
      </c>
    </row>
    <row r="1198" spans="1:47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50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62"/>
        <v>1</v>
      </c>
      <c r="Z1198" s="18">
        <f t="shared" ref="Z1198:Z1261" si="363">IF(X1198="","",X1198*MAX(O1198,N1198))</f>
        <v>9600000</v>
      </c>
      <c r="AA1198" s="13">
        <v>7.2800000000000004E-2</v>
      </c>
      <c r="AB1198" s="21">
        <f t="shared" si="360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45"/>
        <v>63006605.696460173</v>
      </c>
      <c r="AJ1198" s="19">
        <f t="shared" si="346"/>
        <v>8897485.660753984</v>
      </c>
      <c r="AK1198" s="20">
        <f t="shared" si="353"/>
        <v>0.141215124388995</v>
      </c>
      <c r="AL1198" s="17"/>
      <c r="AM1198" s="17"/>
      <c r="AN1198" s="17"/>
      <c r="AO1198" s="17"/>
      <c r="AP1198" s="28" t="str">
        <f t="shared" si="354"/>
        <v>20215</v>
      </c>
      <c r="AQ1198" s="28" t="str">
        <f t="shared" si="355"/>
        <v>20215JPY</v>
      </c>
      <c r="AR1198" s="206" t="str">
        <f t="shared" si="356"/>
        <v>YAMAHA_Mounter</v>
      </c>
      <c r="AS1198" s="22">
        <f t="shared" si="357"/>
        <v>2</v>
      </c>
      <c r="AT1198" s="24" t="str">
        <f t="shared" si="358"/>
        <v>0-3 months</v>
      </c>
      <c r="AU1198" s="22" t="s">
        <v>3744</v>
      </c>
    </row>
    <row r="1199" spans="1:47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50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62"/>
        <v>1</v>
      </c>
      <c r="Z1199" s="18">
        <f t="shared" si="363"/>
        <v>9000000</v>
      </c>
      <c r="AA1199" s="13">
        <v>6.2799999999999995E-2</v>
      </c>
      <c r="AB1199" s="21">
        <f t="shared" si="360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45"/>
        <v>44014086.982070789</v>
      </c>
      <c r="AJ1199" s="19">
        <f t="shared" si="346"/>
        <v>6419974.0221889298</v>
      </c>
      <c r="AK1199" s="20">
        <f t="shared" si="353"/>
        <v>0.14586180158193709</v>
      </c>
      <c r="AL1199" s="17"/>
      <c r="AM1199" s="17"/>
      <c r="AN1199" s="17"/>
      <c r="AO1199" s="17"/>
      <c r="AP1199" s="28" t="str">
        <f t="shared" si="354"/>
        <v>20225</v>
      </c>
      <c r="AQ1199" s="28" t="str">
        <f t="shared" si="355"/>
        <v>20225JPY</v>
      </c>
      <c r="AR1199" s="206" t="str">
        <f t="shared" si="356"/>
        <v>YAMAHA_Mounter</v>
      </c>
      <c r="AS1199" s="22">
        <f t="shared" si="357"/>
        <v>3</v>
      </c>
      <c r="AT1199" s="24" t="str">
        <f t="shared" si="358"/>
        <v>0-3 months</v>
      </c>
      <c r="AU1199" s="22" t="s">
        <v>3744</v>
      </c>
    </row>
    <row r="1200" spans="1:47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50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62"/>
        <v>1</v>
      </c>
      <c r="Z1200" s="18">
        <f t="shared" si="363"/>
        <v>9000000</v>
      </c>
      <c r="AA1200" s="13">
        <v>6.2799999999999995E-2</v>
      </c>
      <c r="AB1200" s="21">
        <f t="shared" si="360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45"/>
        <v>44014086.982070789</v>
      </c>
      <c r="AJ1200" s="19">
        <f t="shared" si="346"/>
        <v>6419974.0221889298</v>
      </c>
      <c r="AK1200" s="20">
        <f t="shared" si="353"/>
        <v>0.14586180158193709</v>
      </c>
      <c r="AL1200" s="17"/>
      <c r="AM1200" s="17"/>
      <c r="AN1200" s="17"/>
      <c r="AO1200" s="17"/>
      <c r="AP1200" s="28" t="str">
        <f t="shared" si="354"/>
        <v>20225</v>
      </c>
      <c r="AQ1200" s="28" t="str">
        <f t="shared" si="355"/>
        <v>20225JPY</v>
      </c>
      <c r="AR1200" s="206" t="str">
        <f t="shared" si="356"/>
        <v>YAMAHA_Mounter</v>
      </c>
      <c r="AS1200" s="22">
        <f t="shared" si="357"/>
        <v>3</v>
      </c>
      <c r="AT1200" s="24" t="str">
        <f t="shared" si="358"/>
        <v>0-3 months</v>
      </c>
      <c r="AU1200" s="22" t="s">
        <v>3744</v>
      </c>
    </row>
    <row r="1201" spans="1:47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50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62"/>
        <v>1.13</v>
      </c>
      <c r="Z1201" s="18">
        <f t="shared" si="363"/>
        <v>900000</v>
      </c>
      <c r="AA1201" s="13">
        <v>1.155</v>
      </c>
      <c r="AB1201" s="21">
        <f t="shared" si="360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45"/>
        <v>44078731.611185849</v>
      </c>
      <c r="AJ1201" s="19">
        <f t="shared" si="346"/>
        <v>5508173.2163771465</v>
      </c>
      <c r="AK1201" s="20">
        <f t="shared" si="353"/>
        <v>0.12496215328889679</v>
      </c>
      <c r="AL1201" s="17"/>
      <c r="AM1201" s="17"/>
      <c r="AN1201" s="17"/>
      <c r="AO1201" s="17"/>
      <c r="AP1201" s="28" t="str">
        <f t="shared" si="354"/>
        <v>202011</v>
      </c>
      <c r="AQ1201" s="28" t="str">
        <f t="shared" si="355"/>
        <v>202011RMB</v>
      </c>
      <c r="AR1201" s="206" t="str">
        <f t="shared" si="356"/>
        <v>YAMAHA_Mounter</v>
      </c>
      <c r="AS1201" s="22">
        <f t="shared" si="357"/>
        <v>2</v>
      </c>
      <c r="AT1201" s="24" t="str">
        <f t="shared" si="358"/>
        <v>0-3 months</v>
      </c>
      <c r="AU1201" s="22" t="s">
        <v>3743</v>
      </c>
    </row>
    <row r="1202" spans="1:47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50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62"/>
        <v>1.13</v>
      </c>
      <c r="Z1202" s="18">
        <f t="shared" si="363"/>
        <v>900000</v>
      </c>
      <c r="AA1202" s="13">
        <v>1.155</v>
      </c>
      <c r="AB1202" s="21">
        <f t="shared" si="360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45"/>
        <v>44078731.611185849</v>
      </c>
      <c r="AJ1202" s="19">
        <f t="shared" si="346"/>
        <v>5508173.2163771465</v>
      </c>
      <c r="AK1202" s="20">
        <f t="shared" si="353"/>
        <v>0.12496215328889679</v>
      </c>
      <c r="AL1202" s="17"/>
      <c r="AM1202" s="17"/>
      <c r="AN1202" s="17"/>
      <c r="AO1202" s="17"/>
      <c r="AP1202" s="28" t="str">
        <f t="shared" si="354"/>
        <v>202011</v>
      </c>
      <c r="AQ1202" s="28" t="str">
        <f t="shared" si="355"/>
        <v>202011RMB</v>
      </c>
      <c r="AR1202" s="206" t="str">
        <f t="shared" si="356"/>
        <v>YAMAHA_Mounter</v>
      </c>
      <c r="AS1202" s="22">
        <f t="shared" si="357"/>
        <v>2</v>
      </c>
      <c r="AT1202" s="24" t="str">
        <f t="shared" si="358"/>
        <v>0-3 months</v>
      </c>
      <c r="AU1202" s="22" t="s">
        <v>3743</v>
      </c>
    </row>
    <row r="1203" spans="1:47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50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62"/>
        <v>1.13</v>
      </c>
      <c r="Z1203" s="18">
        <f t="shared" si="363"/>
        <v>875000</v>
      </c>
      <c r="AA1203" s="13">
        <v>1.155</v>
      </c>
      <c r="AB1203" s="21">
        <f t="shared" si="360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45"/>
        <v>44078731.611185849</v>
      </c>
      <c r="AJ1203" s="19">
        <f t="shared" si="346"/>
        <v>5508173.2163771465</v>
      </c>
      <c r="AK1203" s="20">
        <f t="shared" si="353"/>
        <v>0.12496215328889679</v>
      </c>
      <c r="AL1203" s="17"/>
      <c r="AM1203" s="17"/>
      <c r="AN1203" s="17"/>
      <c r="AO1203" s="17"/>
      <c r="AP1203" s="28" t="str">
        <f t="shared" si="354"/>
        <v>202011</v>
      </c>
      <c r="AQ1203" s="28" t="str">
        <f t="shared" si="355"/>
        <v>202011RMB</v>
      </c>
      <c r="AR1203" s="206" t="str">
        <f t="shared" si="356"/>
        <v>YAMAHA_Mounter</v>
      </c>
      <c r="AS1203" s="22">
        <f t="shared" si="357"/>
        <v>2</v>
      </c>
      <c r="AT1203" s="24" t="str">
        <f t="shared" si="358"/>
        <v>0-3 months</v>
      </c>
      <c r="AU1203" s="22" t="s">
        <v>3743</v>
      </c>
    </row>
    <row r="1204" spans="1:47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50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62"/>
        <v>1.13</v>
      </c>
      <c r="Z1204" s="18">
        <f t="shared" si="363"/>
        <v>875000</v>
      </c>
      <c r="AA1204" s="13">
        <v>1.155</v>
      </c>
      <c r="AB1204" s="21">
        <f t="shared" si="360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45"/>
        <v>44078731.611185849</v>
      </c>
      <c r="AJ1204" s="19">
        <f t="shared" si="346"/>
        <v>5508173.2163771465</v>
      </c>
      <c r="AK1204" s="20">
        <f t="shared" si="353"/>
        <v>0.12496215328889679</v>
      </c>
      <c r="AL1204" s="17"/>
      <c r="AM1204" s="17"/>
      <c r="AN1204" s="17"/>
      <c r="AO1204" s="17"/>
      <c r="AP1204" s="28" t="str">
        <f t="shared" si="354"/>
        <v>202011</v>
      </c>
      <c r="AQ1204" s="28" t="str">
        <f t="shared" si="355"/>
        <v>202011RMB</v>
      </c>
      <c r="AR1204" s="206" t="str">
        <f t="shared" si="356"/>
        <v>YAMAHA_Mounter</v>
      </c>
      <c r="AS1204" s="22">
        <f t="shared" si="357"/>
        <v>2</v>
      </c>
      <c r="AT1204" s="24" t="str">
        <f t="shared" si="358"/>
        <v>0-3 months</v>
      </c>
      <c r="AU1204" s="22" t="s">
        <v>3743</v>
      </c>
    </row>
    <row r="1205" spans="1:47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50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62"/>
        <v>1.13</v>
      </c>
      <c r="Z1205" s="18">
        <f t="shared" si="363"/>
        <v>490000</v>
      </c>
      <c r="AA1205" s="13">
        <v>1.175</v>
      </c>
      <c r="AB1205" s="21">
        <f t="shared" si="360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45"/>
        <v>35682787.057522126</v>
      </c>
      <c r="AJ1205" s="19">
        <f t="shared" si="346"/>
        <v>5833368.3789623892</v>
      </c>
      <c r="AK1205" s="20">
        <f t="shared" si="353"/>
        <v>0.16347849649632912</v>
      </c>
      <c r="AL1205" s="17"/>
      <c r="AM1205" s="17"/>
      <c r="AN1205" s="17"/>
      <c r="AO1205" s="17"/>
      <c r="AP1205" s="28" t="str">
        <f t="shared" si="354"/>
        <v>20226</v>
      </c>
      <c r="AQ1205" s="28" t="str">
        <f t="shared" si="355"/>
        <v>20226RMB</v>
      </c>
      <c r="AR1205" s="206" t="str">
        <f t="shared" si="356"/>
        <v>YAMAHA_Mounter</v>
      </c>
      <c r="AS1205" s="22">
        <f t="shared" si="357"/>
        <v>2</v>
      </c>
      <c r="AT1205" s="24" t="str">
        <f t="shared" si="358"/>
        <v>0-3 months</v>
      </c>
      <c r="AU1205" s="22" t="s">
        <v>3750</v>
      </c>
    </row>
    <row r="1206" spans="1:47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50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63"/>
        <v>11000000</v>
      </c>
      <c r="AA1206" s="13">
        <v>7.2999999999999995E-2</v>
      </c>
      <c r="AB1206" s="21">
        <f t="shared" si="360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45"/>
        <v>11620538.477876106</v>
      </c>
      <c r="AJ1206" s="19">
        <f t="shared" si="346"/>
        <v>1598596.3145221241</v>
      </c>
      <c r="AK1206" s="20">
        <f t="shared" si="353"/>
        <v>0.13756645766163331</v>
      </c>
      <c r="AL1206" s="17"/>
      <c r="AM1206" s="17"/>
      <c r="AN1206" s="17"/>
      <c r="AO1206" s="17"/>
      <c r="AP1206" s="28" t="str">
        <f t="shared" si="354"/>
        <v>20201</v>
      </c>
      <c r="AQ1206" s="28" t="str">
        <f t="shared" si="355"/>
        <v>20201JPY</v>
      </c>
      <c r="AR1206" s="206" t="str">
        <f t="shared" si="356"/>
        <v>YAMAHA_Mounter</v>
      </c>
      <c r="AS1206" s="22">
        <f t="shared" si="357"/>
        <v>1</v>
      </c>
      <c r="AT1206" s="24" t="str">
        <f t="shared" si="358"/>
        <v>0-3 months</v>
      </c>
      <c r="AU1206" s="22" t="s">
        <v>3745</v>
      </c>
    </row>
    <row r="1207" spans="1:47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50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63"/>
        <v>11000000</v>
      </c>
      <c r="AA1207" s="13">
        <v>7.2999999999999995E-2</v>
      </c>
      <c r="AB1207" s="21">
        <f t="shared" si="360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45"/>
        <v>11620538.477876106</v>
      </c>
      <c r="AJ1207" s="19">
        <f t="shared" si="346"/>
        <v>1598596.3145221241</v>
      </c>
      <c r="AK1207" s="20">
        <f t="shared" si="353"/>
        <v>0.13756645766163331</v>
      </c>
      <c r="AL1207" s="17"/>
      <c r="AM1207" s="17"/>
      <c r="AN1207" s="17"/>
      <c r="AO1207" s="17"/>
      <c r="AP1207" s="28" t="str">
        <f t="shared" si="354"/>
        <v>20201</v>
      </c>
      <c r="AQ1207" s="28" t="str">
        <f t="shared" si="355"/>
        <v>20201JPY</v>
      </c>
      <c r="AR1207" s="206" t="str">
        <f t="shared" si="356"/>
        <v>YAMAHA_Mounter</v>
      </c>
      <c r="AS1207" s="22">
        <f t="shared" si="357"/>
        <v>1</v>
      </c>
      <c r="AT1207" s="24" t="str">
        <f t="shared" si="358"/>
        <v>0-3 months</v>
      </c>
      <c r="AU1207" s="22" t="s">
        <v>3745</v>
      </c>
    </row>
    <row r="1208" spans="1:47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50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63"/>
        <v>11000000</v>
      </c>
      <c r="AA1208" s="13">
        <v>7.2999999999999995E-2</v>
      </c>
      <c r="AB1208" s="21">
        <f t="shared" si="360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45"/>
        <v>11620538.477876106</v>
      </c>
      <c r="AJ1208" s="19">
        <f t="shared" si="346"/>
        <v>1598596.3145221241</v>
      </c>
      <c r="AK1208" s="20">
        <f t="shared" si="353"/>
        <v>0.13756645766163331</v>
      </c>
      <c r="AL1208" s="17"/>
      <c r="AM1208" s="17"/>
      <c r="AN1208" s="17"/>
      <c r="AO1208" s="17"/>
      <c r="AP1208" s="28" t="str">
        <f t="shared" si="354"/>
        <v>20201</v>
      </c>
      <c r="AQ1208" s="28" t="str">
        <f t="shared" si="355"/>
        <v>20201JPY</v>
      </c>
      <c r="AR1208" s="206" t="str">
        <f t="shared" si="356"/>
        <v>YAMAHA_Mounter</v>
      </c>
      <c r="AS1208" s="22">
        <f t="shared" si="357"/>
        <v>1</v>
      </c>
      <c r="AT1208" s="24" t="str">
        <f t="shared" si="358"/>
        <v>0-3 months</v>
      </c>
      <c r="AU1208" s="22" t="s">
        <v>3745</v>
      </c>
    </row>
    <row r="1209" spans="1:47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50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63"/>
        <v>10510000</v>
      </c>
      <c r="AA1209" s="13">
        <v>7.2999999999999995E-2</v>
      </c>
      <c r="AB1209" s="21">
        <f t="shared" si="360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45"/>
        <v>11620538.477876106</v>
      </c>
      <c r="AJ1209" s="19">
        <f t="shared" si="346"/>
        <v>1598596.3145221241</v>
      </c>
      <c r="AK1209" s="20">
        <f t="shared" si="353"/>
        <v>0.13756645766163331</v>
      </c>
      <c r="AL1209" s="17"/>
      <c r="AM1209" s="17"/>
      <c r="AN1209" s="17"/>
      <c r="AO1209" s="17"/>
      <c r="AP1209" s="28" t="str">
        <f t="shared" si="354"/>
        <v>20201</v>
      </c>
      <c r="AQ1209" s="28" t="str">
        <f t="shared" si="355"/>
        <v>20201JPY</v>
      </c>
      <c r="AR1209" s="206" t="str">
        <f t="shared" si="356"/>
        <v>YAMAHA_Mounter</v>
      </c>
      <c r="AS1209" s="22">
        <f t="shared" si="357"/>
        <v>1</v>
      </c>
      <c r="AT1209" s="24" t="str">
        <f t="shared" si="358"/>
        <v>0-3 months</v>
      </c>
      <c r="AU1209" s="22" t="s">
        <v>3745</v>
      </c>
    </row>
    <row r="1210" spans="1:47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50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64">IF(W1210="RMB","1.13", "1")</f>
        <v>1</v>
      </c>
      <c r="Z1210" s="18">
        <f t="shared" si="363"/>
        <v>11300000</v>
      </c>
      <c r="AA1210" s="13">
        <v>6.25E-2</v>
      </c>
      <c r="AB1210" s="21">
        <f t="shared" si="360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45"/>
        <v>35682787.057522126</v>
      </c>
      <c r="AJ1210" s="19">
        <f t="shared" si="346"/>
        <v>5833368.3789623892</v>
      </c>
      <c r="AK1210" s="20">
        <f t="shared" si="353"/>
        <v>0.16347849649632912</v>
      </c>
      <c r="AL1210" s="17"/>
      <c r="AM1210" s="17"/>
      <c r="AN1210" s="17"/>
      <c r="AO1210" s="17"/>
      <c r="AP1210" s="28" t="str">
        <f t="shared" si="354"/>
        <v>20226</v>
      </c>
      <c r="AQ1210" s="28" t="str">
        <f t="shared" si="355"/>
        <v>20226JPY</v>
      </c>
      <c r="AR1210" s="206" t="str">
        <f t="shared" si="356"/>
        <v>YAMAHA_Mounter</v>
      </c>
      <c r="AS1210" s="22">
        <f t="shared" si="357"/>
        <v>2</v>
      </c>
      <c r="AT1210" s="24" t="str">
        <f t="shared" si="358"/>
        <v>0-3 months</v>
      </c>
      <c r="AU1210" s="22" t="s">
        <v>3744</v>
      </c>
    </row>
    <row r="1211" spans="1:47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50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64"/>
        <v>1</v>
      </c>
      <c r="Z1211" s="18">
        <f t="shared" si="363"/>
        <v>7000000</v>
      </c>
      <c r="AA1211" s="13">
        <v>6.25E-2</v>
      </c>
      <c r="AB1211" s="21">
        <f t="shared" si="360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45"/>
        <v>35682787.057522126</v>
      </c>
      <c r="AJ1211" s="19">
        <f t="shared" si="346"/>
        <v>5833368.3789623892</v>
      </c>
      <c r="AK1211" s="20">
        <f t="shared" si="353"/>
        <v>0.16347849649632912</v>
      </c>
      <c r="AL1211" s="17"/>
      <c r="AM1211" s="17"/>
      <c r="AN1211" s="17"/>
      <c r="AO1211" s="17"/>
      <c r="AP1211" s="28" t="str">
        <f t="shared" si="354"/>
        <v>20226</v>
      </c>
      <c r="AQ1211" s="28" t="str">
        <f t="shared" si="355"/>
        <v>20226JPY</v>
      </c>
      <c r="AR1211" s="206" t="str">
        <f t="shared" si="356"/>
        <v>YAMAHA_Mounter</v>
      </c>
      <c r="AS1211" s="22">
        <f t="shared" si="357"/>
        <v>2</v>
      </c>
      <c r="AT1211" s="24" t="str">
        <f t="shared" si="358"/>
        <v>0-3 months</v>
      </c>
      <c r="AU1211" s="22" t="s">
        <v>3744</v>
      </c>
    </row>
    <row r="1212" spans="1:47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50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64"/>
        <v>1</v>
      </c>
      <c r="Z1212" s="18">
        <f t="shared" si="363"/>
        <v>11300000</v>
      </c>
      <c r="AA1212" s="13">
        <v>5.96E-2</v>
      </c>
      <c r="AB1212" s="21">
        <f t="shared" si="360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45"/>
        <v>35073581.838938057</v>
      </c>
      <c r="AJ1212" s="19">
        <f t="shared" si="346"/>
        <v>5034113.9728989396</v>
      </c>
      <c r="AK1212" s="20">
        <f t="shared" si="353"/>
        <v>0.14353007902118958</v>
      </c>
      <c r="AL1212" s="17"/>
      <c r="AM1212" s="17"/>
      <c r="AN1212" s="17"/>
      <c r="AO1212" s="17"/>
      <c r="AP1212" s="28" t="str">
        <f t="shared" si="354"/>
        <v>20228</v>
      </c>
      <c r="AQ1212" s="28" t="str">
        <f t="shared" si="355"/>
        <v>20228JPY</v>
      </c>
      <c r="AR1212" s="206" t="str">
        <f t="shared" si="356"/>
        <v>YAMAHA_Mounter</v>
      </c>
      <c r="AS1212" s="22">
        <f t="shared" si="357"/>
        <v>4</v>
      </c>
      <c r="AT1212" s="24" t="str">
        <f t="shared" si="358"/>
        <v>4-6 months</v>
      </c>
      <c r="AU1212" s="22" t="s">
        <v>3744</v>
      </c>
    </row>
    <row r="1213" spans="1:47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50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64"/>
        <v>1</v>
      </c>
      <c r="Z1213" s="18">
        <f t="shared" si="363"/>
        <v>7000000</v>
      </c>
      <c r="AA1213" s="13">
        <v>5.96E-2</v>
      </c>
      <c r="AB1213" s="21">
        <f t="shared" si="360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45"/>
        <v>35073581.838938057</v>
      </c>
      <c r="AJ1213" s="19">
        <f t="shared" si="346"/>
        <v>5034113.9728989396</v>
      </c>
      <c r="AK1213" s="20">
        <f t="shared" si="353"/>
        <v>0.14353007902118958</v>
      </c>
      <c r="AL1213" s="17"/>
      <c r="AM1213" s="17"/>
      <c r="AN1213" s="17"/>
      <c r="AO1213" s="17"/>
      <c r="AP1213" s="28" t="str">
        <f t="shared" si="354"/>
        <v>20228</v>
      </c>
      <c r="AQ1213" s="28" t="str">
        <f t="shared" si="355"/>
        <v>20228JPY</v>
      </c>
      <c r="AR1213" s="206" t="str">
        <f t="shared" si="356"/>
        <v>YAMAHA_Mounter</v>
      </c>
      <c r="AS1213" s="22">
        <f t="shared" si="357"/>
        <v>4</v>
      </c>
      <c r="AT1213" s="24" t="str">
        <f t="shared" si="358"/>
        <v>4-6 months</v>
      </c>
      <c r="AU1213" s="22" t="s">
        <v>3744</v>
      </c>
    </row>
    <row r="1214" spans="1:47" s="12" customFormat="1">
      <c r="A1214" s="33" t="str">
        <f t="shared" si="347"/>
        <v>cancel</v>
      </c>
      <c r="B1214" s="152"/>
      <c r="C1214" s="152" t="s">
        <v>185</v>
      </c>
      <c r="D1214" s="33" t="str">
        <f t="shared" si="348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49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50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64"/>
        <v>1</v>
      </c>
      <c r="Z1214" s="18">
        <f t="shared" si="363"/>
        <v>13000000</v>
      </c>
      <c r="AA1214" s="13">
        <v>5.8799999999999998E-2</v>
      </c>
      <c r="AB1214" s="21">
        <f t="shared" si="360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45"/>
        <v>499582152.5142017</v>
      </c>
      <c r="AJ1214" s="19">
        <f t="shared" si="346"/>
        <v>59520528.679470733</v>
      </c>
      <c r="AK1214" s="20">
        <f t="shared" si="353"/>
        <v>0.11914062257814291</v>
      </c>
      <c r="AL1214" s="17"/>
      <c r="AM1214" s="17"/>
      <c r="AN1214" s="17"/>
      <c r="AO1214" s="17"/>
      <c r="AP1214" s="28" t="str">
        <f t="shared" si="354"/>
        <v>CancelCancel</v>
      </c>
      <c r="AQ1214" s="28" t="str">
        <f t="shared" si="355"/>
        <v>CancelCancelJPY</v>
      </c>
      <c r="AR1214" s="206" t="str">
        <f t="shared" si="356"/>
        <v>YAMAHA_Mounter</v>
      </c>
      <c r="AS1214" s="22" t="str">
        <f t="shared" si="357"/>
        <v/>
      </c>
      <c r="AT1214" s="24" t="str">
        <f t="shared" si="358"/>
        <v/>
      </c>
      <c r="AU1214" s="22" t="s">
        <v>3744</v>
      </c>
    </row>
    <row r="1215" spans="1:47" s="12" customFormat="1">
      <c r="A1215" s="33" t="str">
        <f t="shared" si="347"/>
        <v>cancel</v>
      </c>
      <c r="B1215" s="152"/>
      <c r="C1215" s="152" t="s">
        <v>185</v>
      </c>
      <c r="D1215" s="33" t="str">
        <f t="shared" si="348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49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50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64"/>
        <v>1</v>
      </c>
      <c r="Z1215" s="18">
        <f t="shared" si="363"/>
        <v>13000000</v>
      </c>
      <c r="AA1215" s="13">
        <v>5.8799999999999998E-2</v>
      </c>
      <c r="AB1215" s="21">
        <f t="shared" si="360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45"/>
        <v>499582152.5142017</v>
      </c>
      <c r="AJ1215" s="19">
        <f t="shared" si="346"/>
        <v>59520528.679470733</v>
      </c>
      <c r="AK1215" s="20">
        <f t="shared" si="353"/>
        <v>0.11914062257814291</v>
      </c>
      <c r="AL1215" s="17"/>
      <c r="AM1215" s="17"/>
      <c r="AN1215" s="17"/>
      <c r="AO1215" s="17"/>
      <c r="AP1215" s="28" t="str">
        <f t="shared" si="354"/>
        <v>CancelCancel</v>
      </c>
      <c r="AQ1215" s="28" t="str">
        <f t="shared" si="355"/>
        <v>CancelCancelJPY</v>
      </c>
      <c r="AR1215" s="206" t="str">
        <f t="shared" si="356"/>
        <v>YAMAHA_Mounter</v>
      </c>
      <c r="AS1215" s="22" t="str">
        <f t="shared" si="357"/>
        <v/>
      </c>
      <c r="AT1215" s="24" t="str">
        <f t="shared" si="358"/>
        <v/>
      </c>
      <c r="AU1215" s="22" t="s">
        <v>3744</v>
      </c>
    </row>
    <row r="1216" spans="1:47" s="12" customFormat="1">
      <c r="A1216" s="33" t="str">
        <f t="shared" si="347"/>
        <v>cancel</v>
      </c>
      <c r="B1216" s="152"/>
      <c r="C1216" s="152" t="s">
        <v>185</v>
      </c>
      <c r="D1216" s="33" t="str">
        <f t="shared" si="348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49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50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64"/>
        <v>1</v>
      </c>
      <c r="Z1216" s="18">
        <f t="shared" si="363"/>
        <v>8300000</v>
      </c>
      <c r="AA1216" s="13">
        <v>5.8799999999999998E-2</v>
      </c>
      <c r="AB1216" s="21">
        <f t="shared" si="360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45"/>
        <v>499582152.5142017</v>
      </c>
      <c r="AJ1216" s="19">
        <f t="shared" si="346"/>
        <v>59520528.679470733</v>
      </c>
      <c r="AK1216" s="20">
        <f t="shared" si="353"/>
        <v>0.11914062257814291</v>
      </c>
      <c r="AL1216" s="17"/>
      <c r="AM1216" s="17"/>
      <c r="AN1216" s="17"/>
      <c r="AO1216" s="17"/>
      <c r="AP1216" s="28" t="str">
        <f t="shared" si="354"/>
        <v>CancelCancel</v>
      </c>
      <c r="AQ1216" s="28" t="str">
        <f t="shared" si="355"/>
        <v>CancelCancelJPY</v>
      </c>
      <c r="AR1216" s="206" t="str">
        <f t="shared" si="356"/>
        <v>YAMAHA_Mounter</v>
      </c>
      <c r="AS1216" s="22" t="str">
        <f t="shared" si="357"/>
        <v/>
      </c>
      <c r="AT1216" s="24" t="str">
        <f t="shared" si="358"/>
        <v/>
      </c>
      <c r="AU1216" s="22" t="s">
        <v>3744</v>
      </c>
    </row>
    <row r="1217" spans="1:47" s="12" customFormat="1">
      <c r="A1217" s="33" t="str">
        <f t="shared" si="347"/>
        <v>cancel</v>
      </c>
      <c r="B1217" s="152"/>
      <c r="C1217" s="152" t="s">
        <v>185</v>
      </c>
      <c r="D1217" s="33" t="str">
        <f t="shared" si="348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49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50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64"/>
        <v>1</v>
      </c>
      <c r="Z1217" s="18">
        <f t="shared" si="363"/>
        <v>8300000</v>
      </c>
      <c r="AA1217" s="13">
        <v>5.8799999999999998E-2</v>
      </c>
      <c r="AB1217" s="21">
        <f t="shared" si="360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45"/>
        <v>499582152.5142017</v>
      </c>
      <c r="AJ1217" s="19">
        <f t="shared" si="346"/>
        <v>59520528.679470733</v>
      </c>
      <c r="AK1217" s="20">
        <f t="shared" si="353"/>
        <v>0.11914062257814291</v>
      </c>
      <c r="AL1217" s="17"/>
      <c r="AM1217" s="17"/>
      <c r="AN1217" s="17"/>
      <c r="AO1217" s="17"/>
      <c r="AP1217" s="28" t="str">
        <f t="shared" si="354"/>
        <v>CancelCancel</v>
      </c>
      <c r="AQ1217" s="28" t="str">
        <f t="shared" si="355"/>
        <v>CancelCancelJPY</v>
      </c>
      <c r="AR1217" s="206" t="str">
        <f t="shared" si="356"/>
        <v>YAMAHA_Mounter</v>
      </c>
      <c r="AS1217" s="22" t="str">
        <f t="shared" si="357"/>
        <v/>
      </c>
      <c r="AT1217" s="24" t="str">
        <f t="shared" si="358"/>
        <v/>
      </c>
      <c r="AU1217" s="22" t="s">
        <v>3744</v>
      </c>
    </row>
    <row r="1218" spans="1:47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50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64"/>
        <v>1.13</v>
      </c>
      <c r="Z1218" s="18">
        <f t="shared" si="363"/>
        <v>640000</v>
      </c>
      <c r="AA1218" s="13">
        <v>1.17</v>
      </c>
      <c r="AB1218" s="21">
        <f t="shared" si="360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ref="AI1218:AI1281" si="365">IF(P1218="C66 SERVICE","",SUMIFS(AB:AB,F:F,F1218,G:G,G1218,E:E,E1218))</f>
        <v>36480247.665929198</v>
      </c>
      <c r="AJ1218" s="19">
        <f t="shared" ref="AJ1218:AJ1281" si="366">IF(P1218="C66 SERVICE","",SUMIFS(AC:AC,F:F,F1218,G:G,G1218,E:E,E1218))</f>
        <v>5330996.6372757526</v>
      </c>
      <c r="AK1218" s="20">
        <f t="shared" si="353"/>
        <v>0.14613378412599562</v>
      </c>
      <c r="AL1218" s="17"/>
      <c r="AM1218" s="17"/>
      <c r="AN1218" s="17"/>
      <c r="AO1218" s="17"/>
      <c r="AP1218" s="28" t="str">
        <f t="shared" si="354"/>
        <v>20227</v>
      </c>
      <c r="AQ1218" s="28" t="str">
        <f t="shared" si="355"/>
        <v>20227RMB</v>
      </c>
      <c r="AR1218" s="206" t="str">
        <f t="shared" si="356"/>
        <v>YAMAHA_Mounter</v>
      </c>
      <c r="AS1218" s="22">
        <f t="shared" si="357"/>
        <v>0</v>
      </c>
      <c r="AT1218" s="24" t="str">
        <f t="shared" si="358"/>
        <v>0-3 months</v>
      </c>
      <c r="AU1218" s="22" t="s">
        <v>3240</v>
      </c>
    </row>
    <row r="1219" spans="1:47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50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64"/>
        <v>1.13</v>
      </c>
      <c r="Z1219" s="18">
        <f t="shared" si="363"/>
        <v>767000</v>
      </c>
      <c r="AA1219" s="13">
        <v>1.135</v>
      </c>
      <c r="AB1219" s="21">
        <f t="shared" si="360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65"/>
        <v>28177779.013274338</v>
      </c>
      <c r="AJ1219" s="19">
        <f t="shared" si="366"/>
        <v>4727216.6376190251</v>
      </c>
      <c r="AK1219" s="20">
        <f t="shared" si="353"/>
        <v>0.1677639900359808</v>
      </c>
      <c r="AL1219" s="17"/>
      <c r="AM1219" s="17"/>
      <c r="AN1219" s="17"/>
      <c r="AO1219" s="17"/>
      <c r="AP1219" s="28" t="str">
        <f t="shared" si="354"/>
        <v>20235</v>
      </c>
      <c r="AQ1219" s="28" t="str">
        <f t="shared" si="355"/>
        <v>20235RMB</v>
      </c>
      <c r="AR1219" s="206" t="str">
        <f t="shared" si="356"/>
        <v>YAMAHA_Mounter</v>
      </c>
      <c r="AS1219" s="22">
        <f t="shared" si="357"/>
        <v>1</v>
      </c>
      <c r="AT1219" s="24" t="str">
        <f t="shared" si="358"/>
        <v>0-3 months</v>
      </c>
      <c r="AU1219" s="22" t="s">
        <v>3240</v>
      </c>
    </row>
    <row r="1220" spans="1:47" s="12" customFormat="1">
      <c r="A1220" s="33" t="str">
        <f t="shared" si="347"/>
        <v>cancel</v>
      </c>
      <c r="B1220" s="152"/>
      <c r="C1220" s="152" t="s">
        <v>185</v>
      </c>
      <c r="D1220" s="33" t="str">
        <f t="shared" si="348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49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50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64"/>
        <v>1.13</v>
      </c>
      <c r="Z1220" s="18">
        <f t="shared" si="363"/>
        <v>652100</v>
      </c>
      <c r="AA1220" s="13">
        <v>1.1950000000000001</v>
      </c>
      <c r="AB1220" s="21">
        <f t="shared" si="360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65"/>
        <v>499582152.5142017</v>
      </c>
      <c r="AJ1220" s="19">
        <f t="shared" si="366"/>
        <v>59520528.679470733</v>
      </c>
      <c r="AK1220" s="20">
        <f t="shared" si="353"/>
        <v>0.11914062257814291</v>
      </c>
      <c r="AL1220" s="17"/>
      <c r="AM1220" s="17"/>
      <c r="AN1220" s="17"/>
      <c r="AO1220" s="17"/>
      <c r="AP1220" s="28" t="str">
        <f t="shared" si="354"/>
        <v>Cancelcancel</v>
      </c>
      <c r="AQ1220" s="28" t="str">
        <f t="shared" si="355"/>
        <v>CancelcancelRMB</v>
      </c>
      <c r="AR1220" s="206" t="str">
        <f t="shared" si="356"/>
        <v>YAMAHA_Mounter</v>
      </c>
      <c r="AS1220" s="22" t="str">
        <f t="shared" si="357"/>
        <v/>
      </c>
      <c r="AT1220" s="24" t="str">
        <f t="shared" si="358"/>
        <v/>
      </c>
      <c r="AU1220" s="22" t="s">
        <v>3240</v>
      </c>
    </row>
    <row r="1221" spans="1:47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50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64"/>
        <v>1</v>
      </c>
      <c r="Z1221" s="18">
        <f t="shared" si="363"/>
        <v>25000000</v>
      </c>
      <c r="AA1221" s="13">
        <v>7.17E-2</v>
      </c>
      <c r="AB1221" s="21">
        <f t="shared" si="360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65"/>
        <v>41443303.53761062</v>
      </c>
      <c r="AJ1221" s="19">
        <f t="shared" si="366"/>
        <v>6194988.76643031</v>
      </c>
      <c r="AK1221" s="20">
        <f t="shared" si="353"/>
        <v>0.1494810557466355</v>
      </c>
      <c r="AL1221" s="17"/>
      <c r="AM1221" s="17"/>
      <c r="AN1221" s="17"/>
      <c r="AO1221" s="17"/>
      <c r="AP1221" s="28" t="str">
        <f t="shared" si="354"/>
        <v>20217</v>
      </c>
      <c r="AQ1221" s="28" t="str">
        <f t="shared" si="355"/>
        <v>20217JPY</v>
      </c>
      <c r="AR1221" s="206" t="str">
        <f t="shared" si="356"/>
        <v>YAMAHA_Mounter</v>
      </c>
      <c r="AS1221" s="22">
        <f t="shared" si="357"/>
        <v>3</v>
      </c>
      <c r="AT1221" s="24" t="str">
        <f t="shared" si="358"/>
        <v>0-3 months</v>
      </c>
      <c r="AU1221" s="22" t="s">
        <v>3744</v>
      </c>
    </row>
    <row r="1222" spans="1:47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64"/>
        <v>1</v>
      </c>
      <c r="Z1222" s="18">
        <f t="shared" si="363"/>
        <v>15710000</v>
      </c>
      <c r="AA1222" s="13">
        <v>7.17E-2</v>
      </c>
      <c r="AB1222" s="21">
        <f t="shared" si="360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si="365"/>
        <v>41443303.53761062</v>
      </c>
      <c r="AJ1222" s="19">
        <f t="shared" si="366"/>
        <v>6194988.76643031</v>
      </c>
      <c r="AK1222" s="20">
        <f t="shared" ref="AK1222:AK1285" si="373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4">IF(F1222="","",F1222&amp;G1222)</f>
        <v>20217</v>
      </c>
      <c r="AQ1222" s="28" t="str">
        <f t="shared" ref="AQ1222:AQ1285" si="375">IF(W1222="","",F1222&amp;G1222&amp;W1222)</f>
        <v>20217JPY</v>
      </c>
      <c r="AR1222" s="206" t="str">
        <f t="shared" ref="AR1222:AR1285" si="376">IFERROR(IF(AND(M1222="YAMAHA", R1222="C28"), "YAMAHA_Non_Mounter", IF(AND(M1222="YAMAHA", R1222="C49"), "YAMAHA_Mounter", M1222)),"")</f>
        <v>YAMAHA_Mounter</v>
      </c>
      <c r="AS1222" s="22">
        <f t="shared" ref="AS1222:AS1285" si="377">IFERROR(IF(OR(G1222="TBA", G1222=""), "", DATEDIF(DATE(B1222, C1222, 1), DATE(F1222, G1222, 1), "M")),"")</f>
        <v>3</v>
      </c>
      <c r="AT1222" s="24" t="str">
        <f t="shared" ref="AT1222:AT1285" si="378">IF(ISNUMBER(AS1222), IF(AS1222&gt;=0, IF(AS1222&lt;=3, "0-3 months", IF(AS1222&lt;=6, "4-6 months", "&gt; 6 months"))), "")</f>
        <v>0-3 months</v>
      </c>
      <c r="AU1222" s="22" t="s">
        <v>3744</v>
      </c>
    </row>
    <row r="1223" spans="1:47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7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64"/>
        <v>1</v>
      </c>
      <c r="Z1223" s="18">
        <f t="shared" si="363"/>
        <v>20300000</v>
      </c>
      <c r="AA1223" s="13">
        <v>7.17E-2</v>
      </c>
      <c r="AB1223" s="21">
        <f t="shared" si="360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65"/>
        <v>41443303.53761062</v>
      </c>
      <c r="AJ1223" s="19">
        <f t="shared" si="366"/>
        <v>6194988.76643031</v>
      </c>
      <c r="AK1223" s="20">
        <f t="shared" si="373"/>
        <v>0.1494810557466355</v>
      </c>
      <c r="AL1223" s="17"/>
      <c r="AM1223" s="17"/>
      <c r="AN1223" s="17"/>
      <c r="AO1223" s="17"/>
      <c r="AP1223" s="28" t="str">
        <f t="shared" si="374"/>
        <v>20217</v>
      </c>
      <c r="AQ1223" s="28" t="str">
        <f t="shared" si="375"/>
        <v>20217JPY</v>
      </c>
      <c r="AR1223" s="206" t="str">
        <f t="shared" si="376"/>
        <v>YAMAHA_Mounter</v>
      </c>
      <c r="AS1223" s="22">
        <f t="shared" si="377"/>
        <v>3</v>
      </c>
      <c r="AT1223" s="24" t="str">
        <f t="shared" si="378"/>
        <v>0-3 months</v>
      </c>
      <c r="AU1223" s="22" t="s">
        <v>3744</v>
      </c>
    </row>
    <row r="1224" spans="1:47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7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64"/>
        <v>1</v>
      </c>
      <c r="Z1224" s="18">
        <f t="shared" si="363"/>
        <v>20300000</v>
      </c>
      <c r="AA1224" s="13">
        <v>7.17E-2</v>
      </c>
      <c r="AB1224" s="21">
        <f t="shared" si="360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65"/>
        <v>41443303.53761062</v>
      </c>
      <c r="AJ1224" s="19">
        <f t="shared" si="366"/>
        <v>6194988.76643031</v>
      </c>
      <c r="AK1224" s="20">
        <f t="shared" si="373"/>
        <v>0.1494810557466355</v>
      </c>
      <c r="AL1224" s="17"/>
      <c r="AM1224" s="17"/>
      <c r="AN1224" s="17"/>
      <c r="AO1224" s="17"/>
      <c r="AP1224" s="28" t="str">
        <f t="shared" si="374"/>
        <v>20217</v>
      </c>
      <c r="AQ1224" s="28" t="str">
        <f t="shared" si="375"/>
        <v>20217JPY</v>
      </c>
      <c r="AR1224" s="206" t="str">
        <f t="shared" si="376"/>
        <v>YAMAHA_Mounter</v>
      </c>
      <c r="AS1224" s="22">
        <f t="shared" si="377"/>
        <v>3</v>
      </c>
      <c r="AT1224" s="24" t="str">
        <f t="shared" si="378"/>
        <v>0-3 months</v>
      </c>
      <c r="AU1224" s="22" t="s">
        <v>3744</v>
      </c>
    </row>
    <row r="1225" spans="1:47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7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64"/>
        <v>1</v>
      </c>
      <c r="Z1225" s="18">
        <f t="shared" si="363"/>
        <v>20300000</v>
      </c>
      <c r="AA1225" s="13">
        <v>7.17E-2</v>
      </c>
      <c r="AB1225" s="21">
        <f t="shared" si="360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65"/>
        <v>41443303.53761062</v>
      </c>
      <c r="AJ1225" s="19">
        <f t="shared" si="366"/>
        <v>6194988.76643031</v>
      </c>
      <c r="AK1225" s="20">
        <f t="shared" si="373"/>
        <v>0.1494810557466355</v>
      </c>
      <c r="AL1225" s="17"/>
      <c r="AM1225" s="17"/>
      <c r="AN1225" s="17"/>
      <c r="AO1225" s="17"/>
      <c r="AP1225" s="28" t="str">
        <f t="shared" si="374"/>
        <v>20217</v>
      </c>
      <c r="AQ1225" s="28" t="str">
        <f t="shared" si="375"/>
        <v>20217JPY</v>
      </c>
      <c r="AR1225" s="206" t="str">
        <f t="shared" si="376"/>
        <v>YAMAHA_Mounter</v>
      </c>
      <c r="AS1225" s="22">
        <f t="shared" si="377"/>
        <v>3</v>
      </c>
      <c r="AT1225" s="24" t="str">
        <f t="shared" si="378"/>
        <v>0-3 months</v>
      </c>
      <c r="AU1225" s="22" t="s">
        <v>3744</v>
      </c>
    </row>
    <row r="1226" spans="1:47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7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64"/>
        <v>1</v>
      </c>
      <c r="Z1226" s="18">
        <f t="shared" si="363"/>
        <v>20300000</v>
      </c>
      <c r="AA1226" s="13">
        <v>7.17E-2</v>
      </c>
      <c r="AB1226" s="21">
        <f t="shared" si="360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65"/>
        <v>41443303.53761062</v>
      </c>
      <c r="AJ1226" s="19">
        <f t="shared" si="366"/>
        <v>6194988.76643031</v>
      </c>
      <c r="AK1226" s="20">
        <f t="shared" si="373"/>
        <v>0.1494810557466355</v>
      </c>
      <c r="AL1226" s="17"/>
      <c r="AM1226" s="17"/>
      <c r="AN1226" s="17"/>
      <c r="AO1226" s="17"/>
      <c r="AP1226" s="28" t="str">
        <f t="shared" si="374"/>
        <v>20217</v>
      </c>
      <c r="AQ1226" s="28" t="str">
        <f t="shared" si="375"/>
        <v>20217JPY</v>
      </c>
      <c r="AR1226" s="206" t="str">
        <f t="shared" si="376"/>
        <v>YAMAHA_Mounter</v>
      </c>
      <c r="AS1226" s="22">
        <f t="shared" si="377"/>
        <v>3</v>
      </c>
      <c r="AT1226" s="24" t="str">
        <f t="shared" si="378"/>
        <v>0-3 months</v>
      </c>
      <c r="AU1226" s="22" t="s">
        <v>3744</v>
      </c>
    </row>
    <row r="1227" spans="1:47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7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64"/>
        <v>1</v>
      </c>
      <c r="Z1227" s="18">
        <f t="shared" si="363"/>
        <v>20300000</v>
      </c>
      <c r="AA1227" s="13">
        <v>7.17E-2</v>
      </c>
      <c r="AB1227" s="21">
        <f t="shared" si="360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65"/>
        <v>41443303.53761062</v>
      </c>
      <c r="AJ1227" s="19">
        <f t="shared" si="366"/>
        <v>6194988.76643031</v>
      </c>
      <c r="AK1227" s="20">
        <f t="shared" si="373"/>
        <v>0.1494810557466355</v>
      </c>
      <c r="AL1227" s="17"/>
      <c r="AM1227" s="17"/>
      <c r="AN1227" s="17"/>
      <c r="AO1227" s="17"/>
      <c r="AP1227" s="28" t="str">
        <f t="shared" si="374"/>
        <v>20217</v>
      </c>
      <c r="AQ1227" s="28" t="str">
        <f t="shared" si="375"/>
        <v>20217JPY</v>
      </c>
      <c r="AR1227" s="206" t="str">
        <f t="shared" si="376"/>
        <v>YAMAHA_Mounter</v>
      </c>
      <c r="AS1227" s="22">
        <f t="shared" si="377"/>
        <v>3</v>
      </c>
      <c r="AT1227" s="24" t="str">
        <f t="shared" si="378"/>
        <v>0-3 months</v>
      </c>
      <c r="AU1227" s="22" t="s">
        <v>3744</v>
      </c>
    </row>
    <row r="1228" spans="1:47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7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64"/>
        <v>1</v>
      </c>
      <c r="Z1228" s="18">
        <f t="shared" si="363"/>
        <v>20300000</v>
      </c>
      <c r="AA1228" s="13">
        <v>7.17E-2</v>
      </c>
      <c r="AB1228" s="21">
        <f t="shared" si="360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65"/>
        <v>41443303.53761062</v>
      </c>
      <c r="AJ1228" s="19">
        <f t="shared" si="366"/>
        <v>6194988.76643031</v>
      </c>
      <c r="AK1228" s="20">
        <f t="shared" si="373"/>
        <v>0.1494810557466355</v>
      </c>
      <c r="AL1228" s="17"/>
      <c r="AM1228" s="17"/>
      <c r="AN1228" s="17"/>
      <c r="AO1228" s="17"/>
      <c r="AP1228" s="28" t="str">
        <f t="shared" si="374"/>
        <v>20217</v>
      </c>
      <c r="AQ1228" s="28" t="str">
        <f t="shared" si="375"/>
        <v>20217JPY</v>
      </c>
      <c r="AR1228" s="206" t="str">
        <f t="shared" si="376"/>
        <v>YAMAHA_Mounter</v>
      </c>
      <c r="AS1228" s="22">
        <f t="shared" si="377"/>
        <v>3</v>
      </c>
      <c r="AT1228" s="24" t="str">
        <f t="shared" si="378"/>
        <v>0-3 months</v>
      </c>
      <c r="AU1228" s="22" t="s">
        <v>3744</v>
      </c>
    </row>
    <row r="1229" spans="1:47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7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64"/>
        <v>1</v>
      </c>
      <c r="Z1229" s="18">
        <f t="shared" si="363"/>
        <v>25000000</v>
      </c>
      <c r="AA1229" s="13">
        <v>7.2400000000000006E-2</v>
      </c>
      <c r="AB1229" s="21">
        <f t="shared" si="360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65"/>
        <v>47458373.787610628</v>
      </c>
      <c r="AJ1229" s="19">
        <f t="shared" si="366"/>
        <v>7436880.1411522133</v>
      </c>
      <c r="AK1229" s="20">
        <f t="shared" si="373"/>
        <v>0.15670322321692506</v>
      </c>
      <c r="AL1229" s="17"/>
      <c r="AM1229" s="17"/>
      <c r="AN1229" s="17"/>
      <c r="AO1229" s="17"/>
      <c r="AP1229" s="28" t="str">
        <f t="shared" si="374"/>
        <v>20218</v>
      </c>
      <c r="AQ1229" s="28" t="str">
        <f t="shared" si="375"/>
        <v>20218JPY</v>
      </c>
      <c r="AR1229" s="206" t="str">
        <f t="shared" si="376"/>
        <v>YAMAHA_Mounter</v>
      </c>
      <c r="AS1229" s="22">
        <f t="shared" si="377"/>
        <v>4</v>
      </c>
      <c r="AT1229" s="24" t="str">
        <f t="shared" si="378"/>
        <v>4-6 months</v>
      </c>
      <c r="AU1229" s="22" t="s">
        <v>3744</v>
      </c>
    </row>
    <row r="1230" spans="1:47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7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64"/>
        <v>1</v>
      </c>
      <c r="Z1230" s="18">
        <f t="shared" si="363"/>
        <v>25000000</v>
      </c>
      <c r="AA1230" s="13">
        <v>7.2400000000000006E-2</v>
      </c>
      <c r="AB1230" s="21">
        <f t="shared" si="360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65"/>
        <v>47458373.787610628</v>
      </c>
      <c r="AJ1230" s="19">
        <f t="shared" si="366"/>
        <v>7436880.1411522133</v>
      </c>
      <c r="AK1230" s="20">
        <f t="shared" si="373"/>
        <v>0.15670322321692506</v>
      </c>
      <c r="AL1230" s="17"/>
      <c r="AM1230" s="17"/>
      <c r="AN1230" s="17"/>
      <c r="AO1230" s="17"/>
      <c r="AP1230" s="28" t="str">
        <f t="shared" si="374"/>
        <v>20218</v>
      </c>
      <c r="AQ1230" s="28" t="str">
        <f t="shared" si="375"/>
        <v>20218JPY</v>
      </c>
      <c r="AR1230" s="206" t="str">
        <f t="shared" si="376"/>
        <v>YAMAHA_Mounter</v>
      </c>
      <c r="AS1230" s="22">
        <f t="shared" si="377"/>
        <v>4</v>
      </c>
      <c r="AT1230" s="24" t="str">
        <f t="shared" si="378"/>
        <v>4-6 months</v>
      </c>
      <c r="AU1230" s="22" t="s">
        <v>3744</v>
      </c>
    </row>
    <row r="1231" spans="1:47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7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64"/>
        <v>1</v>
      </c>
      <c r="Z1231" s="18">
        <f t="shared" si="363"/>
        <v>20300000</v>
      </c>
      <c r="AA1231" s="13">
        <v>7.2400000000000006E-2</v>
      </c>
      <c r="AB1231" s="21">
        <f t="shared" si="360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65"/>
        <v>47458373.787610628</v>
      </c>
      <c r="AJ1231" s="19">
        <f t="shared" si="366"/>
        <v>7436880.1411522133</v>
      </c>
      <c r="AK1231" s="20">
        <f t="shared" si="373"/>
        <v>0.15670322321692506</v>
      </c>
      <c r="AL1231" s="17"/>
      <c r="AM1231" s="17"/>
      <c r="AN1231" s="17"/>
      <c r="AO1231" s="17"/>
      <c r="AP1231" s="28" t="str">
        <f t="shared" si="374"/>
        <v>20218</v>
      </c>
      <c r="AQ1231" s="28" t="str">
        <f t="shared" si="375"/>
        <v>20218JPY</v>
      </c>
      <c r="AR1231" s="206" t="str">
        <f t="shared" si="376"/>
        <v>YAMAHA_Mounter</v>
      </c>
      <c r="AS1231" s="22">
        <f t="shared" si="377"/>
        <v>4</v>
      </c>
      <c r="AT1231" s="24" t="str">
        <f t="shared" si="378"/>
        <v>4-6 months</v>
      </c>
      <c r="AU1231" s="22" t="s">
        <v>3744</v>
      </c>
    </row>
    <row r="1232" spans="1:47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7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64"/>
        <v>1</v>
      </c>
      <c r="Z1232" s="18">
        <f t="shared" si="363"/>
        <v>20300000</v>
      </c>
      <c r="AA1232" s="13">
        <v>7.2400000000000006E-2</v>
      </c>
      <c r="AB1232" s="21">
        <f t="shared" si="360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65"/>
        <v>47458373.787610628</v>
      </c>
      <c r="AJ1232" s="19">
        <f t="shared" si="366"/>
        <v>7436880.1411522133</v>
      </c>
      <c r="AK1232" s="20">
        <f t="shared" si="373"/>
        <v>0.15670322321692506</v>
      </c>
      <c r="AL1232" s="17"/>
      <c r="AM1232" s="17"/>
      <c r="AN1232" s="17"/>
      <c r="AO1232" s="17"/>
      <c r="AP1232" s="28" t="str">
        <f t="shared" si="374"/>
        <v>20218</v>
      </c>
      <c r="AQ1232" s="28" t="str">
        <f t="shared" si="375"/>
        <v>20218JPY</v>
      </c>
      <c r="AR1232" s="206" t="str">
        <f t="shared" si="376"/>
        <v>YAMAHA_Mounter</v>
      </c>
      <c r="AS1232" s="22">
        <f t="shared" si="377"/>
        <v>4</v>
      </c>
      <c r="AT1232" s="24" t="str">
        <f t="shared" si="378"/>
        <v>4-6 months</v>
      </c>
      <c r="AU1232" s="22" t="s">
        <v>3744</v>
      </c>
    </row>
    <row r="1233" spans="1:47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7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64"/>
        <v>1</v>
      </c>
      <c r="Z1233" s="18">
        <f t="shared" si="363"/>
        <v>20300000</v>
      </c>
      <c r="AA1233" s="13">
        <v>7.2400000000000006E-2</v>
      </c>
      <c r="AB1233" s="21">
        <f t="shared" si="360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65"/>
        <v>47458373.787610628</v>
      </c>
      <c r="AJ1233" s="19">
        <f t="shared" si="366"/>
        <v>7436880.1411522133</v>
      </c>
      <c r="AK1233" s="20">
        <f t="shared" si="373"/>
        <v>0.15670322321692506</v>
      </c>
      <c r="AL1233" s="17"/>
      <c r="AM1233" s="17"/>
      <c r="AN1233" s="17"/>
      <c r="AO1233" s="17"/>
      <c r="AP1233" s="28" t="str">
        <f t="shared" si="374"/>
        <v>20218</v>
      </c>
      <c r="AQ1233" s="28" t="str">
        <f t="shared" si="375"/>
        <v>20218JPY</v>
      </c>
      <c r="AR1233" s="206" t="str">
        <f t="shared" si="376"/>
        <v>YAMAHA_Mounter</v>
      </c>
      <c r="AS1233" s="22">
        <f t="shared" si="377"/>
        <v>4</v>
      </c>
      <c r="AT1233" s="24" t="str">
        <f t="shared" si="378"/>
        <v>4-6 months</v>
      </c>
      <c r="AU1233" s="22" t="s">
        <v>3744</v>
      </c>
    </row>
    <row r="1234" spans="1:47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7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64"/>
        <v>1</v>
      </c>
      <c r="Z1234" s="18">
        <f t="shared" si="363"/>
        <v>20300000</v>
      </c>
      <c r="AA1234" s="13">
        <v>7.2400000000000006E-2</v>
      </c>
      <c r="AB1234" s="21">
        <f t="shared" si="360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65"/>
        <v>47458373.787610628</v>
      </c>
      <c r="AJ1234" s="19">
        <f t="shared" si="366"/>
        <v>7436880.1411522133</v>
      </c>
      <c r="AK1234" s="20">
        <f t="shared" si="373"/>
        <v>0.15670322321692506</v>
      </c>
      <c r="AL1234" s="17"/>
      <c r="AM1234" s="17"/>
      <c r="AN1234" s="17"/>
      <c r="AO1234" s="17"/>
      <c r="AP1234" s="28" t="str">
        <f t="shared" si="374"/>
        <v>20218</v>
      </c>
      <c r="AQ1234" s="28" t="str">
        <f t="shared" si="375"/>
        <v>20218JPY</v>
      </c>
      <c r="AR1234" s="206" t="str">
        <f t="shared" si="376"/>
        <v>YAMAHA_Mounter</v>
      </c>
      <c r="AS1234" s="22">
        <f t="shared" si="377"/>
        <v>4</v>
      </c>
      <c r="AT1234" s="24" t="str">
        <f t="shared" si="378"/>
        <v>4-6 months</v>
      </c>
      <c r="AU1234" s="22" t="s">
        <v>3744</v>
      </c>
    </row>
    <row r="1235" spans="1:47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7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64"/>
        <v>1</v>
      </c>
      <c r="Z1235" s="18">
        <f t="shared" si="363"/>
        <v>20300000</v>
      </c>
      <c r="AA1235" s="13">
        <v>7.2400000000000006E-2</v>
      </c>
      <c r="AB1235" s="21">
        <f t="shared" si="360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65"/>
        <v>47458373.787610628</v>
      </c>
      <c r="AJ1235" s="19">
        <f t="shared" si="366"/>
        <v>7436880.1411522133</v>
      </c>
      <c r="AK1235" s="20">
        <f t="shared" si="373"/>
        <v>0.15670322321692506</v>
      </c>
      <c r="AL1235" s="17"/>
      <c r="AM1235" s="17"/>
      <c r="AN1235" s="17"/>
      <c r="AO1235" s="17"/>
      <c r="AP1235" s="28" t="str">
        <f t="shared" si="374"/>
        <v>20218</v>
      </c>
      <c r="AQ1235" s="28" t="str">
        <f t="shared" si="375"/>
        <v>20218JPY</v>
      </c>
      <c r="AR1235" s="206" t="str">
        <f t="shared" si="376"/>
        <v>YAMAHA_Mounter</v>
      </c>
      <c r="AS1235" s="22">
        <f t="shared" si="377"/>
        <v>4</v>
      </c>
      <c r="AT1235" s="24" t="str">
        <f t="shared" si="378"/>
        <v>4-6 months</v>
      </c>
      <c r="AU1235" s="22" t="s">
        <v>3744</v>
      </c>
    </row>
    <row r="1236" spans="1:47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7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64"/>
        <v>1</v>
      </c>
      <c r="Z1236" s="18">
        <f t="shared" si="363"/>
        <v>20300000</v>
      </c>
      <c r="AA1236" s="13">
        <v>7.2400000000000006E-2</v>
      </c>
      <c r="AB1236" s="21">
        <f t="shared" si="360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65"/>
        <v>47458373.787610628</v>
      </c>
      <c r="AJ1236" s="19">
        <f t="shared" si="366"/>
        <v>7436880.1411522133</v>
      </c>
      <c r="AK1236" s="20">
        <f t="shared" si="373"/>
        <v>0.15670322321692506</v>
      </c>
      <c r="AL1236" s="17"/>
      <c r="AM1236" s="17"/>
      <c r="AN1236" s="17"/>
      <c r="AO1236" s="17"/>
      <c r="AP1236" s="28" t="str">
        <f t="shared" si="374"/>
        <v>20218</v>
      </c>
      <c r="AQ1236" s="28" t="str">
        <f t="shared" si="375"/>
        <v>20218JPY</v>
      </c>
      <c r="AR1236" s="206" t="str">
        <f t="shared" si="376"/>
        <v>YAMAHA_Mounter</v>
      </c>
      <c r="AS1236" s="22">
        <f t="shared" si="377"/>
        <v>4</v>
      </c>
      <c r="AT1236" s="24" t="str">
        <f t="shared" si="378"/>
        <v>4-6 months</v>
      </c>
      <c r="AU1236" s="22" t="s">
        <v>3744</v>
      </c>
    </row>
    <row r="1237" spans="1:47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7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63"/>
        <v>15920000</v>
      </c>
      <c r="AA1237" s="13">
        <v>7.2300000000000003E-2</v>
      </c>
      <c r="AB1237" s="21">
        <f t="shared" si="360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65"/>
        <v>32843736.557277881</v>
      </c>
      <c r="AJ1237" s="19">
        <f t="shared" si="366"/>
        <v>3921470.6822663117</v>
      </c>
      <c r="AK1237" s="20">
        <f t="shared" si="373"/>
        <v>0.11939782416131177</v>
      </c>
      <c r="AL1237" s="17"/>
      <c r="AM1237" s="17"/>
      <c r="AN1237" s="17"/>
      <c r="AO1237" s="17"/>
      <c r="AP1237" s="28" t="str">
        <f t="shared" si="374"/>
        <v>20194</v>
      </c>
      <c r="AQ1237" s="28" t="str">
        <f t="shared" si="375"/>
        <v>20194JPY</v>
      </c>
      <c r="AR1237" s="206" t="str">
        <f t="shared" si="376"/>
        <v>YAMAHA_Mounter</v>
      </c>
      <c r="AS1237" s="22">
        <f t="shared" si="377"/>
        <v>0</v>
      </c>
      <c r="AT1237" s="24" t="str">
        <f t="shared" si="378"/>
        <v>0-3 months</v>
      </c>
      <c r="AU1237" s="22" t="s">
        <v>3744</v>
      </c>
    </row>
    <row r="1238" spans="1:47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7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63"/>
        <v>14000000</v>
      </c>
      <c r="AA1238" s="13">
        <v>7.3999999999999996E-2</v>
      </c>
      <c r="AB1238" s="21">
        <f t="shared" si="360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65"/>
        <v>34015877.71150443</v>
      </c>
      <c r="AJ1238" s="19">
        <f t="shared" si="366"/>
        <v>4446292.375441948</v>
      </c>
      <c r="AK1238" s="20">
        <f t="shared" si="373"/>
        <v>0.13071226364205143</v>
      </c>
      <c r="AL1238" s="17"/>
      <c r="AM1238" s="17"/>
      <c r="AN1238" s="17"/>
      <c r="AO1238" s="17"/>
      <c r="AP1238" s="28" t="str">
        <f t="shared" si="374"/>
        <v>20197</v>
      </c>
      <c r="AQ1238" s="28" t="str">
        <f t="shared" si="375"/>
        <v>20197JPY</v>
      </c>
      <c r="AR1238" s="206" t="str">
        <f t="shared" si="376"/>
        <v>YAMAHA_Mounter</v>
      </c>
      <c r="AS1238" s="22">
        <f t="shared" si="377"/>
        <v>0</v>
      </c>
      <c r="AT1238" s="24" t="str">
        <f t="shared" si="378"/>
        <v>0-3 months</v>
      </c>
      <c r="AU1238" s="22" t="s">
        <v>3744</v>
      </c>
    </row>
    <row r="1239" spans="1:47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7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63"/>
        <v>14000000</v>
      </c>
      <c r="AA1239" s="13">
        <v>7.3999999999999996E-2</v>
      </c>
      <c r="AB1239" s="21">
        <f t="shared" si="360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65"/>
        <v>34015877.71150443</v>
      </c>
      <c r="AJ1239" s="19">
        <f t="shared" si="366"/>
        <v>4446292.375441948</v>
      </c>
      <c r="AK1239" s="20">
        <f t="shared" si="373"/>
        <v>0.13071226364205143</v>
      </c>
      <c r="AL1239" s="17"/>
      <c r="AM1239" s="17"/>
      <c r="AN1239" s="17"/>
      <c r="AO1239" s="17"/>
      <c r="AP1239" s="28" t="str">
        <f t="shared" si="374"/>
        <v>20197</v>
      </c>
      <c r="AQ1239" s="28" t="str">
        <f t="shared" si="375"/>
        <v>20197JPY</v>
      </c>
      <c r="AR1239" s="206" t="str">
        <f t="shared" si="376"/>
        <v>YAMAHA_Mounter</v>
      </c>
      <c r="AS1239" s="22">
        <f t="shared" si="377"/>
        <v>0</v>
      </c>
      <c r="AT1239" s="24" t="str">
        <f t="shared" si="378"/>
        <v>0-3 months</v>
      </c>
      <c r="AU1239" s="22" t="s">
        <v>3744</v>
      </c>
    </row>
    <row r="1240" spans="1:47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7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63"/>
        <v>10000000</v>
      </c>
      <c r="AA1240" s="13">
        <v>7.3999999999999996E-2</v>
      </c>
      <c r="AB1240" s="21">
        <f t="shared" si="360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65"/>
        <v>34015877.71150443</v>
      </c>
      <c r="AJ1240" s="19">
        <f t="shared" si="366"/>
        <v>4446292.375441948</v>
      </c>
      <c r="AK1240" s="20">
        <f t="shared" si="373"/>
        <v>0.13071226364205143</v>
      </c>
      <c r="AL1240" s="17"/>
      <c r="AM1240" s="17"/>
      <c r="AN1240" s="17"/>
      <c r="AO1240" s="17"/>
      <c r="AP1240" s="28" t="str">
        <f t="shared" si="374"/>
        <v>20197</v>
      </c>
      <c r="AQ1240" s="28" t="str">
        <f t="shared" si="375"/>
        <v>20197JPY</v>
      </c>
      <c r="AR1240" s="206" t="str">
        <f t="shared" si="376"/>
        <v>YAMAHA_Mounter</v>
      </c>
      <c r="AS1240" s="22">
        <f t="shared" si="377"/>
        <v>0</v>
      </c>
      <c r="AT1240" s="24" t="str">
        <f t="shared" si="378"/>
        <v>0-3 months</v>
      </c>
      <c r="AU1240" s="22" t="s">
        <v>3744</v>
      </c>
    </row>
    <row r="1241" spans="1:47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7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63"/>
        <v>10000000</v>
      </c>
      <c r="AA1241" s="13">
        <v>7.3999999999999996E-2</v>
      </c>
      <c r="AB1241" s="21">
        <f t="shared" si="360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65"/>
        <v>34015877.71150443</v>
      </c>
      <c r="AJ1241" s="19">
        <f t="shared" si="366"/>
        <v>4446292.375441948</v>
      </c>
      <c r="AK1241" s="20">
        <f t="shared" si="373"/>
        <v>0.13071226364205143</v>
      </c>
      <c r="AL1241" s="17"/>
      <c r="AM1241" s="17"/>
      <c r="AN1241" s="17"/>
      <c r="AO1241" s="17"/>
      <c r="AP1241" s="28" t="str">
        <f t="shared" si="374"/>
        <v>20197</v>
      </c>
      <c r="AQ1241" s="28" t="str">
        <f t="shared" si="375"/>
        <v>20197JPY</v>
      </c>
      <c r="AR1241" s="206" t="str">
        <f t="shared" si="376"/>
        <v>YAMAHA_Mounter</v>
      </c>
      <c r="AS1241" s="22">
        <f t="shared" si="377"/>
        <v>0</v>
      </c>
      <c r="AT1241" s="24" t="str">
        <f t="shared" si="378"/>
        <v>0-3 months</v>
      </c>
      <c r="AU1241" s="22" t="s">
        <v>3744</v>
      </c>
    </row>
    <row r="1242" spans="1:47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7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63"/>
        <v>1160000</v>
      </c>
      <c r="AA1242" s="13">
        <v>1.095</v>
      </c>
      <c r="AB1242" s="21">
        <f t="shared" si="360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65"/>
        <v>37599388.802345134</v>
      </c>
      <c r="AJ1242" s="19">
        <f t="shared" si="366"/>
        <v>4866784.3630338367</v>
      </c>
      <c r="AK1242" s="20">
        <f t="shared" si="373"/>
        <v>0.12943785838163113</v>
      </c>
      <c r="AL1242" s="17"/>
      <c r="AM1242" s="17"/>
      <c r="AN1242" s="17"/>
      <c r="AO1242" s="17"/>
      <c r="AP1242" s="28" t="str">
        <f t="shared" si="374"/>
        <v>20199</v>
      </c>
      <c r="AQ1242" s="28" t="str">
        <f t="shared" si="375"/>
        <v>20199RMB</v>
      </c>
      <c r="AR1242" s="206" t="str">
        <f t="shared" si="376"/>
        <v>YAMAHA_Mounter</v>
      </c>
      <c r="AS1242" s="22">
        <f t="shared" si="377"/>
        <v>0</v>
      </c>
      <c r="AT1242" s="24" t="str">
        <f t="shared" si="378"/>
        <v>0-3 months</v>
      </c>
      <c r="AU1242" s="22" t="s">
        <v>3743</v>
      </c>
    </row>
    <row r="1243" spans="1:47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7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63"/>
        <v>1090000</v>
      </c>
      <c r="AA1243" s="13">
        <v>1.095</v>
      </c>
      <c r="AB1243" s="21">
        <f t="shared" ref="AB1243:AB1306" si="379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65"/>
        <v>37599388.802345134</v>
      </c>
      <c r="AJ1243" s="19">
        <f t="shared" si="366"/>
        <v>4866784.3630338367</v>
      </c>
      <c r="AK1243" s="20">
        <f t="shared" si="373"/>
        <v>0.12943785838163113</v>
      </c>
      <c r="AL1243" s="17"/>
      <c r="AM1243" s="17"/>
      <c r="AN1243" s="17"/>
      <c r="AO1243" s="17"/>
      <c r="AP1243" s="28" t="str">
        <f t="shared" si="374"/>
        <v>20199</v>
      </c>
      <c r="AQ1243" s="28" t="str">
        <f t="shared" si="375"/>
        <v>20199RMB</v>
      </c>
      <c r="AR1243" s="206" t="str">
        <f t="shared" si="376"/>
        <v>YAMAHA_Mounter</v>
      </c>
      <c r="AS1243" s="22">
        <f t="shared" si="377"/>
        <v>0</v>
      </c>
      <c r="AT1243" s="24" t="str">
        <f t="shared" si="378"/>
        <v>0-3 months</v>
      </c>
      <c r="AU1243" s="22" t="s">
        <v>3743</v>
      </c>
    </row>
    <row r="1244" spans="1:47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7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63"/>
        <v>1090000</v>
      </c>
      <c r="AA1244" s="13">
        <v>1.095</v>
      </c>
      <c r="AB1244" s="21">
        <f t="shared" si="379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65"/>
        <v>37599388.802345134</v>
      </c>
      <c r="AJ1244" s="19">
        <f t="shared" si="366"/>
        <v>4866784.3630338367</v>
      </c>
      <c r="AK1244" s="20">
        <f t="shared" si="373"/>
        <v>0.12943785838163113</v>
      </c>
      <c r="AL1244" s="17"/>
      <c r="AM1244" s="17"/>
      <c r="AN1244" s="17"/>
      <c r="AO1244" s="17"/>
      <c r="AP1244" s="28" t="str">
        <f t="shared" si="374"/>
        <v>20199</v>
      </c>
      <c r="AQ1244" s="28" t="str">
        <f t="shared" si="375"/>
        <v>20199RMB</v>
      </c>
      <c r="AR1244" s="206" t="str">
        <f t="shared" si="376"/>
        <v>YAMAHA_Mounter</v>
      </c>
      <c r="AS1244" s="22">
        <f t="shared" si="377"/>
        <v>0</v>
      </c>
      <c r="AT1244" s="24" t="str">
        <f t="shared" si="378"/>
        <v>0-3 months</v>
      </c>
      <c r="AU1244" s="22" t="s">
        <v>3743</v>
      </c>
    </row>
    <row r="1245" spans="1:47" s="12" customFormat="1">
      <c r="A1245" s="33" t="str">
        <f t="shared" si="367"/>
        <v>cancel</v>
      </c>
      <c r="B1245" s="152"/>
      <c r="C1245" s="152" t="s">
        <v>185</v>
      </c>
      <c r="D1245" s="33" t="str">
        <f t="shared" si="36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6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7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63"/>
        <v>14000000</v>
      </c>
      <c r="AA1245" s="13">
        <v>7.5700000000000003E-2</v>
      </c>
      <c r="AB1245" s="21">
        <f t="shared" si="379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65"/>
        <v>499582152.5142017</v>
      </c>
      <c r="AJ1245" s="19">
        <f t="shared" si="366"/>
        <v>59520528.679470733</v>
      </c>
      <c r="AK1245" s="20">
        <f t="shared" si="373"/>
        <v>0.11914062257814291</v>
      </c>
      <c r="AL1245" s="17"/>
      <c r="AM1245" s="17"/>
      <c r="AN1245" s="17"/>
      <c r="AO1245" s="17"/>
      <c r="AP1245" s="28" t="str">
        <f t="shared" si="374"/>
        <v>CancelCancel</v>
      </c>
      <c r="AQ1245" s="28" t="str">
        <f t="shared" si="375"/>
        <v>CancelCancelJPY</v>
      </c>
      <c r="AR1245" s="206" t="str">
        <f t="shared" si="376"/>
        <v>YAMAHA_Mounter</v>
      </c>
      <c r="AS1245" s="22" t="str">
        <f t="shared" si="377"/>
        <v/>
      </c>
      <c r="AT1245" s="24" t="str">
        <f t="shared" si="378"/>
        <v/>
      </c>
      <c r="AU1245" s="22" t="s">
        <v>3240</v>
      </c>
    </row>
    <row r="1246" spans="1:47" s="12" customFormat="1">
      <c r="A1246" s="33" t="str">
        <f t="shared" si="367"/>
        <v>cancel</v>
      </c>
      <c r="B1246" s="152"/>
      <c r="C1246" s="152" t="s">
        <v>185</v>
      </c>
      <c r="D1246" s="33" t="str">
        <f t="shared" si="36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6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7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63"/>
        <v>14000000</v>
      </c>
      <c r="AA1246" s="13">
        <v>7.5700000000000003E-2</v>
      </c>
      <c r="AB1246" s="21">
        <f t="shared" si="379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65"/>
        <v>499582152.5142017</v>
      </c>
      <c r="AJ1246" s="19">
        <f t="shared" si="366"/>
        <v>59520528.679470733</v>
      </c>
      <c r="AK1246" s="20">
        <f t="shared" si="373"/>
        <v>0.11914062257814291</v>
      </c>
      <c r="AL1246" s="17"/>
      <c r="AM1246" s="17"/>
      <c r="AN1246" s="17"/>
      <c r="AO1246" s="17"/>
      <c r="AP1246" s="28" t="str">
        <f t="shared" si="374"/>
        <v>CancelCancel</v>
      </c>
      <c r="AQ1246" s="28" t="str">
        <f t="shared" si="375"/>
        <v>CancelCancelJPY</v>
      </c>
      <c r="AR1246" s="206" t="str">
        <f t="shared" si="376"/>
        <v>YAMAHA_Mounter</v>
      </c>
      <c r="AS1246" s="22" t="str">
        <f t="shared" si="377"/>
        <v/>
      </c>
      <c r="AT1246" s="24" t="str">
        <f t="shared" si="378"/>
        <v/>
      </c>
      <c r="AU1246" s="22" t="s">
        <v>3240</v>
      </c>
    </row>
    <row r="1247" spans="1:47" s="12" customFormat="1">
      <c r="A1247" s="33" t="str">
        <f t="shared" si="367"/>
        <v>cancel</v>
      </c>
      <c r="B1247" s="152"/>
      <c r="C1247" s="152" t="s">
        <v>185</v>
      </c>
      <c r="D1247" s="33" t="str">
        <f t="shared" si="36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6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7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63"/>
        <v>14000000</v>
      </c>
      <c r="AA1247" s="13">
        <v>7.5700000000000003E-2</v>
      </c>
      <c r="AB1247" s="21">
        <f t="shared" si="379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65"/>
        <v>499582152.5142017</v>
      </c>
      <c r="AJ1247" s="19">
        <f t="shared" si="366"/>
        <v>59520528.679470733</v>
      </c>
      <c r="AK1247" s="20">
        <f t="shared" si="373"/>
        <v>0.11914062257814291</v>
      </c>
      <c r="AL1247" s="17"/>
      <c r="AM1247" s="17"/>
      <c r="AN1247" s="17"/>
      <c r="AO1247" s="17"/>
      <c r="AP1247" s="28" t="str">
        <f t="shared" si="374"/>
        <v>CancelCancel</v>
      </c>
      <c r="AQ1247" s="28" t="str">
        <f t="shared" si="375"/>
        <v>CancelCancelJPY</v>
      </c>
      <c r="AR1247" s="206" t="str">
        <f t="shared" si="376"/>
        <v>YAMAHA_Mounter</v>
      </c>
      <c r="AS1247" s="22" t="str">
        <f t="shared" si="377"/>
        <v/>
      </c>
      <c r="AT1247" s="24" t="str">
        <f t="shared" si="378"/>
        <v/>
      </c>
      <c r="AU1247" s="22" t="s">
        <v>3240</v>
      </c>
    </row>
    <row r="1248" spans="1:47" s="12" customFormat="1">
      <c r="A1248" s="33" t="str">
        <f t="shared" si="367"/>
        <v>cancel</v>
      </c>
      <c r="B1248" s="152"/>
      <c r="C1248" s="152" t="s">
        <v>185</v>
      </c>
      <c r="D1248" s="33" t="str">
        <f t="shared" si="36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6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7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63"/>
        <v>14000000</v>
      </c>
      <c r="AA1248" s="13">
        <v>7.5700000000000003E-2</v>
      </c>
      <c r="AB1248" s="21">
        <f t="shared" si="379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65"/>
        <v>499582152.5142017</v>
      </c>
      <c r="AJ1248" s="19">
        <f t="shared" si="366"/>
        <v>59520528.679470733</v>
      </c>
      <c r="AK1248" s="20">
        <f t="shared" si="373"/>
        <v>0.11914062257814291</v>
      </c>
      <c r="AL1248" s="17"/>
      <c r="AM1248" s="17"/>
      <c r="AN1248" s="17"/>
      <c r="AO1248" s="17"/>
      <c r="AP1248" s="28" t="str">
        <f t="shared" si="374"/>
        <v>CancelCancel</v>
      </c>
      <c r="AQ1248" s="28" t="str">
        <f t="shared" si="375"/>
        <v>CancelCancelJPY</v>
      </c>
      <c r="AR1248" s="206" t="str">
        <f t="shared" si="376"/>
        <v>YAMAHA_Mounter</v>
      </c>
      <c r="AS1248" s="22" t="str">
        <f t="shared" si="377"/>
        <v/>
      </c>
      <c r="AT1248" s="24" t="str">
        <f t="shared" si="378"/>
        <v/>
      </c>
      <c r="AU1248" s="22" t="s">
        <v>3240</v>
      </c>
    </row>
    <row r="1249" spans="1:47" s="12" customFormat="1">
      <c r="A1249" s="33" t="str">
        <f t="shared" si="367"/>
        <v>cancel</v>
      </c>
      <c r="B1249" s="152"/>
      <c r="C1249" s="152" t="s">
        <v>185</v>
      </c>
      <c r="D1249" s="33" t="str">
        <f t="shared" si="36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6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7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63"/>
        <v>24000000</v>
      </c>
      <c r="AA1249" s="13">
        <v>7.5700000000000003E-2</v>
      </c>
      <c r="AB1249" s="21">
        <f t="shared" si="379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65"/>
        <v>499582152.5142017</v>
      </c>
      <c r="AJ1249" s="19">
        <f t="shared" si="366"/>
        <v>59520528.679470733</v>
      </c>
      <c r="AK1249" s="20">
        <f t="shared" si="373"/>
        <v>0.11914062257814291</v>
      </c>
      <c r="AL1249" s="17"/>
      <c r="AM1249" s="17"/>
      <c r="AN1249" s="17"/>
      <c r="AO1249" s="17"/>
      <c r="AP1249" s="28" t="str">
        <f t="shared" si="374"/>
        <v>CancelCancel</v>
      </c>
      <c r="AQ1249" s="28" t="str">
        <f t="shared" si="375"/>
        <v>CancelCancelJPY</v>
      </c>
      <c r="AR1249" s="206" t="str">
        <f t="shared" si="376"/>
        <v>YAMAHA_Mounter</v>
      </c>
      <c r="AS1249" s="22" t="str">
        <f t="shared" si="377"/>
        <v/>
      </c>
      <c r="AT1249" s="24" t="str">
        <f t="shared" si="378"/>
        <v/>
      </c>
      <c r="AU1249" s="22" t="s">
        <v>3240</v>
      </c>
    </row>
    <row r="1250" spans="1:47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7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63"/>
        <v>11000000</v>
      </c>
      <c r="AA1250" s="13">
        <v>7.2900000000000006E-2</v>
      </c>
      <c r="AB1250" s="21">
        <f t="shared" si="379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65"/>
        <v>27318180.088495575</v>
      </c>
      <c r="AJ1250" s="19">
        <f t="shared" si="366"/>
        <v>3014099.212353982</v>
      </c>
      <c r="AK1250" s="20">
        <f t="shared" si="373"/>
        <v>0.11033308963444827</v>
      </c>
      <c r="AL1250" s="17"/>
      <c r="AM1250" s="17"/>
      <c r="AN1250" s="17"/>
      <c r="AO1250" s="17"/>
      <c r="AP1250" s="28" t="str">
        <f t="shared" si="374"/>
        <v>201912</v>
      </c>
      <c r="AQ1250" s="28" t="str">
        <f t="shared" si="375"/>
        <v>201912JPY</v>
      </c>
      <c r="AR1250" s="206" t="str">
        <f t="shared" si="376"/>
        <v>YAMAHA_Mounter</v>
      </c>
      <c r="AS1250" s="22">
        <f t="shared" si="377"/>
        <v>1</v>
      </c>
      <c r="AT1250" s="24" t="str">
        <f t="shared" si="378"/>
        <v>0-3 months</v>
      </c>
      <c r="AU1250" s="22" t="s">
        <v>3744</v>
      </c>
    </row>
    <row r="1251" spans="1:47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7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63"/>
        <v>11000000</v>
      </c>
      <c r="AA1251" s="13">
        <v>7.2900000000000006E-2</v>
      </c>
      <c r="AB1251" s="21">
        <f t="shared" si="379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65"/>
        <v>27318180.088495575</v>
      </c>
      <c r="AJ1251" s="19">
        <f t="shared" si="366"/>
        <v>3014099.212353982</v>
      </c>
      <c r="AK1251" s="20">
        <f t="shared" si="373"/>
        <v>0.11033308963444827</v>
      </c>
      <c r="AL1251" s="17"/>
      <c r="AM1251" s="17"/>
      <c r="AN1251" s="17"/>
      <c r="AO1251" s="17"/>
      <c r="AP1251" s="28" t="str">
        <f t="shared" si="374"/>
        <v>201912</v>
      </c>
      <c r="AQ1251" s="28" t="str">
        <f t="shared" si="375"/>
        <v>201912JPY</v>
      </c>
      <c r="AR1251" s="206" t="str">
        <f t="shared" si="376"/>
        <v>YAMAHA_Mounter</v>
      </c>
      <c r="AS1251" s="22">
        <f t="shared" si="377"/>
        <v>1</v>
      </c>
      <c r="AT1251" s="24" t="str">
        <f t="shared" si="378"/>
        <v>0-3 months</v>
      </c>
      <c r="AU1251" s="22" t="s">
        <v>3744</v>
      </c>
    </row>
    <row r="1252" spans="1:47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7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63"/>
        <v>11000000</v>
      </c>
      <c r="AA1252" s="13">
        <v>7.2900000000000006E-2</v>
      </c>
      <c r="AB1252" s="21">
        <f t="shared" si="379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65"/>
        <v>27318180.088495575</v>
      </c>
      <c r="AJ1252" s="19">
        <f t="shared" si="366"/>
        <v>3014099.212353982</v>
      </c>
      <c r="AK1252" s="20">
        <f t="shared" si="373"/>
        <v>0.11033308963444827</v>
      </c>
      <c r="AL1252" s="17"/>
      <c r="AM1252" s="17"/>
      <c r="AN1252" s="17"/>
      <c r="AO1252" s="17"/>
      <c r="AP1252" s="28" t="str">
        <f t="shared" si="374"/>
        <v>201912</v>
      </c>
      <c r="AQ1252" s="28" t="str">
        <f t="shared" si="375"/>
        <v>201912JPY</v>
      </c>
      <c r="AR1252" s="206" t="str">
        <f t="shared" si="376"/>
        <v>YAMAHA_Mounter</v>
      </c>
      <c r="AS1252" s="22">
        <f t="shared" si="377"/>
        <v>1</v>
      </c>
      <c r="AT1252" s="24" t="str">
        <f t="shared" si="378"/>
        <v>0-3 months</v>
      </c>
      <c r="AU1252" s="22" t="s">
        <v>3744</v>
      </c>
    </row>
    <row r="1253" spans="1:47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7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63"/>
        <v>11000000</v>
      </c>
      <c r="AA1253" s="13">
        <v>7.2900000000000006E-2</v>
      </c>
      <c r="AB1253" s="21">
        <f t="shared" si="379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65"/>
        <v>27318180.088495575</v>
      </c>
      <c r="AJ1253" s="19">
        <f t="shared" si="366"/>
        <v>3014099.212353982</v>
      </c>
      <c r="AK1253" s="20">
        <f t="shared" si="373"/>
        <v>0.11033308963444827</v>
      </c>
      <c r="AL1253" s="17"/>
      <c r="AM1253" s="17"/>
      <c r="AN1253" s="17"/>
      <c r="AO1253" s="17"/>
      <c r="AP1253" s="28" t="str">
        <f t="shared" si="374"/>
        <v>201912</v>
      </c>
      <c r="AQ1253" s="28" t="str">
        <f t="shared" si="375"/>
        <v>201912JPY</v>
      </c>
      <c r="AR1253" s="206" t="str">
        <f t="shared" si="376"/>
        <v>YAMAHA_Mounter</v>
      </c>
      <c r="AS1253" s="22">
        <f t="shared" si="377"/>
        <v>1</v>
      </c>
      <c r="AT1253" s="24" t="str">
        <f t="shared" si="378"/>
        <v>0-3 months</v>
      </c>
      <c r="AU1253" s="22" t="s">
        <v>3744</v>
      </c>
    </row>
    <row r="1254" spans="1:47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7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63"/>
        <v>11000000</v>
      </c>
      <c r="AA1254" s="13">
        <v>7.2900000000000006E-2</v>
      </c>
      <c r="AB1254" s="21">
        <f t="shared" si="379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65"/>
        <v>27318180.088495575</v>
      </c>
      <c r="AJ1254" s="19">
        <f t="shared" si="366"/>
        <v>3014099.212353982</v>
      </c>
      <c r="AK1254" s="20">
        <f t="shared" si="373"/>
        <v>0.11033308963444827</v>
      </c>
      <c r="AL1254" s="17"/>
      <c r="AM1254" s="17"/>
      <c r="AN1254" s="17"/>
      <c r="AO1254" s="17"/>
      <c r="AP1254" s="28" t="str">
        <f t="shared" si="374"/>
        <v>201912</v>
      </c>
      <c r="AQ1254" s="28" t="str">
        <f t="shared" si="375"/>
        <v>201912JPY</v>
      </c>
      <c r="AR1254" s="206" t="str">
        <f t="shared" si="376"/>
        <v>YAMAHA_Mounter</v>
      </c>
      <c r="AS1254" s="22">
        <f t="shared" si="377"/>
        <v>1</v>
      </c>
      <c r="AT1254" s="24" t="str">
        <f t="shared" si="378"/>
        <v>0-3 months</v>
      </c>
      <c r="AU1254" s="22" t="s">
        <v>3744</v>
      </c>
    </row>
    <row r="1255" spans="1:47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7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63"/>
        <v>7750000</v>
      </c>
      <c r="AA1255" s="13">
        <v>7.2900000000000006E-2</v>
      </c>
      <c r="AB1255" s="21">
        <f t="shared" si="379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65"/>
        <v>27318180.088495575</v>
      </c>
      <c r="AJ1255" s="19">
        <f t="shared" si="366"/>
        <v>3014099.212353982</v>
      </c>
      <c r="AK1255" s="20">
        <f t="shared" si="373"/>
        <v>0.11033308963444827</v>
      </c>
      <c r="AL1255" s="17"/>
      <c r="AM1255" s="17"/>
      <c r="AN1255" s="17"/>
      <c r="AO1255" s="17"/>
      <c r="AP1255" s="28" t="str">
        <f t="shared" si="374"/>
        <v>201912</v>
      </c>
      <c r="AQ1255" s="28" t="str">
        <f t="shared" si="375"/>
        <v>201912JPY</v>
      </c>
      <c r="AR1255" s="206" t="str">
        <f t="shared" si="376"/>
        <v>YAMAHA_Mounter</v>
      </c>
      <c r="AS1255" s="22">
        <f t="shared" si="377"/>
        <v>1</v>
      </c>
      <c r="AT1255" s="24" t="str">
        <f t="shared" si="378"/>
        <v>0-3 months</v>
      </c>
      <c r="AU1255" s="22" t="s">
        <v>3744</v>
      </c>
    </row>
    <row r="1256" spans="1:47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7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63"/>
        <v>7750000</v>
      </c>
      <c r="AA1256" s="13">
        <v>7.2900000000000006E-2</v>
      </c>
      <c r="AB1256" s="21">
        <f t="shared" si="379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65"/>
        <v>27318180.088495575</v>
      </c>
      <c r="AJ1256" s="19">
        <f t="shared" si="366"/>
        <v>3014099.212353982</v>
      </c>
      <c r="AK1256" s="20">
        <f t="shared" si="373"/>
        <v>0.11033308963444827</v>
      </c>
      <c r="AL1256" s="17"/>
      <c r="AM1256" s="17"/>
      <c r="AN1256" s="17"/>
      <c r="AO1256" s="17"/>
      <c r="AP1256" s="28" t="str">
        <f t="shared" si="374"/>
        <v>201912</v>
      </c>
      <c r="AQ1256" s="28" t="str">
        <f t="shared" si="375"/>
        <v>201912JPY</v>
      </c>
      <c r="AR1256" s="206" t="str">
        <f t="shared" si="376"/>
        <v>YAMAHA_Mounter</v>
      </c>
      <c r="AS1256" s="22">
        <f t="shared" si="377"/>
        <v>1</v>
      </c>
      <c r="AT1256" s="24" t="str">
        <f t="shared" si="378"/>
        <v>0-3 months</v>
      </c>
      <c r="AU1256" s="22" t="s">
        <v>3744</v>
      </c>
    </row>
    <row r="1257" spans="1:47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7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63"/>
        <v>7750000</v>
      </c>
      <c r="AA1257" s="13">
        <v>7.2900000000000006E-2</v>
      </c>
      <c r="AB1257" s="21">
        <f t="shared" si="379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65"/>
        <v>27318180.088495575</v>
      </c>
      <c r="AJ1257" s="19">
        <f t="shared" si="366"/>
        <v>3014099.212353982</v>
      </c>
      <c r="AK1257" s="20">
        <f t="shared" si="373"/>
        <v>0.11033308963444827</v>
      </c>
      <c r="AL1257" s="17"/>
      <c r="AM1257" s="17"/>
      <c r="AN1257" s="17"/>
      <c r="AO1257" s="17"/>
      <c r="AP1257" s="28" t="str">
        <f t="shared" si="374"/>
        <v>201912</v>
      </c>
      <c r="AQ1257" s="28" t="str">
        <f t="shared" si="375"/>
        <v>201912JPY</v>
      </c>
      <c r="AR1257" s="206" t="str">
        <f t="shared" si="376"/>
        <v>YAMAHA_Mounter</v>
      </c>
      <c r="AS1257" s="22">
        <f t="shared" si="377"/>
        <v>1</v>
      </c>
      <c r="AT1257" s="24" t="str">
        <f t="shared" si="378"/>
        <v>0-3 months</v>
      </c>
      <c r="AU1257" s="22" t="s">
        <v>3744</v>
      </c>
    </row>
    <row r="1258" spans="1:47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7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63"/>
        <v>7750000</v>
      </c>
      <c r="AA1258" s="13">
        <v>7.2900000000000006E-2</v>
      </c>
      <c r="AB1258" s="21">
        <f t="shared" si="379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65"/>
        <v>27318180.088495575</v>
      </c>
      <c r="AJ1258" s="19">
        <f t="shared" si="366"/>
        <v>3014099.212353982</v>
      </c>
      <c r="AK1258" s="20">
        <f t="shared" si="373"/>
        <v>0.11033308963444827</v>
      </c>
      <c r="AL1258" s="17"/>
      <c r="AM1258" s="17"/>
      <c r="AN1258" s="17"/>
      <c r="AO1258" s="17"/>
      <c r="AP1258" s="28" t="str">
        <f t="shared" si="374"/>
        <v>201912</v>
      </c>
      <c r="AQ1258" s="28" t="str">
        <f t="shared" si="375"/>
        <v>201912JPY</v>
      </c>
      <c r="AR1258" s="206" t="str">
        <f t="shared" si="376"/>
        <v>YAMAHA_Mounter</v>
      </c>
      <c r="AS1258" s="22">
        <f t="shared" si="377"/>
        <v>1</v>
      </c>
      <c r="AT1258" s="24" t="str">
        <f t="shared" si="378"/>
        <v>0-3 months</v>
      </c>
      <c r="AU1258" s="22" t="s">
        <v>3744</v>
      </c>
    </row>
    <row r="1259" spans="1:47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7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80">IF(W1259="RMB","1.13", "1")</f>
        <v>1</v>
      </c>
      <c r="Z1259" s="18">
        <f t="shared" si="363"/>
        <v>7800000</v>
      </c>
      <c r="AA1259" s="13">
        <v>7.2800000000000004E-2</v>
      </c>
      <c r="AB1259" s="21">
        <f t="shared" si="379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65"/>
        <v>63006605.696460173</v>
      </c>
      <c r="AJ1259" s="19">
        <f t="shared" si="366"/>
        <v>8897485.660753984</v>
      </c>
      <c r="AK1259" s="20">
        <f t="shared" si="373"/>
        <v>0.141215124388995</v>
      </c>
      <c r="AL1259" s="17"/>
      <c r="AM1259" s="17"/>
      <c r="AN1259" s="17"/>
      <c r="AO1259" s="17"/>
      <c r="AP1259" s="28" t="str">
        <f t="shared" si="374"/>
        <v>20215</v>
      </c>
      <c r="AQ1259" s="28" t="str">
        <f t="shared" si="375"/>
        <v>20215JPY</v>
      </c>
      <c r="AR1259" s="206" t="str">
        <f t="shared" si="376"/>
        <v>YAMAHA_Mounter</v>
      </c>
      <c r="AS1259" s="22">
        <f t="shared" si="377"/>
        <v>3</v>
      </c>
      <c r="AT1259" s="24" t="str">
        <f t="shared" si="378"/>
        <v>0-3 months</v>
      </c>
      <c r="AU1259" s="22" t="s">
        <v>3744</v>
      </c>
    </row>
    <row r="1260" spans="1:47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7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80"/>
        <v>1</v>
      </c>
      <c r="Z1260" s="18">
        <f t="shared" si="363"/>
        <v>15000000</v>
      </c>
      <c r="AA1260" s="13">
        <v>7.2800000000000004E-2</v>
      </c>
      <c r="AB1260" s="21">
        <f t="shared" si="379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65"/>
        <v>63006605.696460173</v>
      </c>
      <c r="AJ1260" s="19">
        <f t="shared" si="366"/>
        <v>8897485.660753984</v>
      </c>
      <c r="AK1260" s="20">
        <f t="shared" si="373"/>
        <v>0.141215124388995</v>
      </c>
      <c r="AL1260" s="17"/>
      <c r="AM1260" s="17"/>
      <c r="AN1260" s="17"/>
      <c r="AO1260" s="17"/>
      <c r="AP1260" s="28" t="str">
        <f t="shared" si="374"/>
        <v>20215</v>
      </c>
      <c r="AQ1260" s="28" t="str">
        <f t="shared" si="375"/>
        <v>20215JPY</v>
      </c>
      <c r="AR1260" s="206" t="str">
        <f t="shared" si="376"/>
        <v>YAMAHA_Mounter</v>
      </c>
      <c r="AS1260" s="22">
        <f t="shared" si="377"/>
        <v>3</v>
      </c>
      <c r="AT1260" s="24" t="str">
        <f t="shared" si="378"/>
        <v>0-3 months</v>
      </c>
      <c r="AU1260" s="22" t="s">
        <v>3744</v>
      </c>
    </row>
    <row r="1261" spans="1:47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7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80"/>
        <v>1</v>
      </c>
      <c r="Z1261" s="18">
        <f t="shared" si="363"/>
        <v>15000000</v>
      </c>
      <c r="AA1261" s="13">
        <v>7.2800000000000004E-2</v>
      </c>
      <c r="AB1261" s="21">
        <f t="shared" si="379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65"/>
        <v>63006605.696460173</v>
      </c>
      <c r="AJ1261" s="19">
        <f t="shared" si="366"/>
        <v>8897485.660753984</v>
      </c>
      <c r="AK1261" s="20">
        <f t="shared" si="373"/>
        <v>0.141215124388995</v>
      </c>
      <c r="AL1261" s="17"/>
      <c r="AM1261" s="17"/>
      <c r="AN1261" s="17"/>
      <c r="AO1261" s="17"/>
      <c r="AP1261" s="28" t="str">
        <f t="shared" si="374"/>
        <v>20215</v>
      </c>
      <c r="AQ1261" s="28" t="str">
        <f t="shared" si="375"/>
        <v>20215JPY</v>
      </c>
      <c r="AR1261" s="206" t="str">
        <f t="shared" si="376"/>
        <v>YAMAHA_Mounter</v>
      </c>
      <c r="AS1261" s="22">
        <f t="shared" si="377"/>
        <v>3</v>
      </c>
      <c r="AT1261" s="24" t="str">
        <f t="shared" si="378"/>
        <v>0-3 months</v>
      </c>
      <c r="AU1261" s="22" t="s">
        <v>3744</v>
      </c>
    </row>
    <row r="1262" spans="1:47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7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80"/>
        <v>1</v>
      </c>
      <c r="Z1262" s="18">
        <f t="shared" ref="Z1262:Z1273" si="381">IF(X1262="","",X1262*MAX(O1262,N1262))</f>
        <v>8989000</v>
      </c>
      <c r="AA1262" s="13">
        <v>7.2099999999999997E-2</v>
      </c>
      <c r="AB1262" s="21">
        <f t="shared" si="379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65"/>
        <v>54700260.692079648</v>
      </c>
      <c r="AJ1262" s="19">
        <f t="shared" si="366"/>
        <v>7482899.5749188727</v>
      </c>
      <c r="AK1262" s="20">
        <f t="shared" si="373"/>
        <v>0.13679824337660537</v>
      </c>
      <c r="AL1262" s="17"/>
      <c r="AM1262" s="17"/>
      <c r="AN1262" s="17"/>
      <c r="AO1262" s="17"/>
      <c r="AP1262" s="28" t="str">
        <f t="shared" si="374"/>
        <v>20216</v>
      </c>
      <c r="AQ1262" s="28" t="str">
        <f t="shared" si="375"/>
        <v>20216JPY</v>
      </c>
      <c r="AR1262" s="206" t="str">
        <f t="shared" si="376"/>
        <v>YAMAHA_Mounter</v>
      </c>
      <c r="AS1262" s="22">
        <f t="shared" si="377"/>
        <v>0</v>
      </c>
      <c r="AT1262" s="24" t="str">
        <f t="shared" si="378"/>
        <v>0-3 months</v>
      </c>
      <c r="AU1262" s="22" t="s">
        <v>3744</v>
      </c>
    </row>
    <row r="1263" spans="1:47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6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7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80"/>
        <v>1</v>
      </c>
      <c r="Z1263" s="18">
        <f t="shared" si="381"/>
        <v>14345000</v>
      </c>
      <c r="AA1263" s="13">
        <v>5.4199999999999998E-2</v>
      </c>
      <c r="AB1263" s="21">
        <f t="shared" si="379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65"/>
        <v>499582152.5142017</v>
      </c>
      <c r="AJ1263" s="19">
        <f t="shared" si="366"/>
        <v>59520528.679470733</v>
      </c>
      <c r="AK1263" s="20">
        <f t="shared" si="373"/>
        <v>0.11914062257814291</v>
      </c>
      <c r="AL1263" s="17"/>
      <c r="AM1263" s="17"/>
      <c r="AN1263" s="17"/>
      <c r="AO1263" s="17"/>
      <c r="AP1263" s="28" t="str">
        <f t="shared" si="374"/>
        <v>CancelCancel</v>
      </c>
      <c r="AQ1263" s="28" t="str">
        <f t="shared" si="375"/>
        <v>CancelCancelJPY</v>
      </c>
      <c r="AR1263" s="206" t="str">
        <f t="shared" si="376"/>
        <v>YAMAHA_Mounter</v>
      </c>
      <c r="AS1263" s="22" t="str">
        <f t="shared" si="377"/>
        <v/>
      </c>
      <c r="AT1263" s="24" t="str">
        <f t="shared" si="378"/>
        <v/>
      </c>
      <c r="AU1263" s="22" t="s">
        <v>3744</v>
      </c>
    </row>
    <row r="1264" spans="1:47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6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7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80"/>
        <v>1</v>
      </c>
      <c r="Z1264" s="18">
        <f t="shared" si="381"/>
        <v>14345000</v>
      </c>
      <c r="AA1264" s="13">
        <v>5.4199999999999998E-2</v>
      </c>
      <c r="AB1264" s="21">
        <f t="shared" si="379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65"/>
        <v>499582152.5142017</v>
      </c>
      <c r="AJ1264" s="19">
        <f t="shared" si="366"/>
        <v>59520528.679470733</v>
      </c>
      <c r="AK1264" s="20">
        <f t="shared" si="373"/>
        <v>0.11914062257814291</v>
      </c>
      <c r="AL1264" s="17"/>
      <c r="AM1264" s="17"/>
      <c r="AN1264" s="17"/>
      <c r="AO1264" s="17"/>
      <c r="AP1264" s="28" t="str">
        <f t="shared" si="374"/>
        <v>CancelCancel</v>
      </c>
      <c r="AQ1264" s="28" t="str">
        <f t="shared" si="375"/>
        <v>CancelCancelJPY</v>
      </c>
      <c r="AR1264" s="206" t="str">
        <f t="shared" si="376"/>
        <v>YAMAHA_Mounter</v>
      </c>
      <c r="AS1264" s="22" t="str">
        <f t="shared" si="377"/>
        <v/>
      </c>
      <c r="AT1264" s="24" t="str">
        <f t="shared" si="378"/>
        <v/>
      </c>
      <c r="AU1264" s="22" t="s">
        <v>3744</v>
      </c>
    </row>
    <row r="1265" spans="1:47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6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7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80"/>
        <v>1</v>
      </c>
      <c r="Z1265" s="18">
        <f t="shared" si="381"/>
        <v>8989000</v>
      </c>
      <c r="AA1265" s="13">
        <v>5.4199999999999998E-2</v>
      </c>
      <c r="AB1265" s="21">
        <f t="shared" si="379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65"/>
        <v>499582152.5142017</v>
      </c>
      <c r="AJ1265" s="19">
        <f t="shared" si="366"/>
        <v>59520528.679470733</v>
      </c>
      <c r="AK1265" s="20">
        <f t="shared" si="373"/>
        <v>0.11914062257814291</v>
      </c>
      <c r="AL1265" s="17"/>
      <c r="AM1265" s="17"/>
      <c r="AN1265" s="17"/>
      <c r="AO1265" s="17"/>
      <c r="AP1265" s="28" t="str">
        <f t="shared" si="374"/>
        <v>CancelCancel</v>
      </c>
      <c r="AQ1265" s="28" t="str">
        <f t="shared" si="375"/>
        <v>CancelCancelJPY</v>
      </c>
      <c r="AR1265" s="206" t="str">
        <f t="shared" si="376"/>
        <v>YAMAHA_Mounter</v>
      </c>
      <c r="AS1265" s="22" t="str">
        <f t="shared" si="377"/>
        <v/>
      </c>
      <c r="AT1265" s="24" t="str">
        <f t="shared" si="378"/>
        <v/>
      </c>
      <c r="AU1265" s="22" t="s">
        <v>3744</v>
      </c>
    </row>
    <row r="1266" spans="1:47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6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7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80"/>
        <v>1</v>
      </c>
      <c r="Z1266" s="18">
        <f t="shared" si="381"/>
        <v>8989000</v>
      </c>
      <c r="AA1266" s="13">
        <v>5.4199999999999998E-2</v>
      </c>
      <c r="AB1266" s="21">
        <f t="shared" si="379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65"/>
        <v>499582152.5142017</v>
      </c>
      <c r="AJ1266" s="19">
        <f t="shared" si="366"/>
        <v>59520528.679470733</v>
      </c>
      <c r="AK1266" s="20">
        <f t="shared" si="373"/>
        <v>0.11914062257814291</v>
      </c>
      <c r="AL1266" s="17"/>
      <c r="AM1266" s="17"/>
      <c r="AN1266" s="17"/>
      <c r="AO1266" s="17"/>
      <c r="AP1266" s="28" t="str">
        <f t="shared" si="374"/>
        <v>CancelCancel</v>
      </c>
      <c r="AQ1266" s="28" t="str">
        <f t="shared" si="375"/>
        <v>CancelCancelJPY</v>
      </c>
      <c r="AR1266" s="206" t="str">
        <f t="shared" si="376"/>
        <v>YAMAHA_Mounter</v>
      </c>
      <c r="AS1266" s="22" t="str">
        <f t="shared" si="377"/>
        <v/>
      </c>
      <c r="AT1266" s="24" t="str">
        <f t="shared" si="378"/>
        <v/>
      </c>
      <c r="AU1266" s="22" t="s">
        <v>3744</v>
      </c>
    </row>
    <row r="1267" spans="1:47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7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80"/>
        <v>1</v>
      </c>
      <c r="Z1267" s="18">
        <f t="shared" si="381"/>
        <v>12165000</v>
      </c>
      <c r="AA1267" s="13">
        <v>7.0000000000000007E-2</v>
      </c>
      <c r="AB1267" s="21">
        <f t="shared" si="379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65"/>
        <v>29500529.005044252</v>
      </c>
      <c r="AJ1267" s="19">
        <f t="shared" si="366"/>
        <v>3253064.846231177</v>
      </c>
      <c r="AK1267" s="20">
        <f t="shared" si="373"/>
        <v>0.11027140718984871</v>
      </c>
      <c r="AL1267" s="17"/>
      <c r="AM1267" s="17"/>
      <c r="AN1267" s="17"/>
      <c r="AO1267" s="17"/>
      <c r="AP1267" s="28" t="str">
        <f t="shared" si="374"/>
        <v>202111</v>
      </c>
      <c r="AQ1267" s="28" t="str">
        <f t="shared" si="375"/>
        <v>202111JPY</v>
      </c>
      <c r="AR1267" s="206" t="str">
        <f t="shared" si="376"/>
        <v>YAMAHA_Mounter</v>
      </c>
      <c r="AS1267" s="22">
        <f t="shared" si="377"/>
        <v>6</v>
      </c>
      <c r="AT1267" s="24" t="str">
        <f t="shared" si="378"/>
        <v>4-6 months</v>
      </c>
      <c r="AU1267" s="22" t="s">
        <v>3744</v>
      </c>
    </row>
    <row r="1268" spans="1:47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7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81"/>
        <v>563500</v>
      </c>
      <c r="AA1268" s="13">
        <v>1.135</v>
      </c>
      <c r="AB1268" s="21">
        <f t="shared" si="379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65"/>
        <v>31296887.037898075</v>
      </c>
      <c r="AJ1268" s="19">
        <f t="shared" si="366"/>
        <v>3588873.9502021763</v>
      </c>
      <c r="AK1268" s="20">
        <f t="shared" si="373"/>
        <v>0.11467191436184473</v>
      </c>
      <c r="AL1268" s="17"/>
      <c r="AM1268" s="17"/>
      <c r="AN1268" s="17"/>
      <c r="AO1268" s="17"/>
      <c r="AP1268" s="28" t="str">
        <f t="shared" si="374"/>
        <v>20196</v>
      </c>
      <c r="AQ1268" s="28" t="str">
        <f t="shared" si="375"/>
        <v>20196RMB</v>
      </c>
      <c r="AR1268" s="206" t="str">
        <f t="shared" si="376"/>
        <v>YAMAHA_Mounter</v>
      </c>
      <c r="AS1268" s="22" t="str">
        <f t="shared" si="377"/>
        <v/>
      </c>
      <c r="AT1268" s="24" t="str">
        <f t="shared" si="378"/>
        <v/>
      </c>
      <c r="AU1268" s="22" t="s">
        <v>3743</v>
      </c>
    </row>
    <row r="1269" spans="1:47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7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81"/>
        <v>563500</v>
      </c>
      <c r="AA1269" s="13">
        <v>1.135</v>
      </c>
      <c r="AB1269" s="21">
        <f t="shared" si="379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65"/>
        <v>31296887.037898075</v>
      </c>
      <c r="AJ1269" s="19">
        <f t="shared" si="366"/>
        <v>3588873.9502021763</v>
      </c>
      <c r="AK1269" s="20">
        <f t="shared" si="373"/>
        <v>0.11467191436184473</v>
      </c>
      <c r="AL1269" s="17"/>
      <c r="AM1269" s="17"/>
      <c r="AN1269" s="17"/>
      <c r="AO1269" s="17"/>
      <c r="AP1269" s="28" t="str">
        <f t="shared" si="374"/>
        <v>20196</v>
      </c>
      <c r="AQ1269" s="28" t="str">
        <f t="shared" si="375"/>
        <v>20196RMB</v>
      </c>
      <c r="AR1269" s="206" t="str">
        <f t="shared" si="376"/>
        <v>YAMAHA_Mounter</v>
      </c>
      <c r="AS1269" s="22" t="str">
        <f t="shared" si="377"/>
        <v/>
      </c>
      <c r="AT1269" s="24" t="str">
        <f t="shared" si="378"/>
        <v/>
      </c>
      <c r="AU1269" s="22" t="s">
        <v>3743</v>
      </c>
    </row>
    <row r="1270" spans="1:47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7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81"/>
        <v>577500</v>
      </c>
      <c r="AA1270" s="13">
        <v>1.095</v>
      </c>
      <c r="AB1270" s="21">
        <f t="shared" si="379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65"/>
        <v>35384300.169380538</v>
      </c>
      <c r="AJ1270" s="19">
        <f t="shared" si="366"/>
        <v>5044538.8896988509</v>
      </c>
      <c r="AK1270" s="20">
        <f t="shared" si="373"/>
        <v>0.14256432557804533</v>
      </c>
      <c r="AL1270" s="17"/>
      <c r="AM1270" s="17"/>
      <c r="AN1270" s="17"/>
      <c r="AO1270" s="17"/>
      <c r="AP1270" s="28" t="str">
        <f t="shared" si="374"/>
        <v>20207</v>
      </c>
      <c r="AQ1270" s="28" t="str">
        <f t="shared" si="375"/>
        <v>20207RMB</v>
      </c>
      <c r="AR1270" s="206" t="str">
        <f t="shared" si="376"/>
        <v>YAMAHA_Mounter</v>
      </c>
      <c r="AS1270" s="22">
        <f t="shared" si="377"/>
        <v>1</v>
      </c>
      <c r="AT1270" s="24" t="str">
        <f t="shared" si="378"/>
        <v>0-3 months</v>
      </c>
      <c r="AU1270" s="22" t="s">
        <v>3743</v>
      </c>
    </row>
    <row r="1271" spans="1:47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7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81"/>
        <v>577500</v>
      </c>
      <c r="AA1271" s="13">
        <v>1.095</v>
      </c>
      <c r="AB1271" s="21">
        <f t="shared" si="379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65"/>
        <v>35384300.169380538</v>
      </c>
      <c r="AJ1271" s="19">
        <f t="shared" si="366"/>
        <v>5044538.8896988509</v>
      </c>
      <c r="AK1271" s="20">
        <f t="shared" si="373"/>
        <v>0.14256432557804533</v>
      </c>
      <c r="AL1271" s="17"/>
      <c r="AM1271" s="17"/>
      <c r="AN1271" s="17"/>
      <c r="AO1271" s="17"/>
      <c r="AP1271" s="28" t="str">
        <f t="shared" si="374"/>
        <v>20207</v>
      </c>
      <c r="AQ1271" s="28" t="str">
        <f t="shared" si="375"/>
        <v>20207RMB</v>
      </c>
      <c r="AR1271" s="206" t="str">
        <f t="shared" si="376"/>
        <v>YAMAHA_Mounter</v>
      </c>
      <c r="AS1271" s="22">
        <f t="shared" si="377"/>
        <v>1</v>
      </c>
      <c r="AT1271" s="24" t="str">
        <f t="shared" si="378"/>
        <v>0-3 months</v>
      </c>
      <c r="AU1271" s="22" t="s">
        <v>3743</v>
      </c>
    </row>
    <row r="1272" spans="1:47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7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81"/>
        <v>17000000</v>
      </c>
      <c r="AA1272" s="13">
        <v>6.9199999999999998E-2</v>
      </c>
      <c r="AB1272" s="21">
        <f t="shared" si="379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65"/>
        <v>28726768.133805312</v>
      </c>
      <c r="AJ1272" s="19">
        <f t="shared" si="366"/>
        <v>3853638.1988864429</v>
      </c>
      <c r="AK1272" s="20">
        <f t="shared" si="373"/>
        <v>0.1341479898099476</v>
      </c>
      <c r="AL1272" s="17"/>
      <c r="AM1272" s="17"/>
      <c r="AN1272" s="17"/>
      <c r="AO1272" s="17"/>
      <c r="AP1272" s="28" t="str">
        <f t="shared" si="374"/>
        <v>20223</v>
      </c>
      <c r="AQ1272" s="28" t="str">
        <f t="shared" si="375"/>
        <v>20223JPY</v>
      </c>
      <c r="AR1272" s="206" t="str">
        <f t="shared" si="376"/>
        <v>YAMAHA_Mounter</v>
      </c>
      <c r="AS1272" s="22">
        <f t="shared" si="377"/>
        <v>2</v>
      </c>
      <c r="AT1272" s="24" t="str">
        <f t="shared" si="378"/>
        <v>0-3 months</v>
      </c>
      <c r="AU1272" s="22" t="s">
        <v>3744</v>
      </c>
    </row>
    <row r="1273" spans="1:47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7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81"/>
        <v>11800000</v>
      </c>
      <c r="AA1273" s="13">
        <v>6.9199999999999998E-2</v>
      </c>
      <c r="AB1273" s="21">
        <f t="shared" si="379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65"/>
        <v>28726768.133805312</v>
      </c>
      <c r="AJ1273" s="19">
        <f t="shared" si="366"/>
        <v>3853638.1988864429</v>
      </c>
      <c r="AK1273" s="20">
        <f t="shared" si="373"/>
        <v>0.1341479898099476</v>
      </c>
      <c r="AL1273" s="17"/>
      <c r="AM1273" s="17"/>
      <c r="AN1273" s="17"/>
      <c r="AO1273" s="17"/>
      <c r="AP1273" s="28" t="str">
        <f t="shared" si="374"/>
        <v>20223</v>
      </c>
      <c r="AQ1273" s="28" t="str">
        <f t="shared" si="375"/>
        <v>20223JPY</v>
      </c>
      <c r="AR1273" s="206" t="str">
        <f t="shared" si="376"/>
        <v>YAMAHA_Mounter</v>
      </c>
      <c r="AS1273" s="22">
        <f t="shared" si="377"/>
        <v>2</v>
      </c>
      <c r="AT1273" s="24" t="str">
        <f t="shared" si="378"/>
        <v>0-3 months</v>
      </c>
      <c r="AU1273" s="22" t="s">
        <v>3744</v>
      </c>
    </row>
    <row r="1274" spans="1:47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7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79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65"/>
        <v>21241742.157380536</v>
      </c>
      <c r="AJ1274" s="27">
        <f t="shared" si="366"/>
        <v>2987081.1613773629</v>
      </c>
      <c r="AK1274" s="28">
        <f t="shared" si="373"/>
        <v>0.14062317201884914</v>
      </c>
      <c r="AL1274" s="24"/>
      <c r="AM1274" s="24"/>
      <c r="AN1274" s="24"/>
      <c r="AO1274" s="24"/>
      <c r="AP1274" s="28" t="str">
        <f t="shared" si="374"/>
        <v>20243</v>
      </c>
      <c r="AQ1274" s="28" t="str">
        <f t="shared" si="375"/>
        <v>20243JPY</v>
      </c>
      <c r="AR1274" s="206" t="str">
        <f t="shared" si="376"/>
        <v>YAMAHA_Mounter</v>
      </c>
      <c r="AS1274" s="22">
        <f t="shared" si="377"/>
        <v>0</v>
      </c>
      <c r="AT1274" s="24" t="str">
        <f t="shared" si="378"/>
        <v>0-3 months</v>
      </c>
      <c r="AU1274" s="22" t="s">
        <v>3240</v>
      </c>
    </row>
    <row r="1275" spans="1:47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7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79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65"/>
        <v>21241742.157380536</v>
      </c>
      <c r="AJ1275" s="27">
        <f t="shared" si="366"/>
        <v>2987081.1613773629</v>
      </c>
      <c r="AK1275" s="28">
        <f t="shared" si="373"/>
        <v>0.14062317201884914</v>
      </c>
      <c r="AL1275" s="24"/>
      <c r="AM1275" s="24"/>
      <c r="AN1275" s="24"/>
      <c r="AO1275" s="24"/>
      <c r="AP1275" s="28" t="str">
        <f t="shared" si="374"/>
        <v>20243</v>
      </c>
      <c r="AQ1275" s="28" t="str">
        <f t="shared" si="375"/>
        <v>20243JPY</v>
      </c>
      <c r="AR1275" s="206" t="str">
        <f t="shared" si="376"/>
        <v>YAMAHA_Mounter</v>
      </c>
      <c r="AS1275" s="22">
        <f t="shared" si="377"/>
        <v>0</v>
      </c>
      <c r="AT1275" s="24" t="str">
        <f t="shared" si="378"/>
        <v>0-3 months</v>
      </c>
      <c r="AU1275" s="22" t="s">
        <v>3240</v>
      </c>
    </row>
    <row r="1276" spans="1:47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7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82">IF(X1276="","",X1276*MAX(O1276,N1276))</f>
        <v>12000000</v>
      </c>
      <c r="AA1276" s="22">
        <v>5.0999999999999997E-2</v>
      </c>
      <c r="AB1276" s="21">
        <f t="shared" si="379"/>
        <v>612000</v>
      </c>
      <c r="AC1276" s="25">
        <f t="shared" si="371"/>
        <v>50428.800000000003</v>
      </c>
      <c r="AD1276" s="22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65"/>
        <v>11472879.764601771</v>
      </c>
      <c r="AJ1276" s="27">
        <f t="shared" si="366"/>
        <v>2038344.1716106194</v>
      </c>
      <c r="AK1276" s="28">
        <f t="shared" si="373"/>
        <v>0.17766630640544948</v>
      </c>
      <c r="AL1276" s="24"/>
      <c r="AM1276" s="24"/>
      <c r="AN1276" s="24"/>
      <c r="AO1276" s="24"/>
      <c r="AP1276" s="28" t="str">
        <f t="shared" si="374"/>
        <v>20245</v>
      </c>
      <c r="AQ1276" s="28" t="str">
        <f t="shared" si="375"/>
        <v>20245JPY</v>
      </c>
      <c r="AR1276" s="206" t="str">
        <f t="shared" si="376"/>
        <v>YAMAHA_Mounter</v>
      </c>
      <c r="AS1276" s="22">
        <f t="shared" si="377"/>
        <v>1</v>
      </c>
      <c r="AT1276" s="24" t="str">
        <f t="shared" si="378"/>
        <v>0-3 months</v>
      </c>
      <c r="AU1276" s="22" t="s">
        <v>3744</v>
      </c>
    </row>
    <row r="1277" spans="1:47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7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82"/>
        <v>9300000</v>
      </c>
      <c r="AA1277" s="22">
        <v>5.0999999999999997E-2</v>
      </c>
      <c r="AB1277" s="21">
        <f t="shared" si="379"/>
        <v>474299.99999999994</v>
      </c>
      <c r="AC1277" s="25">
        <f t="shared" si="371"/>
        <v>39082.319999999992</v>
      </c>
      <c r="AD1277" s="22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65"/>
        <v>11472879.764601771</v>
      </c>
      <c r="AJ1277" s="27">
        <f t="shared" si="366"/>
        <v>2038344.1716106194</v>
      </c>
      <c r="AK1277" s="28">
        <f t="shared" si="373"/>
        <v>0.17766630640544948</v>
      </c>
      <c r="AL1277" s="24"/>
      <c r="AM1277" s="24"/>
      <c r="AN1277" s="24"/>
      <c r="AO1277" s="24"/>
      <c r="AP1277" s="28" t="str">
        <f t="shared" si="374"/>
        <v>20245</v>
      </c>
      <c r="AQ1277" s="28" t="str">
        <f t="shared" si="375"/>
        <v>20245JPY</v>
      </c>
      <c r="AR1277" s="206" t="str">
        <f t="shared" si="376"/>
        <v>YAMAHA_Mounter</v>
      </c>
      <c r="AS1277" s="22">
        <f t="shared" si="377"/>
        <v>1</v>
      </c>
      <c r="AT1277" s="24" t="str">
        <f t="shared" si="378"/>
        <v>0-3 months</v>
      </c>
      <c r="AU1277" s="22" t="s">
        <v>3744</v>
      </c>
    </row>
    <row r="1278" spans="1:47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7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82"/>
        <v>1050000</v>
      </c>
      <c r="AA1278" s="13">
        <v>1.095</v>
      </c>
      <c r="AB1278" s="21">
        <f t="shared" si="379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65"/>
        <v>37599388.802345134</v>
      </c>
      <c r="AJ1278" s="19">
        <f t="shared" si="366"/>
        <v>4866784.3630338367</v>
      </c>
      <c r="AK1278" s="20">
        <f t="shared" si="373"/>
        <v>0.12943785838163113</v>
      </c>
      <c r="AL1278" s="17"/>
      <c r="AM1278" s="17"/>
      <c r="AN1278" s="17"/>
      <c r="AO1278" s="17"/>
      <c r="AP1278" s="28" t="str">
        <f t="shared" si="374"/>
        <v>20199</v>
      </c>
      <c r="AQ1278" s="28" t="str">
        <f t="shared" si="375"/>
        <v>20199RMB</v>
      </c>
      <c r="AR1278" s="206" t="str">
        <f t="shared" si="376"/>
        <v>YAMAHA_Mounter</v>
      </c>
      <c r="AS1278" s="22">
        <f t="shared" si="377"/>
        <v>0</v>
      </c>
      <c r="AT1278" s="24" t="str">
        <f t="shared" si="378"/>
        <v>0-3 months</v>
      </c>
      <c r="AU1278" s="22" t="s">
        <v>3743</v>
      </c>
    </row>
    <row r="1279" spans="1:47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7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82"/>
        <v>1050000</v>
      </c>
      <c r="AA1279" s="13">
        <v>1.095</v>
      </c>
      <c r="AB1279" s="21">
        <f t="shared" si="379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65"/>
        <v>37599388.802345134</v>
      </c>
      <c r="AJ1279" s="19">
        <f t="shared" si="366"/>
        <v>4866784.3630338367</v>
      </c>
      <c r="AK1279" s="20">
        <f t="shared" si="373"/>
        <v>0.12943785838163113</v>
      </c>
      <c r="AL1279" s="17"/>
      <c r="AM1279" s="17"/>
      <c r="AN1279" s="17"/>
      <c r="AO1279" s="17"/>
      <c r="AP1279" s="28" t="str">
        <f t="shared" si="374"/>
        <v>20199</v>
      </c>
      <c r="AQ1279" s="28" t="str">
        <f t="shared" si="375"/>
        <v>20199RMB</v>
      </c>
      <c r="AR1279" s="206" t="str">
        <f t="shared" si="376"/>
        <v>YAMAHA_Mounter</v>
      </c>
      <c r="AS1279" s="22">
        <f t="shared" si="377"/>
        <v>0</v>
      </c>
      <c r="AT1279" s="24" t="str">
        <f t="shared" si="378"/>
        <v>0-3 months</v>
      </c>
      <c r="AU1279" s="22" t="s">
        <v>3743</v>
      </c>
    </row>
    <row r="1280" spans="1:47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7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82"/>
        <v>1045000</v>
      </c>
      <c r="AA1280" s="13">
        <v>1.089</v>
      </c>
      <c r="AB1280" s="21">
        <f t="shared" si="379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65"/>
        <v>29183109.05575221</v>
      </c>
      <c r="AJ1280" s="19">
        <f t="shared" si="366"/>
        <v>3741266.5648721238</v>
      </c>
      <c r="AK1280" s="20">
        <f t="shared" si="373"/>
        <v>0.12819972531798121</v>
      </c>
      <c r="AL1280" s="17"/>
      <c r="AM1280" s="17"/>
      <c r="AN1280" s="17"/>
      <c r="AO1280" s="17"/>
      <c r="AP1280" s="28" t="str">
        <f t="shared" si="374"/>
        <v>20206</v>
      </c>
      <c r="AQ1280" s="28" t="str">
        <f t="shared" si="375"/>
        <v>20206RMB</v>
      </c>
      <c r="AR1280" s="206" t="str">
        <f t="shared" si="376"/>
        <v>YAMAHA_Mounter</v>
      </c>
      <c r="AS1280" s="22">
        <f t="shared" si="377"/>
        <v>1</v>
      </c>
      <c r="AT1280" s="24" t="str">
        <f t="shared" si="378"/>
        <v>0-3 months</v>
      </c>
      <c r="AU1280" s="22" t="s">
        <v>3743</v>
      </c>
    </row>
    <row r="1281" spans="1:47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7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82"/>
        <v>1045000</v>
      </c>
      <c r="AA1281" s="13">
        <v>1.089</v>
      </c>
      <c r="AB1281" s="21">
        <f t="shared" si="379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65"/>
        <v>29183109.05575221</v>
      </c>
      <c r="AJ1281" s="19">
        <f t="shared" si="366"/>
        <v>3741266.5648721238</v>
      </c>
      <c r="AK1281" s="20">
        <f t="shared" si="373"/>
        <v>0.12819972531798121</v>
      </c>
      <c r="AL1281" s="17"/>
      <c r="AM1281" s="17"/>
      <c r="AN1281" s="17"/>
      <c r="AO1281" s="17"/>
      <c r="AP1281" s="28" t="str">
        <f t="shared" si="374"/>
        <v>20206</v>
      </c>
      <c r="AQ1281" s="28" t="str">
        <f t="shared" si="375"/>
        <v>20206RMB</v>
      </c>
      <c r="AR1281" s="206" t="str">
        <f t="shared" si="376"/>
        <v>YAMAHA_Mounter</v>
      </c>
      <c r="AS1281" s="22">
        <f t="shared" si="377"/>
        <v>1</v>
      </c>
      <c r="AT1281" s="24" t="str">
        <f t="shared" si="378"/>
        <v>0-3 months</v>
      </c>
      <c r="AU1281" s="22" t="s">
        <v>3743</v>
      </c>
    </row>
    <row r="1282" spans="1:47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7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82"/>
        <v>332500</v>
      </c>
      <c r="AA1282" s="22">
        <v>1.083</v>
      </c>
      <c r="AB1282" s="21">
        <f t="shared" si="379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ref="AI1282:AI1345" si="383">IF(P1282="C66 SERVICE","",SUMIFS(AB:AB,F:F,F1282,G:G,G1282,E:E,E1282))</f>
        <v>11472879.764601771</v>
      </c>
      <c r="AJ1282" s="27">
        <f t="shared" ref="AJ1282:AJ1345" si="384">IF(P1282="C66 SERVICE","",SUMIFS(AC:AC,F:F,F1282,G:G,G1282,E:E,E1282))</f>
        <v>2038344.1716106194</v>
      </c>
      <c r="AK1282" s="28">
        <f t="shared" si="373"/>
        <v>0.17766630640544948</v>
      </c>
      <c r="AL1282" s="24"/>
      <c r="AM1282" s="24"/>
      <c r="AN1282" s="24"/>
      <c r="AO1282" s="24"/>
      <c r="AP1282" s="28" t="str">
        <f t="shared" si="374"/>
        <v>20245</v>
      </c>
      <c r="AQ1282" s="28" t="str">
        <f t="shared" si="375"/>
        <v>20245RMB</v>
      </c>
      <c r="AR1282" s="206" t="str">
        <f t="shared" si="376"/>
        <v>YAMAHA_Non_Mounter</v>
      </c>
      <c r="AS1282" s="22">
        <f t="shared" si="377"/>
        <v>1</v>
      </c>
      <c r="AT1282" s="24" t="str">
        <f t="shared" si="378"/>
        <v>0-3 months</v>
      </c>
      <c r="AU1282" s="22" t="s">
        <v>3240</v>
      </c>
    </row>
    <row r="1283" spans="1:47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7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82"/>
        <v>13000000</v>
      </c>
      <c r="AA1283" s="13">
        <v>5.0999999999999997E-2</v>
      </c>
      <c r="AB1283" s="21">
        <f t="shared" si="379"/>
        <v>663000</v>
      </c>
      <c r="AC1283" s="25">
        <f t="shared" si="371"/>
        <v>80355.600000000006</v>
      </c>
      <c r="AD1283" s="22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83"/>
        <v>11472879.764601771</v>
      </c>
      <c r="AJ1283" s="27">
        <f t="shared" si="384"/>
        <v>2038344.1716106194</v>
      </c>
      <c r="AK1283" s="28">
        <f t="shared" si="373"/>
        <v>0.17766630640544948</v>
      </c>
      <c r="AL1283" s="24"/>
      <c r="AM1283" s="24"/>
      <c r="AN1283" s="24"/>
      <c r="AO1283" s="24"/>
      <c r="AP1283" s="28" t="str">
        <f t="shared" si="374"/>
        <v>20245</v>
      </c>
      <c r="AQ1283" s="28" t="str">
        <f t="shared" si="375"/>
        <v>20245JPY</v>
      </c>
      <c r="AR1283" s="206" t="str">
        <f t="shared" si="376"/>
        <v>YAMAHA_Mounter</v>
      </c>
      <c r="AS1283" s="22">
        <f t="shared" si="377"/>
        <v>2</v>
      </c>
      <c r="AT1283" s="24" t="str">
        <f t="shared" si="378"/>
        <v>0-3 months</v>
      </c>
      <c r="AU1283" s="22" t="s">
        <v>3744</v>
      </c>
    </row>
    <row r="1284" spans="1:47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7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82"/>
        <v>8600000</v>
      </c>
      <c r="AA1284" s="13">
        <v>5.0999999999999997E-2</v>
      </c>
      <c r="AB1284" s="21">
        <f t="shared" si="379"/>
        <v>438600</v>
      </c>
      <c r="AC1284" s="25">
        <f t="shared" si="371"/>
        <v>53158.32</v>
      </c>
      <c r="AD1284" s="22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83"/>
        <v>11472879.764601771</v>
      </c>
      <c r="AJ1284" s="27">
        <f t="shared" si="384"/>
        <v>2038344.1716106194</v>
      </c>
      <c r="AK1284" s="28">
        <f t="shared" si="373"/>
        <v>0.17766630640544948</v>
      </c>
      <c r="AL1284" s="24"/>
      <c r="AM1284" s="24"/>
      <c r="AN1284" s="24"/>
      <c r="AO1284" s="24"/>
      <c r="AP1284" s="28" t="str">
        <f t="shared" si="374"/>
        <v>20245</v>
      </c>
      <c r="AQ1284" s="28" t="str">
        <f t="shared" si="375"/>
        <v>20245JPY</v>
      </c>
      <c r="AR1284" s="206" t="str">
        <f t="shared" si="376"/>
        <v>YAMAHA_Mounter</v>
      </c>
      <c r="AS1284" s="22">
        <f t="shared" si="377"/>
        <v>2</v>
      </c>
      <c r="AT1284" s="24" t="str">
        <f t="shared" si="378"/>
        <v>0-3 months</v>
      </c>
      <c r="AU1284" s="22" t="s">
        <v>3744</v>
      </c>
    </row>
    <row r="1285" spans="1:47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7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82"/>
        <v>800000</v>
      </c>
      <c r="AA1285" s="13">
        <v>1.23</v>
      </c>
      <c r="AB1285" s="21">
        <f t="shared" si="379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83"/>
        <v>29288201.603076916</v>
      </c>
      <c r="AJ1285" s="19">
        <f t="shared" si="384"/>
        <v>3870159.1769246152</v>
      </c>
      <c r="AK1285" s="20">
        <f t="shared" si="373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74"/>
        <v>20184</v>
      </c>
      <c r="AQ1285" s="28" t="str">
        <f t="shared" si="375"/>
        <v>20184RMB</v>
      </c>
      <c r="AR1285" s="206" t="str">
        <f t="shared" si="376"/>
        <v>YAMAHA_Mounter</v>
      </c>
      <c r="AS1285" s="22">
        <f t="shared" si="377"/>
        <v>1</v>
      </c>
      <c r="AT1285" s="24" t="str">
        <f t="shared" si="378"/>
        <v>0-3 months</v>
      </c>
      <c r="AU1285" s="22" t="s">
        <v>3743</v>
      </c>
    </row>
    <row r="1286" spans="1:47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79"/>
        <v>688500</v>
      </c>
      <c r="AC1286" s="25">
        <f t="shared" ref="AC1286:AC1349" si="390">IF(R1286&lt;&gt;"",AB1286*AD1286,"")</f>
        <v>70089.3</v>
      </c>
      <c r="AD1286" s="22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83"/>
        <v>11472879.764601771</v>
      </c>
      <c r="AJ1286" s="27">
        <f t="shared" si="384"/>
        <v>2038344.1716106194</v>
      </c>
      <c r="AK1286" s="28">
        <f t="shared" ref="AK1286:AK1349" si="392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3">IF(F1286="","",F1286&amp;G1286)</f>
        <v>20245</v>
      </c>
      <c r="AQ1286" s="28" t="str">
        <f t="shared" ref="AQ1286:AQ1349" si="394">IF(W1286="","",F1286&amp;G1286&amp;W1286)</f>
        <v>20245JPY</v>
      </c>
      <c r="AR1286" s="206" t="str">
        <f t="shared" ref="AR1286:AR1349" si="395">IFERROR(IF(AND(M1286="YAMAHA", R1286="C28"), "YAMAHA_Non_Mounter", IF(AND(M1286="YAMAHA", R1286="C49"), "YAMAHA_Mounter", M1286)),"")</f>
        <v>YAMAHA_Mounter</v>
      </c>
      <c r="AS1286" s="22">
        <f t="shared" ref="AS1286:AS1349" si="396">IFERROR(IF(OR(G1286="TBA", G1286=""), "", DATEDIF(DATE(B1286, C1286, 1), DATE(F1286, G1286, 1), "M")),"")</f>
        <v>2</v>
      </c>
      <c r="AT1286" s="24" t="str">
        <f t="shared" ref="AT1286:AT1349" si="397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88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79"/>
        <v>688500</v>
      </c>
      <c r="AC1287" s="25">
        <f t="shared" si="390"/>
        <v>70089.3</v>
      </c>
      <c r="AD1287" s="22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83"/>
        <v>11472879.764601771</v>
      </c>
      <c r="AJ1287" s="27">
        <f t="shared" si="384"/>
        <v>2038344.1716106194</v>
      </c>
      <c r="AK1287" s="28">
        <f t="shared" si="392"/>
        <v>0.17766630640544948</v>
      </c>
      <c r="AL1287" s="24"/>
      <c r="AM1287" s="24"/>
      <c r="AN1287" s="24"/>
      <c r="AO1287" s="24"/>
      <c r="AP1287" s="28" t="str">
        <f t="shared" si="393"/>
        <v>20245</v>
      </c>
      <c r="AQ1287" s="28" t="str">
        <f t="shared" si="394"/>
        <v>20245JPY</v>
      </c>
      <c r="AR1287" s="206" t="str">
        <f t="shared" si="395"/>
        <v>YAMAHA_Mounter</v>
      </c>
      <c r="AS1287" s="22">
        <f t="shared" si="396"/>
        <v>2</v>
      </c>
      <c r="AT1287" s="24" t="str">
        <f t="shared" si="397"/>
        <v>0-3 months</v>
      </c>
      <c r="AU1287" s="22" t="s">
        <v>3240</v>
      </c>
    </row>
    <row r="1288" spans="1:47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88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79"/>
        <v>462059.99999999994</v>
      </c>
      <c r="AC1288" s="25">
        <f t="shared" si="390"/>
        <v>47037.707999999991</v>
      </c>
      <c r="AD1288" s="22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83"/>
        <v>11472879.764601771</v>
      </c>
      <c r="AJ1288" s="27">
        <f t="shared" si="384"/>
        <v>2038344.1716106194</v>
      </c>
      <c r="AK1288" s="28">
        <f t="shared" si="392"/>
        <v>0.17766630640544948</v>
      </c>
      <c r="AL1288" s="24"/>
      <c r="AM1288" s="24"/>
      <c r="AN1288" s="24"/>
      <c r="AO1288" s="24"/>
      <c r="AP1288" s="28" t="str">
        <f t="shared" si="393"/>
        <v>20245</v>
      </c>
      <c r="AQ1288" s="28" t="str">
        <f t="shared" si="394"/>
        <v>20245JPY</v>
      </c>
      <c r="AR1288" s="206" t="str">
        <f t="shared" si="395"/>
        <v>YAMAHA_Mounter</v>
      </c>
      <c r="AS1288" s="22">
        <f t="shared" si="396"/>
        <v>2</v>
      </c>
      <c r="AT1288" s="24" t="str">
        <f t="shared" si="397"/>
        <v>0-3 months</v>
      </c>
      <c r="AU1288" s="22" t="s">
        <v>3240</v>
      </c>
    </row>
    <row r="1289" spans="1:47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88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79"/>
        <v>462059.99999999994</v>
      </c>
      <c r="AC1289" s="25">
        <f t="shared" si="390"/>
        <v>47037.707999999991</v>
      </c>
      <c r="AD1289" s="22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83"/>
        <v>11472879.764601771</v>
      </c>
      <c r="AJ1289" s="27">
        <f t="shared" si="384"/>
        <v>2038344.1716106194</v>
      </c>
      <c r="AK1289" s="28">
        <f t="shared" si="392"/>
        <v>0.17766630640544948</v>
      </c>
      <c r="AL1289" s="24"/>
      <c r="AM1289" s="24"/>
      <c r="AN1289" s="24"/>
      <c r="AO1289" s="24"/>
      <c r="AP1289" s="28" t="str">
        <f t="shared" si="393"/>
        <v>20245</v>
      </c>
      <c r="AQ1289" s="28" t="str">
        <f t="shared" si="394"/>
        <v>20245JPY</v>
      </c>
      <c r="AR1289" s="206" t="str">
        <f t="shared" si="395"/>
        <v>YAMAHA_Mounter</v>
      </c>
      <c r="AS1289" s="22">
        <f t="shared" si="396"/>
        <v>2</v>
      </c>
      <c r="AT1289" s="24" t="str">
        <f t="shared" si="397"/>
        <v>0-3 months</v>
      </c>
      <c r="AU1289" s="22" t="s">
        <v>3240</v>
      </c>
    </row>
    <row r="1290" spans="1:47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88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89"/>
        <v>1</v>
      </c>
      <c r="Z1290" s="18">
        <f t="shared" ref="Z1290:Z1353" si="398">IF(X1290="","",X1290*MAX(O1290,N1290))</f>
        <v>11180000</v>
      </c>
      <c r="AA1290" s="13">
        <v>5.0999999999999997E-2</v>
      </c>
      <c r="AB1290" s="21">
        <f t="shared" si="379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83"/>
        <v>11472879.764601771</v>
      </c>
      <c r="AJ1290" s="27">
        <f t="shared" si="384"/>
        <v>2038344.1716106194</v>
      </c>
      <c r="AK1290" s="28">
        <f t="shared" si="392"/>
        <v>0.17766630640544948</v>
      </c>
      <c r="AL1290" s="24"/>
      <c r="AM1290" s="24"/>
      <c r="AN1290" s="24"/>
      <c r="AO1290" s="24"/>
      <c r="AP1290" s="28" t="str">
        <f t="shared" si="393"/>
        <v>20245</v>
      </c>
      <c r="AQ1290" s="28" t="str">
        <f t="shared" si="394"/>
        <v>20245JPY</v>
      </c>
      <c r="AR1290" s="206" t="str">
        <f t="shared" si="395"/>
        <v>YAMAHA_Mounter</v>
      </c>
      <c r="AS1290" s="22">
        <f t="shared" si="396"/>
        <v>2</v>
      </c>
      <c r="AT1290" s="24" t="str">
        <f t="shared" si="397"/>
        <v>0-3 months</v>
      </c>
      <c r="AU1290" s="22" t="s">
        <v>3745</v>
      </c>
    </row>
    <row r="1291" spans="1:47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88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89"/>
        <v>1</v>
      </c>
      <c r="Z1291" s="18">
        <f t="shared" si="398"/>
        <v>11180000</v>
      </c>
      <c r="AA1291" s="13">
        <v>5.0999999999999997E-2</v>
      </c>
      <c r="AB1291" s="21">
        <f t="shared" si="379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83"/>
        <v>11472879.764601771</v>
      </c>
      <c r="AJ1291" s="27">
        <f t="shared" si="384"/>
        <v>2038344.1716106194</v>
      </c>
      <c r="AK1291" s="28">
        <f t="shared" si="392"/>
        <v>0.17766630640544948</v>
      </c>
      <c r="AL1291" s="24"/>
      <c r="AM1291" s="24"/>
      <c r="AN1291" s="24"/>
      <c r="AO1291" s="24"/>
      <c r="AP1291" s="28" t="str">
        <f t="shared" si="393"/>
        <v>20245</v>
      </c>
      <c r="AQ1291" s="28" t="str">
        <f t="shared" si="394"/>
        <v>20245JPY</v>
      </c>
      <c r="AR1291" s="206" t="str">
        <f t="shared" si="395"/>
        <v>YAMAHA_Mounter</v>
      </c>
      <c r="AS1291" s="22">
        <f t="shared" si="396"/>
        <v>2</v>
      </c>
      <c r="AT1291" s="24" t="str">
        <f t="shared" si="397"/>
        <v>0-3 months</v>
      </c>
      <c r="AU1291" s="22" t="s">
        <v>3745</v>
      </c>
    </row>
    <row r="1292" spans="1:47" s="12" customFormat="1">
      <c r="A1292" s="33" t="str">
        <f t="shared" si="385"/>
        <v>cancel</v>
      </c>
      <c r="B1292" s="152"/>
      <c r="C1292" s="152" t="s">
        <v>185</v>
      </c>
      <c r="D1292" s="33" t="str">
        <f t="shared" si="386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87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88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398"/>
        <v>1360000</v>
      </c>
      <c r="AA1292" s="13">
        <v>1.1100000000000001</v>
      </c>
      <c r="AB1292" s="21">
        <f t="shared" si="379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83"/>
        <v>499582152.5142017</v>
      </c>
      <c r="AJ1292" s="19">
        <f t="shared" si="384"/>
        <v>59520528.679470733</v>
      </c>
      <c r="AK1292" s="20">
        <f t="shared" si="392"/>
        <v>0.11914062257814291</v>
      </c>
      <c r="AL1292" s="17"/>
      <c r="AM1292" s="17"/>
      <c r="AN1292" s="17"/>
      <c r="AO1292" s="17"/>
      <c r="AP1292" s="28" t="str">
        <f t="shared" si="393"/>
        <v>CancelCancel</v>
      </c>
      <c r="AQ1292" s="28" t="str">
        <f t="shared" si="394"/>
        <v>CancelCancelRMB</v>
      </c>
      <c r="AR1292" s="206" t="str">
        <f t="shared" si="395"/>
        <v>YAMAHA_Mounter</v>
      </c>
      <c r="AS1292" s="22" t="str">
        <f t="shared" si="396"/>
        <v/>
      </c>
      <c r="AT1292" s="24" t="str">
        <f t="shared" si="397"/>
        <v/>
      </c>
      <c r="AU1292" s="22" t="s">
        <v>3743</v>
      </c>
    </row>
    <row r="1293" spans="1:47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88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398"/>
        <v>100000</v>
      </c>
      <c r="AA1293" s="22">
        <v>7.8</v>
      </c>
      <c r="AB1293" s="21">
        <f t="shared" si="379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83"/>
        <v>21241742.157380536</v>
      </c>
      <c r="AJ1293" s="27">
        <f t="shared" si="384"/>
        <v>2987081.1613773629</v>
      </c>
      <c r="AK1293" s="28">
        <f t="shared" si="392"/>
        <v>0.14062317201884914</v>
      </c>
      <c r="AL1293" s="24"/>
      <c r="AM1293" s="24"/>
      <c r="AN1293" s="24"/>
      <c r="AO1293" s="24"/>
      <c r="AP1293" s="28" t="str">
        <f t="shared" si="393"/>
        <v>20243</v>
      </c>
      <c r="AQ1293" s="28" t="str">
        <f t="shared" si="394"/>
        <v>20243USD</v>
      </c>
      <c r="AR1293" s="206" t="str">
        <f t="shared" si="395"/>
        <v>YAMAHA_Mounter</v>
      </c>
      <c r="AS1293" s="22">
        <f t="shared" si="396"/>
        <v>2</v>
      </c>
      <c r="AT1293" s="24" t="str">
        <f t="shared" si="397"/>
        <v>0-3 months</v>
      </c>
      <c r="AU1293" s="22" t="s">
        <v>3745</v>
      </c>
    </row>
    <row r="1294" spans="1:47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88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398"/>
        <v>88000</v>
      </c>
      <c r="AA1294" s="22">
        <v>7.8</v>
      </c>
      <c r="AB1294" s="21">
        <f t="shared" si="379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83"/>
        <v>21241742.157380536</v>
      </c>
      <c r="AJ1294" s="27">
        <f t="shared" si="384"/>
        <v>2987081.1613773629</v>
      </c>
      <c r="AK1294" s="28">
        <f t="shared" si="392"/>
        <v>0.14062317201884914</v>
      </c>
      <c r="AL1294" s="24"/>
      <c r="AM1294" s="24"/>
      <c r="AN1294" s="24"/>
      <c r="AO1294" s="24"/>
      <c r="AP1294" s="28" t="str">
        <f t="shared" si="393"/>
        <v>20243</v>
      </c>
      <c r="AQ1294" s="28" t="str">
        <f t="shared" si="394"/>
        <v>20243USD</v>
      </c>
      <c r="AR1294" s="206" t="str">
        <f t="shared" si="395"/>
        <v>YAMAHA_Mounter</v>
      </c>
      <c r="AS1294" s="22">
        <f t="shared" si="396"/>
        <v>2</v>
      </c>
      <c r="AT1294" s="24" t="str">
        <f t="shared" si="397"/>
        <v>0-3 months</v>
      </c>
      <c r="AU1294" s="22" t="s">
        <v>3745</v>
      </c>
    </row>
    <row r="1295" spans="1:47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88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398"/>
        <v>11180000</v>
      </c>
      <c r="AA1295" s="13">
        <v>5.0999999999999997E-2</v>
      </c>
      <c r="AB1295" s="21">
        <f t="shared" si="379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83"/>
        <v>11472879.764601771</v>
      </c>
      <c r="AJ1295" s="27">
        <f t="shared" si="384"/>
        <v>2038344.1716106194</v>
      </c>
      <c r="AK1295" s="28">
        <f t="shared" si="392"/>
        <v>0.17766630640544948</v>
      </c>
      <c r="AL1295" s="24"/>
      <c r="AM1295" s="24"/>
      <c r="AN1295" s="24"/>
      <c r="AO1295" s="24"/>
      <c r="AP1295" s="28" t="str">
        <f t="shared" si="393"/>
        <v>20245</v>
      </c>
      <c r="AQ1295" s="28" t="str">
        <f t="shared" si="394"/>
        <v>20245JPY</v>
      </c>
      <c r="AR1295" s="206" t="str">
        <f t="shared" si="395"/>
        <v>YAMAHA_Mounter</v>
      </c>
      <c r="AS1295" s="22">
        <f t="shared" si="396"/>
        <v>2</v>
      </c>
      <c r="AT1295" s="24" t="str">
        <f t="shared" si="397"/>
        <v>0-3 months</v>
      </c>
      <c r="AU1295" s="22" t="s">
        <v>3745</v>
      </c>
    </row>
    <row r="1296" spans="1:47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87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88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398"/>
        <v>1050000</v>
      </c>
      <c r="AA1296" s="22">
        <v>1.083</v>
      </c>
      <c r="AB1296" s="21">
        <f t="shared" si="379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83"/>
        <v>499582152.5142017</v>
      </c>
      <c r="AJ1296" s="19">
        <f t="shared" si="384"/>
        <v>59520528.679470733</v>
      </c>
      <c r="AK1296" s="20">
        <f t="shared" si="392"/>
        <v>0.11914062257814291</v>
      </c>
      <c r="AL1296" s="17"/>
      <c r="AM1296" s="17"/>
      <c r="AN1296" s="17"/>
      <c r="AO1296" s="17"/>
      <c r="AP1296" s="28" t="str">
        <f t="shared" si="393"/>
        <v>CancelCancel</v>
      </c>
      <c r="AQ1296" s="28" t="str">
        <f t="shared" si="394"/>
        <v>CancelCancelRMB</v>
      </c>
      <c r="AR1296" s="206" t="str">
        <f t="shared" si="395"/>
        <v>YAMAHA_Mounter</v>
      </c>
      <c r="AS1296" s="22" t="str">
        <f t="shared" si="396"/>
        <v/>
      </c>
      <c r="AT1296" s="24" t="str">
        <f t="shared" si="397"/>
        <v/>
      </c>
      <c r="AU1296" s="22" t="s">
        <v>3240</v>
      </c>
    </row>
    <row r="1297" spans="1:47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88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398"/>
        <v>800000</v>
      </c>
      <c r="AA1297" s="13">
        <v>1.135</v>
      </c>
      <c r="AB1297" s="21">
        <f t="shared" si="379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83"/>
        <v>28177779.013274338</v>
      </c>
      <c r="AJ1297" s="19">
        <f t="shared" si="384"/>
        <v>4727216.6376190251</v>
      </c>
      <c r="AK1297" s="20">
        <f t="shared" si="392"/>
        <v>0.1677639900359808</v>
      </c>
      <c r="AL1297" s="17"/>
      <c r="AM1297" s="17"/>
      <c r="AN1297" s="17"/>
      <c r="AO1297" s="17"/>
      <c r="AP1297" s="28" t="str">
        <f t="shared" si="393"/>
        <v>20235</v>
      </c>
      <c r="AQ1297" s="28" t="str">
        <f t="shared" si="394"/>
        <v>20235RMB</v>
      </c>
      <c r="AR1297" s="206" t="str">
        <f t="shared" si="395"/>
        <v>YAMAHA_Mounter</v>
      </c>
      <c r="AS1297" s="22">
        <f t="shared" si="396"/>
        <v>1</v>
      </c>
      <c r="AT1297" s="24" t="str">
        <f t="shared" si="397"/>
        <v>0-3 months</v>
      </c>
      <c r="AU1297" s="22" t="s">
        <v>3750</v>
      </c>
    </row>
    <row r="1298" spans="1:47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88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398"/>
        <v>1120000</v>
      </c>
      <c r="AA1298" s="13">
        <v>1.135</v>
      </c>
      <c r="AB1298" s="21">
        <f t="shared" si="379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83"/>
        <v>28177779.013274338</v>
      </c>
      <c r="AJ1298" s="19">
        <f t="shared" si="384"/>
        <v>4727216.6376190251</v>
      </c>
      <c r="AK1298" s="20">
        <f t="shared" si="392"/>
        <v>0.1677639900359808</v>
      </c>
      <c r="AL1298" s="17"/>
      <c r="AM1298" s="17"/>
      <c r="AN1298" s="17"/>
      <c r="AO1298" s="17"/>
      <c r="AP1298" s="28" t="str">
        <f t="shared" si="393"/>
        <v>20235</v>
      </c>
      <c r="AQ1298" s="28" t="str">
        <f t="shared" si="394"/>
        <v>20235RMB</v>
      </c>
      <c r="AR1298" s="206" t="str">
        <f t="shared" si="395"/>
        <v>YAMAHA_Mounter</v>
      </c>
      <c r="AS1298" s="22">
        <f t="shared" si="396"/>
        <v>1</v>
      </c>
      <c r="AT1298" s="24" t="str">
        <f t="shared" si="397"/>
        <v>0-3 months</v>
      </c>
      <c r="AU1298" s="22" t="s">
        <v>3750</v>
      </c>
    </row>
    <row r="1299" spans="1:47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88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398"/>
        <v>9116260</v>
      </c>
      <c r="AA1299" s="13">
        <v>7.22E-2</v>
      </c>
      <c r="AB1299" s="21">
        <f t="shared" si="379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83"/>
        <v>29946107.503386207</v>
      </c>
      <c r="AJ1299" s="19">
        <f t="shared" si="384"/>
        <v>3987206.4954923098</v>
      </c>
      <c r="AK1299" s="20">
        <f t="shared" si="392"/>
        <v>0.13314606898547499</v>
      </c>
      <c r="AL1299" s="17"/>
      <c r="AM1299" s="17"/>
      <c r="AN1299" s="17"/>
      <c r="AO1299" s="17"/>
      <c r="AP1299" s="28" t="str">
        <f t="shared" si="393"/>
        <v>20187</v>
      </c>
      <c r="AQ1299" s="28" t="str">
        <f t="shared" si="394"/>
        <v>20187JPY</v>
      </c>
      <c r="AR1299" s="206" t="str">
        <f t="shared" si="395"/>
        <v>YAMAHA_Mounter</v>
      </c>
      <c r="AS1299" s="22">
        <f t="shared" si="396"/>
        <v>1</v>
      </c>
      <c r="AT1299" s="24" t="str">
        <f t="shared" si="397"/>
        <v>0-3 months</v>
      </c>
      <c r="AU1299" s="22" t="s">
        <v>3744</v>
      </c>
    </row>
    <row r="1300" spans="1:47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88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398"/>
        <v>1000000</v>
      </c>
      <c r="AA1300" s="13">
        <v>1.135</v>
      </c>
      <c r="AB1300" s="21">
        <f t="shared" si="379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83"/>
        <v>34015877.71150443</v>
      </c>
      <c r="AJ1300" s="19">
        <f t="shared" si="384"/>
        <v>4446292.375441948</v>
      </c>
      <c r="AK1300" s="20">
        <f t="shared" si="392"/>
        <v>0.13071226364205143</v>
      </c>
      <c r="AL1300" s="17"/>
      <c r="AM1300" s="17"/>
      <c r="AN1300" s="17"/>
      <c r="AO1300" s="17"/>
      <c r="AP1300" s="28" t="str">
        <f t="shared" si="393"/>
        <v>20197</v>
      </c>
      <c r="AQ1300" s="28" t="str">
        <f t="shared" si="394"/>
        <v>20197RMB</v>
      </c>
      <c r="AR1300" s="206" t="str">
        <f t="shared" si="395"/>
        <v>YAMAHA_Mounter</v>
      </c>
      <c r="AS1300" s="22">
        <f t="shared" si="396"/>
        <v>1</v>
      </c>
      <c r="AT1300" s="24" t="str">
        <f t="shared" si="397"/>
        <v>0-3 months</v>
      </c>
      <c r="AU1300" s="22" t="s">
        <v>3743</v>
      </c>
    </row>
    <row r="1301" spans="1:47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88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398"/>
        <v>730000</v>
      </c>
      <c r="AA1301" s="13">
        <v>1.135</v>
      </c>
      <c r="AB1301" s="21">
        <f t="shared" si="379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83"/>
        <v>34015877.71150443</v>
      </c>
      <c r="AJ1301" s="19">
        <f t="shared" si="384"/>
        <v>4446292.375441948</v>
      </c>
      <c r="AK1301" s="20">
        <f t="shared" si="392"/>
        <v>0.13071226364205143</v>
      </c>
      <c r="AL1301" s="17"/>
      <c r="AM1301" s="17"/>
      <c r="AN1301" s="17"/>
      <c r="AO1301" s="17"/>
      <c r="AP1301" s="28" t="str">
        <f t="shared" si="393"/>
        <v>20197</v>
      </c>
      <c r="AQ1301" s="28" t="str">
        <f t="shared" si="394"/>
        <v>20197RMB</v>
      </c>
      <c r="AR1301" s="206" t="str">
        <f t="shared" si="395"/>
        <v>YAMAHA_Mounter</v>
      </c>
      <c r="AS1301" s="22">
        <f t="shared" si="396"/>
        <v>1</v>
      </c>
      <c r="AT1301" s="24" t="str">
        <f t="shared" si="397"/>
        <v>0-3 months</v>
      </c>
      <c r="AU1301" s="22" t="s">
        <v>3743</v>
      </c>
    </row>
    <row r="1302" spans="1:47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88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398"/>
        <v>950000</v>
      </c>
      <c r="AA1302" s="13">
        <v>1.155</v>
      </c>
      <c r="AB1302" s="21">
        <f t="shared" si="379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83"/>
        <v>44078731.611185849</v>
      </c>
      <c r="AJ1302" s="19">
        <f t="shared" si="384"/>
        <v>5508173.2163771465</v>
      </c>
      <c r="AK1302" s="20">
        <f t="shared" si="392"/>
        <v>0.12496215328889679</v>
      </c>
      <c r="AL1302" s="17"/>
      <c r="AM1302" s="17"/>
      <c r="AN1302" s="17"/>
      <c r="AO1302" s="17"/>
      <c r="AP1302" s="28" t="str">
        <f t="shared" si="393"/>
        <v>202011</v>
      </c>
      <c r="AQ1302" s="28" t="str">
        <f t="shared" si="394"/>
        <v>202011RMB</v>
      </c>
      <c r="AR1302" s="206" t="str">
        <f t="shared" si="395"/>
        <v>YAMAHA_Mounter</v>
      </c>
      <c r="AS1302" s="22">
        <f t="shared" si="396"/>
        <v>3</v>
      </c>
      <c r="AT1302" s="24" t="str">
        <f t="shared" si="397"/>
        <v>0-3 months</v>
      </c>
      <c r="AU1302" s="22" t="s">
        <v>3743</v>
      </c>
    </row>
    <row r="1303" spans="1:47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88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398"/>
        <v>650000</v>
      </c>
      <c r="AA1303" s="13">
        <v>1.155</v>
      </c>
      <c r="AB1303" s="21">
        <f t="shared" si="379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83"/>
        <v>44078731.611185849</v>
      </c>
      <c r="AJ1303" s="19">
        <f t="shared" si="384"/>
        <v>5508173.2163771465</v>
      </c>
      <c r="AK1303" s="20">
        <f t="shared" si="392"/>
        <v>0.12496215328889679</v>
      </c>
      <c r="AL1303" s="17"/>
      <c r="AM1303" s="17"/>
      <c r="AN1303" s="17"/>
      <c r="AO1303" s="17"/>
      <c r="AP1303" s="28" t="str">
        <f t="shared" si="393"/>
        <v>202011</v>
      </c>
      <c r="AQ1303" s="28" t="str">
        <f t="shared" si="394"/>
        <v>202011RMB</v>
      </c>
      <c r="AR1303" s="206" t="str">
        <f t="shared" si="395"/>
        <v>YAMAHA_Mounter</v>
      </c>
      <c r="AS1303" s="22">
        <f t="shared" si="396"/>
        <v>3</v>
      </c>
      <c r="AT1303" s="24" t="str">
        <f t="shared" si="397"/>
        <v>0-3 months</v>
      </c>
      <c r="AU1303" s="22" t="s">
        <v>3743</v>
      </c>
    </row>
    <row r="1304" spans="1:47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88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398"/>
        <v>11600000</v>
      </c>
      <c r="AA1304" s="13">
        <v>5.0999999999999997E-2</v>
      </c>
      <c r="AB1304" s="21">
        <f t="shared" si="379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83"/>
        <v>11472879.764601771</v>
      </c>
      <c r="AJ1304" s="27">
        <f t="shared" si="384"/>
        <v>2038344.1716106194</v>
      </c>
      <c r="AK1304" s="28">
        <f t="shared" si="392"/>
        <v>0.17766630640544948</v>
      </c>
      <c r="AL1304" s="24"/>
      <c r="AM1304" s="24"/>
      <c r="AN1304" s="24"/>
      <c r="AO1304" s="24"/>
      <c r="AP1304" s="28" t="str">
        <f t="shared" si="393"/>
        <v>20245</v>
      </c>
      <c r="AQ1304" s="28" t="str">
        <f t="shared" si="394"/>
        <v>20245JPY</v>
      </c>
      <c r="AR1304" s="206" t="str">
        <f t="shared" si="395"/>
        <v>YAMAHA_Non_Mounter</v>
      </c>
      <c r="AS1304" s="22">
        <f t="shared" si="396"/>
        <v>2</v>
      </c>
      <c r="AT1304" s="24" t="str">
        <f t="shared" si="397"/>
        <v>0-3 months</v>
      </c>
      <c r="AU1304" s="22" t="s">
        <v>3745</v>
      </c>
    </row>
    <row r="1305" spans="1:47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88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398"/>
        <v>51000</v>
      </c>
      <c r="AA1305" s="22">
        <v>7.8</v>
      </c>
      <c r="AB1305" s="21">
        <f t="shared" si="379"/>
        <v>397800</v>
      </c>
      <c r="AC1305" s="25">
        <f t="shared" si="390"/>
        <v>87913.8</v>
      </c>
      <c r="AD1305" s="22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83"/>
        <v>11472879.764601771</v>
      </c>
      <c r="AJ1305" s="27">
        <f t="shared" si="384"/>
        <v>2038344.1716106194</v>
      </c>
      <c r="AK1305" s="28">
        <f t="shared" si="392"/>
        <v>0.17766630640544948</v>
      </c>
      <c r="AL1305" s="24"/>
      <c r="AM1305" s="24"/>
      <c r="AN1305" s="24"/>
      <c r="AO1305" s="24"/>
      <c r="AP1305" s="28" t="str">
        <f t="shared" si="393"/>
        <v>20245</v>
      </c>
      <c r="AQ1305" s="28" t="str">
        <f t="shared" si="394"/>
        <v>20245USD</v>
      </c>
      <c r="AR1305" s="206" t="str">
        <f t="shared" si="395"/>
        <v>PEMTRON</v>
      </c>
      <c r="AS1305" s="22">
        <f t="shared" si="396"/>
        <v>2</v>
      </c>
      <c r="AT1305" s="24" t="str">
        <f t="shared" si="397"/>
        <v>0-3 months</v>
      </c>
      <c r="AU1305" s="22" t="s">
        <v>3745</v>
      </c>
    </row>
    <row r="1306" spans="1:47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88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398"/>
        <v>730000</v>
      </c>
      <c r="AA1306" s="13">
        <v>1.07</v>
      </c>
      <c r="AB1306" s="21">
        <f t="shared" si="379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83"/>
        <v>5219988.5752212387</v>
      </c>
      <c r="AJ1306" s="19">
        <f t="shared" si="384"/>
        <v>631627.0013460177</v>
      </c>
      <c r="AK1306" s="20">
        <f t="shared" si="392"/>
        <v>0.12100160608478869</v>
      </c>
      <c r="AL1306" s="17"/>
      <c r="AM1306" s="17"/>
      <c r="AN1306" s="17"/>
      <c r="AO1306" s="17"/>
      <c r="AP1306" s="28" t="str">
        <f t="shared" si="393"/>
        <v>202310</v>
      </c>
      <c r="AQ1306" s="28" t="str">
        <f t="shared" si="394"/>
        <v>202310RMB</v>
      </c>
      <c r="AR1306" s="206" t="str">
        <f t="shared" si="395"/>
        <v>YAMAHA_Mounter</v>
      </c>
      <c r="AS1306" s="22">
        <f t="shared" si="396"/>
        <v>1</v>
      </c>
      <c r="AT1306" s="24" t="str">
        <f t="shared" si="397"/>
        <v>0-3 months</v>
      </c>
      <c r="AU1306" s="22" t="s">
        <v>3750</v>
      </c>
    </row>
    <row r="1307" spans="1:47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88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398"/>
        <v>850000</v>
      </c>
      <c r="AA1307" s="13">
        <v>1.175</v>
      </c>
      <c r="AB1307" s="21">
        <f t="shared" ref="AB1307:AB1362" si="399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83"/>
        <v>35682787.057522126</v>
      </c>
      <c r="AJ1307" s="19">
        <f t="shared" si="384"/>
        <v>5833368.3789623892</v>
      </c>
      <c r="AK1307" s="20">
        <f t="shared" si="392"/>
        <v>0.16347849649632912</v>
      </c>
      <c r="AL1307" s="17"/>
      <c r="AM1307" s="17"/>
      <c r="AN1307" s="17"/>
      <c r="AO1307" s="17"/>
      <c r="AP1307" s="28" t="str">
        <f t="shared" si="393"/>
        <v>20226</v>
      </c>
      <c r="AQ1307" s="28" t="str">
        <f t="shared" si="394"/>
        <v>20226RMB</v>
      </c>
      <c r="AR1307" s="206" t="str">
        <f t="shared" si="395"/>
        <v>YAMAHA_Mounter</v>
      </c>
      <c r="AS1307" s="22">
        <f t="shared" si="396"/>
        <v>3</v>
      </c>
      <c r="AT1307" s="24" t="str">
        <f t="shared" si="397"/>
        <v>0-3 months</v>
      </c>
      <c r="AU1307" s="22" t="s">
        <v>3750</v>
      </c>
    </row>
    <row r="1308" spans="1:47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88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398"/>
        <v>520000</v>
      </c>
      <c r="AA1308" s="13">
        <v>1.1299999999999999</v>
      </c>
      <c r="AB1308" s="21">
        <f t="shared" si="399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83"/>
        <v>33543315.897345133</v>
      </c>
      <c r="AJ1308" s="19">
        <f t="shared" si="384"/>
        <v>4706169.3252984071</v>
      </c>
      <c r="AK1308" s="20">
        <f t="shared" si="392"/>
        <v>0.14030125523967318</v>
      </c>
      <c r="AL1308" s="17"/>
      <c r="AM1308" s="17"/>
      <c r="AN1308" s="17"/>
      <c r="AO1308" s="17"/>
      <c r="AP1308" s="28" t="str">
        <f t="shared" si="393"/>
        <v>20233</v>
      </c>
      <c r="AQ1308" s="28" t="str">
        <f t="shared" si="394"/>
        <v>20233RMB</v>
      </c>
      <c r="AR1308" s="206" t="str">
        <f t="shared" si="395"/>
        <v>YAMAHA_Mounter</v>
      </c>
      <c r="AS1308" s="22">
        <f t="shared" si="396"/>
        <v>1</v>
      </c>
      <c r="AT1308" s="24" t="str">
        <f t="shared" si="397"/>
        <v>0-3 months</v>
      </c>
      <c r="AU1308" s="22" t="s">
        <v>3750</v>
      </c>
    </row>
    <row r="1309" spans="1:47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88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398"/>
        <v>714000</v>
      </c>
      <c r="AA1309" s="13">
        <v>1.1399999999999999</v>
      </c>
      <c r="AB1309" s="21">
        <f t="shared" si="399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83"/>
        <v>30573205.452778768</v>
      </c>
      <c r="AJ1309" s="19">
        <f t="shared" si="384"/>
        <v>3790930.1683151261</v>
      </c>
      <c r="AK1309" s="20">
        <f t="shared" si="392"/>
        <v>0.12399518179964254</v>
      </c>
      <c r="AL1309" s="17"/>
      <c r="AM1309" s="17"/>
      <c r="AN1309" s="17"/>
      <c r="AO1309" s="17"/>
      <c r="AP1309" s="28" t="str">
        <f t="shared" si="393"/>
        <v>20234</v>
      </c>
      <c r="AQ1309" s="28" t="str">
        <f t="shared" si="394"/>
        <v>20234RMB</v>
      </c>
      <c r="AR1309" s="206" t="str">
        <f t="shared" si="395"/>
        <v>YAMAHA_Mounter</v>
      </c>
      <c r="AS1309" s="22">
        <f t="shared" si="396"/>
        <v>0</v>
      </c>
      <c r="AT1309" s="24" t="str">
        <f t="shared" si="397"/>
        <v>0-3 months</v>
      </c>
      <c r="AU1309" s="22" t="s">
        <v>3750</v>
      </c>
    </row>
    <row r="1310" spans="1:47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88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398"/>
        <v>714000</v>
      </c>
      <c r="AA1310" s="13">
        <v>1.1399999999999999</v>
      </c>
      <c r="AB1310" s="21">
        <f t="shared" si="399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83"/>
        <v>30573205.452778768</v>
      </c>
      <c r="AJ1310" s="19">
        <f t="shared" si="384"/>
        <v>3790930.1683151261</v>
      </c>
      <c r="AK1310" s="20">
        <f t="shared" si="392"/>
        <v>0.12399518179964254</v>
      </c>
      <c r="AL1310" s="17"/>
      <c r="AM1310" s="17"/>
      <c r="AN1310" s="17"/>
      <c r="AO1310" s="17"/>
      <c r="AP1310" s="28" t="str">
        <f t="shared" si="393"/>
        <v>20234</v>
      </c>
      <c r="AQ1310" s="28" t="str">
        <f t="shared" si="394"/>
        <v>20234RMB</v>
      </c>
      <c r="AR1310" s="206" t="str">
        <f t="shared" si="395"/>
        <v>YAMAHA_Mounter</v>
      </c>
      <c r="AS1310" s="22">
        <f t="shared" si="396"/>
        <v>0</v>
      </c>
      <c r="AT1310" s="24" t="str">
        <f t="shared" si="397"/>
        <v>0-3 months</v>
      </c>
      <c r="AU1310" s="22" t="s">
        <v>3750</v>
      </c>
    </row>
    <row r="1311" spans="1:47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88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398"/>
        <v>11800000</v>
      </c>
      <c r="AA1311" s="22">
        <v>5.3100000000000001E-2</v>
      </c>
      <c r="AB1311" s="21">
        <f t="shared" si="399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83"/>
        <v>21241742.157380536</v>
      </c>
      <c r="AJ1311" s="27">
        <f t="shared" si="384"/>
        <v>2987081.1613773629</v>
      </c>
      <c r="AK1311" s="28">
        <f t="shared" si="392"/>
        <v>0.14062317201884914</v>
      </c>
      <c r="AL1311" s="24"/>
      <c r="AM1311" s="24"/>
      <c r="AN1311" s="24"/>
      <c r="AO1311" s="24"/>
      <c r="AP1311" s="28" t="str">
        <f t="shared" si="393"/>
        <v>20243</v>
      </c>
      <c r="AQ1311" s="28" t="str">
        <f t="shared" si="394"/>
        <v>20243JPY</v>
      </c>
      <c r="AR1311" s="206" t="str">
        <f t="shared" si="395"/>
        <v>YAMAHA_Mounter</v>
      </c>
      <c r="AS1311" s="22">
        <f t="shared" si="396"/>
        <v>0</v>
      </c>
      <c r="AT1311" s="24" t="str">
        <f t="shared" si="397"/>
        <v>0-3 months</v>
      </c>
      <c r="AU1311" s="22" t="s">
        <v>3744</v>
      </c>
    </row>
    <row r="1312" spans="1:47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88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398"/>
        <v>580000</v>
      </c>
      <c r="AA1312" s="13">
        <v>1.105</v>
      </c>
      <c r="AB1312" s="21">
        <f t="shared" si="399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83"/>
        <v>37969334.083628319</v>
      </c>
      <c r="AJ1312" s="19">
        <f t="shared" si="384"/>
        <v>5097226.4551657084</v>
      </c>
      <c r="AK1312" s="20">
        <f t="shared" si="392"/>
        <v>0.13424587441904964</v>
      </c>
      <c r="AL1312" s="17"/>
      <c r="AM1312" s="17"/>
      <c r="AN1312" s="17"/>
      <c r="AO1312" s="17"/>
      <c r="AP1312" s="28" t="str">
        <f t="shared" si="393"/>
        <v>20208</v>
      </c>
      <c r="AQ1312" s="28" t="str">
        <f t="shared" si="394"/>
        <v>20208RMB</v>
      </c>
      <c r="AR1312" s="206" t="str">
        <f t="shared" si="395"/>
        <v>YAMAHA_Mounter</v>
      </c>
      <c r="AS1312" s="22">
        <f t="shared" si="396"/>
        <v>4</v>
      </c>
      <c r="AT1312" s="24" t="str">
        <f t="shared" si="397"/>
        <v>4-6 months</v>
      </c>
      <c r="AU1312" s="22" t="s">
        <v>3743</v>
      </c>
    </row>
    <row r="1313" spans="1:47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88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398"/>
        <v>810000</v>
      </c>
      <c r="AA1313" s="13">
        <v>1.1950000000000001</v>
      </c>
      <c r="AB1313" s="21">
        <f t="shared" si="399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83"/>
        <v>44014086.982070789</v>
      </c>
      <c r="AJ1313" s="19">
        <f t="shared" si="384"/>
        <v>6419974.0221889298</v>
      </c>
      <c r="AK1313" s="20">
        <f t="shared" si="392"/>
        <v>0.14586180158193709</v>
      </c>
      <c r="AL1313" s="17"/>
      <c r="AM1313" s="17"/>
      <c r="AN1313" s="17"/>
      <c r="AO1313" s="17"/>
      <c r="AP1313" s="28" t="str">
        <f t="shared" si="393"/>
        <v>20225</v>
      </c>
      <c r="AQ1313" s="28" t="str">
        <f t="shared" si="394"/>
        <v>20225RMB</v>
      </c>
      <c r="AR1313" s="206" t="str">
        <f t="shared" si="395"/>
        <v>YAMAHA_Mounter</v>
      </c>
      <c r="AS1313" s="22">
        <f t="shared" si="396"/>
        <v>3</v>
      </c>
      <c r="AT1313" s="24" t="str">
        <f t="shared" si="397"/>
        <v>0-3 months</v>
      </c>
      <c r="AU1313" s="22" t="s">
        <v>3240</v>
      </c>
    </row>
    <row r="1314" spans="1:47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88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398"/>
        <v>750000</v>
      </c>
      <c r="AA1314" s="13">
        <v>1.1950000000000001</v>
      </c>
      <c r="AB1314" s="21">
        <f t="shared" si="399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83"/>
        <v>44014086.982070789</v>
      </c>
      <c r="AJ1314" s="19">
        <f t="shared" si="384"/>
        <v>6419974.0221889298</v>
      </c>
      <c r="AK1314" s="20">
        <f t="shared" si="392"/>
        <v>0.14586180158193709</v>
      </c>
      <c r="AL1314" s="17"/>
      <c r="AM1314" s="17"/>
      <c r="AN1314" s="17"/>
      <c r="AO1314" s="17"/>
      <c r="AP1314" s="28" t="str">
        <f t="shared" si="393"/>
        <v>20225</v>
      </c>
      <c r="AQ1314" s="28" t="str">
        <f t="shared" si="394"/>
        <v>20225RMB</v>
      </c>
      <c r="AR1314" s="206" t="str">
        <f t="shared" si="395"/>
        <v>YAMAHA_Mounter</v>
      </c>
      <c r="AS1314" s="22">
        <f t="shared" si="396"/>
        <v>0</v>
      </c>
      <c r="AT1314" s="24" t="str">
        <f t="shared" si="397"/>
        <v>0-3 months</v>
      </c>
      <c r="AU1314" s="22" t="s">
        <v>3240</v>
      </c>
    </row>
    <row r="1315" spans="1:47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88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398"/>
        <v>750000</v>
      </c>
      <c r="AA1315" s="13">
        <v>1.1399999999999999</v>
      </c>
      <c r="AB1315" s="21">
        <f t="shared" si="399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83"/>
        <v>30573205.452778768</v>
      </c>
      <c r="AJ1315" s="19">
        <f t="shared" si="384"/>
        <v>3790930.1683151261</v>
      </c>
      <c r="AK1315" s="20">
        <f t="shared" si="392"/>
        <v>0.12399518179964254</v>
      </c>
      <c r="AL1315" s="17"/>
      <c r="AM1315" s="17"/>
      <c r="AN1315" s="17"/>
      <c r="AO1315" s="17"/>
      <c r="AP1315" s="28" t="str">
        <f t="shared" si="393"/>
        <v>20234</v>
      </c>
      <c r="AQ1315" s="28" t="str">
        <f t="shared" si="394"/>
        <v>20234RMB</v>
      </c>
      <c r="AR1315" s="206" t="str">
        <f t="shared" si="395"/>
        <v>YAMAHA_Mounter</v>
      </c>
      <c r="AS1315" s="22">
        <f t="shared" si="396"/>
        <v>1</v>
      </c>
      <c r="AT1315" s="24" t="str">
        <f t="shared" si="397"/>
        <v>0-3 months</v>
      </c>
      <c r="AU1315" s="22" t="s">
        <v>3240</v>
      </c>
    </row>
    <row r="1316" spans="1:47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88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398"/>
        <v>21800000</v>
      </c>
      <c r="AA1316" s="13">
        <v>6.9199999999999998E-2</v>
      </c>
      <c r="AB1316" s="21">
        <f t="shared" si="399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83"/>
        <v>28726768.133805312</v>
      </c>
      <c r="AJ1316" s="19">
        <f t="shared" si="384"/>
        <v>3853638.1988864429</v>
      </c>
      <c r="AK1316" s="20">
        <f t="shared" si="392"/>
        <v>0.1341479898099476</v>
      </c>
      <c r="AL1316" s="17"/>
      <c r="AM1316" s="17"/>
      <c r="AN1316" s="17"/>
      <c r="AO1316" s="17"/>
      <c r="AP1316" s="28" t="str">
        <f t="shared" si="393"/>
        <v>20223</v>
      </c>
      <c r="AQ1316" s="28" t="str">
        <f t="shared" si="394"/>
        <v>20223JPY</v>
      </c>
      <c r="AR1316" s="206" t="str">
        <f t="shared" si="395"/>
        <v>YAMAHA_Mounter</v>
      </c>
      <c r="AS1316" s="22">
        <f t="shared" si="396"/>
        <v>7</v>
      </c>
      <c r="AT1316" s="24" t="str">
        <f t="shared" si="397"/>
        <v>&gt; 6 months</v>
      </c>
      <c r="AU1316" s="22" t="s">
        <v>3744</v>
      </c>
    </row>
    <row r="1317" spans="1:47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88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398"/>
        <v>21800000</v>
      </c>
      <c r="AA1317" s="13">
        <v>6.9199999999999998E-2</v>
      </c>
      <c r="AB1317" s="21">
        <f t="shared" si="399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83"/>
        <v>28726768.133805312</v>
      </c>
      <c r="AJ1317" s="19">
        <f t="shared" si="384"/>
        <v>3853638.1988864429</v>
      </c>
      <c r="AK1317" s="20">
        <f t="shared" si="392"/>
        <v>0.1341479898099476</v>
      </c>
      <c r="AL1317" s="17"/>
      <c r="AM1317" s="17"/>
      <c r="AN1317" s="17"/>
      <c r="AO1317" s="17"/>
      <c r="AP1317" s="28" t="str">
        <f t="shared" si="393"/>
        <v>20223</v>
      </c>
      <c r="AQ1317" s="28" t="str">
        <f t="shared" si="394"/>
        <v>20223JPY</v>
      </c>
      <c r="AR1317" s="206" t="str">
        <f t="shared" si="395"/>
        <v>YAMAHA_Mounter</v>
      </c>
      <c r="AS1317" s="22">
        <f t="shared" si="396"/>
        <v>7</v>
      </c>
      <c r="AT1317" s="24" t="str">
        <f t="shared" si="397"/>
        <v>&gt; 6 months</v>
      </c>
      <c r="AU1317" s="22" t="s">
        <v>3744</v>
      </c>
    </row>
    <row r="1318" spans="1:47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88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398"/>
        <v>78000</v>
      </c>
      <c r="AA1318" s="22">
        <v>7.8</v>
      </c>
      <c r="AB1318" s="21">
        <f t="shared" si="399"/>
        <v>608400</v>
      </c>
      <c r="AC1318" s="25">
        <f t="shared" si="390"/>
        <v>193106.16</v>
      </c>
      <c r="AD1318" s="22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83"/>
        <v>11472879.764601771</v>
      </c>
      <c r="AJ1318" s="27">
        <f t="shared" si="384"/>
        <v>2038344.1716106194</v>
      </c>
      <c r="AK1318" s="28">
        <f t="shared" si="392"/>
        <v>0.17766630640544948</v>
      </c>
      <c r="AL1318" s="24"/>
      <c r="AM1318" s="24"/>
      <c r="AN1318" s="24"/>
      <c r="AO1318" s="24"/>
      <c r="AP1318" s="28" t="str">
        <f t="shared" si="393"/>
        <v>20245</v>
      </c>
      <c r="AQ1318" s="28" t="str">
        <f t="shared" si="394"/>
        <v>20245USD</v>
      </c>
      <c r="AR1318" s="206" t="str">
        <f t="shared" si="395"/>
        <v>HELLER</v>
      </c>
      <c r="AS1318" s="22">
        <f t="shared" si="396"/>
        <v>2</v>
      </c>
      <c r="AT1318" s="24" t="str">
        <f t="shared" si="397"/>
        <v>0-3 months</v>
      </c>
      <c r="AU1318" s="22" t="s">
        <v>3745</v>
      </c>
    </row>
    <row r="1319" spans="1:47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88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398"/>
        <v>1090000</v>
      </c>
      <c r="AA1319" s="13">
        <v>1.2</v>
      </c>
      <c r="AB1319" s="21">
        <f t="shared" si="399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83"/>
        <v>57778307.282035396</v>
      </c>
      <c r="AJ1319" s="19">
        <f t="shared" si="384"/>
        <v>7259860.7225420559</v>
      </c>
      <c r="AK1319" s="20">
        <f t="shared" si="392"/>
        <v>0.12565028406083667</v>
      </c>
      <c r="AL1319" s="17"/>
      <c r="AM1319" s="17"/>
      <c r="AN1319" s="17"/>
      <c r="AO1319" s="17"/>
      <c r="AP1319" s="28" t="str">
        <f t="shared" si="393"/>
        <v>20213</v>
      </c>
      <c r="AQ1319" s="28" t="str">
        <f t="shared" si="394"/>
        <v>20213RMB</v>
      </c>
      <c r="AR1319" s="206" t="str">
        <f t="shared" si="395"/>
        <v>YAMAHA_Mounter</v>
      </c>
      <c r="AS1319" s="22">
        <f t="shared" si="396"/>
        <v>3</v>
      </c>
      <c r="AT1319" s="24" t="str">
        <f t="shared" si="397"/>
        <v>0-3 months</v>
      </c>
      <c r="AU1319" s="22" t="s">
        <v>3240</v>
      </c>
    </row>
    <row r="1320" spans="1:47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88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398"/>
        <v>780000</v>
      </c>
      <c r="AA1320" s="13">
        <v>1.2</v>
      </c>
      <c r="AB1320" s="21">
        <f t="shared" si="399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83"/>
        <v>57778307.282035396</v>
      </c>
      <c r="AJ1320" s="19">
        <f t="shared" si="384"/>
        <v>7259860.7225420559</v>
      </c>
      <c r="AK1320" s="20">
        <f t="shared" si="392"/>
        <v>0.12565028406083667</v>
      </c>
      <c r="AL1320" s="17"/>
      <c r="AM1320" s="17"/>
      <c r="AN1320" s="17"/>
      <c r="AO1320" s="17"/>
      <c r="AP1320" s="28" t="str">
        <f t="shared" si="393"/>
        <v>20213</v>
      </c>
      <c r="AQ1320" s="28" t="str">
        <f t="shared" si="394"/>
        <v>20213RMB</v>
      </c>
      <c r="AR1320" s="206" t="str">
        <f t="shared" si="395"/>
        <v>YAMAHA_Mounter</v>
      </c>
      <c r="AS1320" s="22">
        <f t="shared" si="396"/>
        <v>3</v>
      </c>
      <c r="AT1320" s="24" t="str">
        <f t="shared" si="397"/>
        <v>0-3 months</v>
      </c>
      <c r="AU1320" s="22" t="s">
        <v>3240</v>
      </c>
    </row>
    <row r="1321" spans="1:47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88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398"/>
        <v>780000</v>
      </c>
      <c r="AA1321" s="13">
        <v>1.2</v>
      </c>
      <c r="AB1321" s="21">
        <f t="shared" si="399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83"/>
        <v>57778307.282035396</v>
      </c>
      <c r="AJ1321" s="19">
        <f t="shared" si="384"/>
        <v>7259860.7225420559</v>
      </c>
      <c r="AK1321" s="20">
        <f t="shared" si="392"/>
        <v>0.12565028406083667</v>
      </c>
      <c r="AL1321" s="17"/>
      <c r="AM1321" s="17"/>
      <c r="AN1321" s="17"/>
      <c r="AO1321" s="17"/>
      <c r="AP1321" s="28" t="str">
        <f t="shared" si="393"/>
        <v>20213</v>
      </c>
      <c r="AQ1321" s="28" t="str">
        <f t="shared" si="394"/>
        <v>20213RMB</v>
      </c>
      <c r="AR1321" s="206" t="str">
        <f t="shared" si="395"/>
        <v>YAMAHA_Mounter</v>
      </c>
      <c r="AS1321" s="22">
        <f t="shared" si="396"/>
        <v>3</v>
      </c>
      <c r="AT1321" s="24" t="str">
        <f t="shared" si="397"/>
        <v>0-3 months</v>
      </c>
      <c r="AU1321" s="22" t="s">
        <v>3240</v>
      </c>
    </row>
    <row r="1322" spans="1:47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88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398"/>
        <v>290000</v>
      </c>
      <c r="AA1322" s="22">
        <v>1</v>
      </c>
      <c r="AB1322" s="21">
        <f t="shared" si="399"/>
        <v>290000</v>
      </c>
      <c r="AC1322" s="25">
        <f t="shared" si="390"/>
        <v>142158</v>
      </c>
      <c r="AD1322" s="22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83"/>
        <v>11472879.764601771</v>
      </c>
      <c r="AJ1322" s="27">
        <f t="shared" si="384"/>
        <v>2038344.1716106194</v>
      </c>
      <c r="AK1322" s="28">
        <f t="shared" si="392"/>
        <v>0.17766630640544948</v>
      </c>
      <c r="AL1322" s="24"/>
      <c r="AM1322" s="24"/>
      <c r="AN1322" s="24"/>
      <c r="AO1322" s="24"/>
      <c r="AP1322" s="28" t="str">
        <f t="shared" si="393"/>
        <v>20245</v>
      </c>
      <c r="AQ1322" s="28" t="str">
        <f t="shared" si="394"/>
        <v>20245HKD</v>
      </c>
      <c r="AR1322" s="206" t="str">
        <f t="shared" si="395"/>
        <v>LOCAL SUPPLIER</v>
      </c>
      <c r="AS1322" s="22">
        <f t="shared" si="396"/>
        <v>2</v>
      </c>
      <c r="AT1322" s="24" t="str">
        <f t="shared" si="397"/>
        <v>0-3 months</v>
      </c>
      <c r="AU1322" s="22" t="s">
        <v>3745</v>
      </c>
    </row>
    <row r="1323" spans="1:47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88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400">IF(W1323="RMB","1.13", "1")</f>
        <v>1</v>
      </c>
      <c r="Z1323" s="18">
        <f t="shared" si="398"/>
        <v>11800000</v>
      </c>
      <c r="AA1323" s="13">
        <v>7.0999999999999994E-2</v>
      </c>
      <c r="AB1323" s="21">
        <f t="shared" si="399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83"/>
        <v>15533177.71460177</v>
      </c>
      <c r="AJ1323" s="19">
        <f t="shared" si="384"/>
        <v>1819298.5437526547</v>
      </c>
      <c r="AK1323" s="20">
        <f t="shared" si="392"/>
        <v>0.11712339723265033</v>
      </c>
      <c r="AL1323" s="17"/>
      <c r="AM1323" s="17"/>
      <c r="AN1323" s="17"/>
      <c r="AO1323" s="17"/>
      <c r="AP1323" s="28" t="str">
        <f t="shared" si="393"/>
        <v>202110</v>
      </c>
      <c r="AQ1323" s="28" t="str">
        <f t="shared" si="394"/>
        <v>202110JPY</v>
      </c>
      <c r="AR1323" s="206" t="str">
        <f t="shared" si="395"/>
        <v>YAMAHA_Mounter</v>
      </c>
      <c r="AS1323" s="22">
        <f t="shared" si="396"/>
        <v>7</v>
      </c>
      <c r="AT1323" s="24" t="str">
        <f t="shared" si="397"/>
        <v>&gt; 6 months</v>
      </c>
      <c r="AU1323" s="22" t="s">
        <v>3744</v>
      </c>
    </row>
    <row r="1324" spans="1:47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88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400"/>
        <v>1</v>
      </c>
      <c r="Z1324" s="18">
        <f t="shared" si="398"/>
        <v>13000000</v>
      </c>
      <c r="AA1324" s="13">
        <v>5.8700000000000002E-2</v>
      </c>
      <c r="AB1324" s="21">
        <f t="shared" si="399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83"/>
        <v>36480247.665929198</v>
      </c>
      <c r="AJ1324" s="19">
        <f t="shared" si="384"/>
        <v>5330996.6372757526</v>
      </c>
      <c r="AK1324" s="20">
        <f t="shared" si="392"/>
        <v>0.14613378412599562</v>
      </c>
      <c r="AL1324" s="17"/>
      <c r="AM1324" s="17"/>
      <c r="AN1324" s="17"/>
      <c r="AO1324" s="17"/>
      <c r="AP1324" s="28" t="str">
        <f t="shared" si="393"/>
        <v>20227</v>
      </c>
      <c r="AQ1324" s="28" t="str">
        <f t="shared" si="394"/>
        <v>20227JPY</v>
      </c>
      <c r="AR1324" s="206" t="str">
        <f t="shared" si="395"/>
        <v>YAMAHA_Mounter</v>
      </c>
      <c r="AS1324" s="22">
        <f t="shared" si="396"/>
        <v>4</v>
      </c>
      <c r="AT1324" s="24" t="str">
        <f t="shared" si="397"/>
        <v>4-6 months</v>
      </c>
      <c r="AU1324" s="22" t="s">
        <v>3745</v>
      </c>
    </row>
    <row r="1325" spans="1:47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88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400"/>
        <v>1</v>
      </c>
      <c r="Z1325" s="18">
        <f t="shared" si="398"/>
        <v>13000000</v>
      </c>
      <c r="AA1325" s="13">
        <v>5.8700000000000002E-2</v>
      </c>
      <c r="AB1325" s="21">
        <f t="shared" si="399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83"/>
        <v>36480247.665929198</v>
      </c>
      <c r="AJ1325" s="19">
        <f t="shared" si="384"/>
        <v>5330996.6372757526</v>
      </c>
      <c r="AK1325" s="20">
        <f t="shared" si="392"/>
        <v>0.14613378412599562</v>
      </c>
      <c r="AL1325" s="17"/>
      <c r="AM1325" s="17"/>
      <c r="AN1325" s="17"/>
      <c r="AO1325" s="17"/>
      <c r="AP1325" s="28" t="str">
        <f t="shared" si="393"/>
        <v>20227</v>
      </c>
      <c r="AQ1325" s="28" t="str">
        <f t="shared" si="394"/>
        <v>20227JPY</v>
      </c>
      <c r="AR1325" s="206" t="str">
        <f t="shared" si="395"/>
        <v>YAMAHA_Mounter</v>
      </c>
      <c r="AS1325" s="22">
        <f t="shared" si="396"/>
        <v>4</v>
      </c>
      <c r="AT1325" s="24" t="str">
        <f t="shared" si="397"/>
        <v>4-6 months</v>
      </c>
      <c r="AU1325" s="22" t="s">
        <v>3745</v>
      </c>
    </row>
    <row r="1326" spans="1:47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88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400"/>
        <v>1</v>
      </c>
      <c r="Z1326" s="18">
        <f t="shared" si="398"/>
        <v>13000000</v>
      </c>
      <c r="AA1326" s="13">
        <v>5.8700000000000002E-2</v>
      </c>
      <c r="AB1326" s="21">
        <f t="shared" si="399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83"/>
        <v>36480247.665929198</v>
      </c>
      <c r="AJ1326" s="19">
        <f t="shared" si="384"/>
        <v>5330996.6372757526</v>
      </c>
      <c r="AK1326" s="20">
        <f t="shared" si="392"/>
        <v>0.14613378412599562</v>
      </c>
      <c r="AL1326" s="17"/>
      <c r="AM1326" s="17"/>
      <c r="AN1326" s="17"/>
      <c r="AO1326" s="17"/>
      <c r="AP1326" s="28" t="str">
        <f t="shared" si="393"/>
        <v>20227</v>
      </c>
      <c r="AQ1326" s="28" t="str">
        <f t="shared" si="394"/>
        <v>20227JPY</v>
      </c>
      <c r="AR1326" s="206" t="str">
        <f t="shared" si="395"/>
        <v>YAMAHA_Mounter</v>
      </c>
      <c r="AS1326" s="22">
        <f t="shared" si="396"/>
        <v>4</v>
      </c>
      <c r="AT1326" s="24" t="str">
        <f t="shared" si="397"/>
        <v>4-6 months</v>
      </c>
      <c r="AU1326" s="22" t="s">
        <v>3745</v>
      </c>
    </row>
    <row r="1327" spans="1:47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88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400"/>
        <v>1</v>
      </c>
      <c r="Z1327" s="18">
        <f t="shared" si="398"/>
        <v>13000000</v>
      </c>
      <c r="AA1327" s="13">
        <v>5.8700000000000002E-2</v>
      </c>
      <c r="AB1327" s="21">
        <f t="shared" si="399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83"/>
        <v>36480247.665929198</v>
      </c>
      <c r="AJ1327" s="19">
        <f t="shared" si="384"/>
        <v>5330996.6372757526</v>
      </c>
      <c r="AK1327" s="20">
        <f t="shared" si="392"/>
        <v>0.14613378412599562</v>
      </c>
      <c r="AL1327" s="17"/>
      <c r="AM1327" s="17"/>
      <c r="AN1327" s="17"/>
      <c r="AO1327" s="17"/>
      <c r="AP1327" s="28" t="str">
        <f t="shared" si="393"/>
        <v>20227</v>
      </c>
      <c r="AQ1327" s="28" t="str">
        <f t="shared" si="394"/>
        <v>20227JPY</v>
      </c>
      <c r="AR1327" s="206" t="str">
        <f t="shared" si="395"/>
        <v>YAMAHA_Mounter</v>
      </c>
      <c r="AS1327" s="22">
        <f t="shared" si="396"/>
        <v>4</v>
      </c>
      <c r="AT1327" s="24" t="str">
        <f t="shared" si="397"/>
        <v>4-6 months</v>
      </c>
      <c r="AU1327" s="22" t="s">
        <v>3745</v>
      </c>
    </row>
    <row r="1328" spans="1:47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88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400"/>
        <v>1</v>
      </c>
      <c r="Z1328" s="18">
        <f t="shared" si="398"/>
        <v>13000000</v>
      </c>
      <c r="AA1328" s="13">
        <v>5.8700000000000002E-2</v>
      </c>
      <c r="AB1328" s="21">
        <f t="shared" si="399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83"/>
        <v>36480247.665929198</v>
      </c>
      <c r="AJ1328" s="19">
        <f t="shared" si="384"/>
        <v>5330996.6372757526</v>
      </c>
      <c r="AK1328" s="20">
        <f t="shared" si="392"/>
        <v>0.14613378412599562</v>
      </c>
      <c r="AL1328" s="17"/>
      <c r="AM1328" s="17"/>
      <c r="AN1328" s="17"/>
      <c r="AO1328" s="17"/>
      <c r="AP1328" s="28" t="str">
        <f t="shared" si="393"/>
        <v>20227</v>
      </c>
      <c r="AQ1328" s="28" t="str">
        <f t="shared" si="394"/>
        <v>20227JPY</v>
      </c>
      <c r="AR1328" s="206" t="str">
        <f t="shared" si="395"/>
        <v>YAMAHA_Mounter</v>
      </c>
      <c r="AS1328" s="22">
        <f t="shared" si="396"/>
        <v>4</v>
      </c>
      <c r="AT1328" s="24" t="str">
        <f t="shared" si="397"/>
        <v>4-6 months</v>
      </c>
      <c r="AU1328" s="22" t="s">
        <v>3745</v>
      </c>
    </row>
    <row r="1329" spans="1:47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88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400"/>
        <v>1</v>
      </c>
      <c r="Z1329" s="18">
        <f t="shared" si="398"/>
        <v>8000000</v>
      </c>
      <c r="AA1329" s="13">
        <v>5.8700000000000002E-2</v>
      </c>
      <c r="AB1329" s="21">
        <f t="shared" si="399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83"/>
        <v>36480247.665929198</v>
      </c>
      <c r="AJ1329" s="19">
        <f t="shared" si="384"/>
        <v>5330996.6372757526</v>
      </c>
      <c r="AK1329" s="20">
        <f t="shared" si="392"/>
        <v>0.14613378412599562</v>
      </c>
      <c r="AL1329" s="17"/>
      <c r="AM1329" s="17"/>
      <c r="AN1329" s="17"/>
      <c r="AO1329" s="17"/>
      <c r="AP1329" s="28" t="str">
        <f t="shared" si="393"/>
        <v>20227</v>
      </c>
      <c r="AQ1329" s="28" t="str">
        <f t="shared" si="394"/>
        <v>20227JPY</v>
      </c>
      <c r="AR1329" s="206" t="str">
        <f t="shared" si="395"/>
        <v>YAMAHA_Mounter</v>
      </c>
      <c r="AS1329" s="22">
        <f t="shared" si="396"/>
        <v>4</v>
      </c>
      <c r="AT1329" s="24" t="str">
        <f t="shared" si="397"/>
        <v>4-6 months</v>
      </c>
      <c r="AU1329" s="22" t="s">
        <v>3745</v>
      </c>
    </row>
    <row r="1330" spans="1:47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88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400"/>
        <v>1</v>
      </c>
      <c r="Z1330" s="18">
        <f t="shared" si="398"/>
        <v>8000000</v>
      </c>
      <c r="AA1330" s="13">
        <v>5.8700000000000002E-2</v>
      </c>
      <c r="AB1330" s="21">
        <f t="shared" si="399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83"/>
        <v>36480247.665929198</v>
      </c>
      <c r="AJ1330" s="19">
        <f t="shared" si="384"/>
        <v>5330996.6372757526</v>
      </c>
      <c r="AK1330" s="20">
        <f t="shared" si="392"/>
        <v>0.14613378412599562</v>
      </c>
      <c r="AL1330" s="17"/>
      <c r="AM1330" s="17"/>
      <c r="AN1330" s="17"/>
      <c r="AO1330" s="17"/>
      <c r="AP1330" s="28" t="str">
        <f t="shared" si="393"/>
        <v>20227</v>
      </c>
      <c r="AQ1330" s="28" t="str">
        <f t="shared" si="394"/>
        <v>20227JPY</v>
      </c>
      <c r="AR1330" s="206" t="str">
        <f t="shared" si="395"/>
        <v>YAMAHA_Mounter</v>
      </c>
      <c r="AS1330" s="22">
        <f t="shared" si="396"/>
        <v>4</v>
      </c>
      <c r="AT1330" s="24" t="str">
        <f t="shared" si="397"/>
        <v>4-6 months</v>
      </c>
      <c r="AU1330" s="22" t="s">
        <v>3745</v>
      </c>
    </row>
    <row r="1331" spans="1:47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88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400"/>
        <v>1</v>
      </c>
      <c r="Z1331" s="18">
        <f t="shared" si="398"/>
        <v>8000000</v>
      </c>
      <c r="AA1331" s="13">
        <v>5.8700000000000002E-2</v>
      </c>
      <c r="AB1331" s="21">
        <f t="shared" si="399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83"/>
        <v>36480247.665929198</v>
      </c>
      <c r="AJ1331" s="19">
        <f t="shared" si="384"/>
        <v>5330996.6372757526</v>
      </c>
      <c r="AK1331" s="20">
        <f t="shared" si="392"/>
        <v>0.14613378412599562</v>
      </c>
      <c r="AL1331" s="17"/>
      <c r="AM1331" s="17"/>
      <c r="AN1331" s="17"/>
      <c r="AO1331" s="17"/>
      <c r="AP1331" s="28" t="str">
        <f t="shared" si="393"/>
        <v>20227</v>
      </c>
      <c r="AQ1331" s="28" t="str">
        <f t="shared" si="394"/>
        <v>20227JPY</v>
      </c>
      <c r="AR1331" s="206" t="str">
        <f t="shared" si="395"/>
        <v>YAMAHA_Mounter</v>
      </c>
      <c r="AS1331" s="22">
        <f t="shared" si="396"/>
        <v>4</v>
      </c>
      <c r="AT1331" s="24" t="str">
        <f t="shared" si="397"/>
        <v>4-6 months</v>
      </c>
      <c r="AU1331" s="22" t="s">
        <v>3745</v>
      </c>
    </row>
    <row r="1332" spans="1:47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88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400"/>
        <v>1</v>
      </c>
      <c r="Z1332" s="18">
        <f t="shared" si="398"/>
        <v>8000000</v>
      </c>
      <c r="AA1332" s="13">
        <v>5.8700000000000002E-2</v>
      </c>
      <c r="AB1332" s="21">
        <f t="shared" si="399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83"/>
        <v>36480247.665929198</v>
      </c>
      <c r="AJ1332" s="19">
        <f t="shared" si="384"/>
        <v>5330996.6372757526</v>
      </c>
      <c r="AK1332" s="20">
        <f t="shared" si="392"/>
        <v>0.14613378412599562</v>
      </c>
      <c r="AL1332" s="17"/>
      <c r="AM1332" s="17"/>
      <c r="AN1332" s="17"/>
      <c r="AO1332" s="17"/>
      <c r="AP1332" s="28" t="str">
        <f t="shared" si="393"/>
        <v>20227</v>
      </c>
      <c r="AQ1332" s="28" t="str">
        <f t="shared" si="394"/>
        <v>20227JPY</v>
      </c>
      <c r="AR1332" s="206" t="str">
        <f t="shared" si="395"/>
        <v>YAMAHA_Mounter</v>
      </c>
      <c r="AS1332" s="22">
        <f t="shared" si="396"/>
        <v>4</v>
      </c>
      <c r="AT1332" s="24" t="str">
        <f t="shared" si="397"/>
        <v>4-6 months</v>
      </c>
      <c r="AU1332" s="22" t="s">
        <v>3745</v>
      </c>
    </row>
    <row r="1333" spans="1:47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87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88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398"/>
        <v>27923924</v>
      </c>
      <c r="AA1333" s="13">
        <v>7.2099999999999997E-2</v>
      </c>
      <c r="AB1333" s="21">
        <f t="shared" si="399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83"/>
        <v>499582152.5142017</v>
      </c>
      <c r="AJ1333" s="19">
        <f t="shared" si="384"/>
        <v>59520528.679470733</v>
      </c>
      <c r="AK1333" s="20">
        <f t="shared" si="392"/>
        <v>0.11914062257814291</v>
      </c>
      <c r="AL1333" s="17"/>
      <c r="AM1333" s="17"/>
      <c r="AN1333" s="17">
        <v>0</v>
      </c>
      <c r="AO1333" s="17"/>
      <c r="AP1333" s="28" t="str">
        <f t="shared" si="393"/>
        <v>CancelCancel</v>
      </c>
      <c r="AQ1333" s="28" t="str">
        <f t="shared" si="394"/>
        <v>CancelCancelJPY</v>
      </c>
      <c r="AR1333" s="206" t="str">
        <f t="shared" si="395"/>
        <v>YAMAHA_Mounter</v>
      </c>
      <c r="AS1333" s="22" t="str">
        <f t="shared" si="396"/>
        <v/>
      </c>
      <c r="AT1333" s="24" t="str">
        <f t="shared" si="397"/>
        <v/>
      </c>
      <c r="AU1333" s="22" t="s">
        <v>3744</v>
      </c>
    </row>
    <row r="1334" spans="1:47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87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88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398"/>
        <v>27923924</v>
      </c>
      <c r="AA1334" s="13">
        <v>7.2099999999999997E-2</v>
      </c>
      <c r="AB1334" s="21">
        <f t="shared" si="399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83"/>
        <v>499582152.5142017</v>
      </c>
      <c r="AJ1334" s="19">
        <f t="shared" si="384"/>
        <v>59520528.679470733</v>
      </c>
      <c r="AK1334" s="20">
        <f t="shared" si="392"/>
        <v>0.11914062257814291</v>
      </c>
      <c r="AL1334" s="17"/>
      <c r="AM1334" s="17"/>
      <c r="AN1334" s="17"/>
      <c r="AO1334" s="17"/>
      <c r="AP1334" s="28" t="str">
        <f t="shared" si="393"/>
        <v>CancelCancel</v>
      </c>
      <c r="AQ1334" s="28" t="str">
        <f t="shared" si="394"/>
        <v>CancelCancelJPY</v>
      </c>
      <c r="AR1334" s="206" t="str">
        <f t="shared" si="395"/>
        <v>YAMAHA_Mounter</v>
      </c>
      <c r="AS1334" s="22" t="str">
        <f t="shared" si="396"/>
        <v/>
      </c>
      <c r="AT1334" s="24" t="str">
        <f t="shared" si="397"/>
        <v/>
      </c>
      <c r="AU1334" s="22" t="s">
        <v>3744</v>
      </c>
    </row>
    <row r="1335" spans="1:47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88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401">IF(W1335="RMB","1.13", "1")</f>
        <v>1.13</v>
      </c>
      <c r="Z1335" s="18">
        <f t="shared" si="398"/>
        <v>1513500</v>
      </c>
      <c r="AA1335" s="13">
        <v>1.2</v>
      </c>
      <c r="AB1335" s="21">
        <f t="shared" si="399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83"/>
        <v>31097187.02948761</v>
      </c>
      <c r="AJ1335" s="19">
        <f t="shared" si="384"/>
        <v>3892353.6644401965</v>
      </c>
      <c r="AK1335" s="20">
        <f t="shared" si="392"/>
        <v>0.12516738767237401</v>
      </c>
      <c r="AL1335" s="17"/>
      <c r="AM1335" s="17"/>
      <c r="AN1335" s="17"/>
      <c r="AO1335" s="17"/>
      <c r="AP1335" s="28" t="str">
        <f t="shared" si="393"/>
        <v>20212</v>
      </c>
      <c r="AQ1335" s="28" t="str">
        <f t="shared" si="394"/>
        <v>20212RMB</v>
      </c>
      <c r="AR1335" s="206" t="str">
        <f t="shared" si="395"/>
        <v>YAMAHA_Mounter</v>
      </c>
      <c r="AS1335" s="22">
        <f t="shared" si="396"/>
        <v>2</v>
      </c>
      <c r="AT1335" s="24" t="str">
        <f t="shared" si="397"/>
        <v>0-3 months</v>
      </c>
      <c r="AU1335" s="22" t="s">
        <v>3743</v>
      </c>
    </row>
    <row r="1336" spans="1:47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88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401"/>
        <v>1.13</v>
      </c>
      <c r="Z1336" s="18">
        <f t="shared" si="398"/>
        <v>1513500</v>
      </c>
      <c r="AA1336" s="13">
        <v>1.2</v>
      </c>
      <c r="AB1336" s="21">
        <f t="shared" si="399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83"/>
        <v>31097187.02948761</v>
      </c>
      <c r="AJ1336" s="19">
        <f t="shared" si="384"/>
        <v>3892353.6644401965</v>
      </c>
      <c r="AK1336" s="20">
        <f t="shared" si="392"/>
        <v>0.12516738767237401</v>
      </c>
      <c r="AL1336" s="17"/>
      <c r="AM1336" s="17"/>
      <c r="AN1336" s="17"/>
      <c r="AO1336" s="17"/>
      <c r="AP1336" s="28" t="str">
        <f t="shared" si="393"/>
        <v>20212</v>
      </c>
      <c r="AQ1336" s="28" t="str">
        <f t="shared" si="394"/>
        <v>20212RMB</v>
      </c>
      <c r="AR1336" s="206" t="str">
        <f t="shared" si="395"/>
        <v>YAMAHA_Mounter</v>
      </c>
      <c r="AS1336" s="22">
        <f t="shared" si="396"/>
        <v>2</v>
      </c>
      <c r="AT1336" s="24" t="str">
        <f t="shared" si="397"/>
        <v>0-3 months</v>
      </c>
      <c r="AU1336" s="22" t="s">
        <v>3743</v>
      </c>
    </row>
    <row r="1337" spans="1:47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88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401"/>
        <v>1.13</v>
      </c>
      <c r="Z1337" s="18">
        <f t="shared" si="398"/>
        <v>1244000</v>
      </c>
      <c r="AA1337" s="13">
        <v>1.2</v>
      </c>
      <c r="AB1337" s="21">
        <f t="shared" si="399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83"/>
        <v>47458373.787610628</v>
      </c>
      <c r="AJ1337" s="19">
        <f t="shared" si="384"/>
        <v>7436880.1411522133</v>
      </c>
      <c r="AK1337" s="20">
        <f t="shared" si="392"/>
        <v>0.15670322321692506</v>
      </c>
      <c r="AL1337" s="17"/>
      <c r="AM1337" s="17"/>
      <c r="AN1337" s="17"/>
      <c r="AO1337" s="17"/>
      <c r="AP1337" s="28" t="str">
        <f t="shared" si="393"/>
        <v>20218</v>
      </c>
      <c r="AQ1337" s="28" t="str">
        <f t="shared" si="394"/>
        <v>20218RMB</v>
      </c>
      <c r="AR1337" s="206" t="str">
        <f t="shared" si="395"/>
        <v>YAMAHA_Mounter</v>
      </c>
      <c r="AS1337" s="22">
        <f t="shared" si="396"/>
        <v>2</v>
      </c>
      <c r="AT1337" s="24" t="str">
        <f t="shared" si="397"/>
        <v>0-3 months</v>
      </c>
      <c r="AU1337" s="22" t="s">
        <v>3750</v>
      </c>
    </row>
    <row r="1338" spans="1:47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88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401"/>
        <v>1.13</v>
      </c>
      <c r="Z1338" s="18">
        <f t="shared" si="398"/>
        <v>1244000</v>
      </c>
      <c r="AA1338" s="13">
        <v>1.2</v>
      </c>
      <c r="AB1338" s="21">
        <f t="shared" si="399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83"/>
        <v>47458373.787610628</v>
      </c>
      <c r="AJ1338" s="19">
        <f t="shared" si="384"/>
        <v>7436880.1411522133</v>
      </c>
      <c r="AK1338" s="20">
        <f t="shared" si="392"/>
        <v>0.15670322321692506</v>
      </c>
      <c r="AL1338" s="17"/>
      <c r="AM1338" s="17"/>
      <c r="AN1338" s="17"/>
      <c r="AO1338" s="17"/>
      <c r="AP1338" s="28" t="str">
        <f t="shared" si="393"/>
        <v>20218</v>
      </c>
      <c r="AQ1338" s="28" t="str">
        <f t="shared" si="394"/>
        <v>20218RMB</v>
      </c>
      <c r="AR1338" s="206" t="str">
        <f t="shared" si="395"/>
        <v>YAMAHA_Mounter</v>
      </c>
      <c r="AS1338" s="22">
        <f t="shared" si="396"/>
        <v>2</v>
      </c>
      <c r="AT1338" s="24" t="str">
        <f t="shared" si="397"/>
        <v>0-3 months</v>
      </c>
      <c r="AU1338" s="22" t="s">
        <v>3750</v>
      </c>
    </row>
    <row r="1339" spans="1:47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88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401"/>
        <v>1.13</v>
      </c>
      <c r="Z1339" s="18">
        <f t="shared" si="398"/>
        <v>1244000</v>
      </c>
      <c r="AA1339" s="13">
        <v>1.2</v>
      </c>
      <c r="AB1339" s="21">
        <f t="shared" si="399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83"/>
        <v>47458373.787610628</v>
      </c>
      <c r="AJ1339" s="19">
        <f t="shared" si="384"/>
        <v>7436880.1411522133</v>
      </c>
      <c r="AK1339" s="20">
        <f t="shared" si="392"/>
        <v>0.15670322321692506</v>
      </c>
      <c r="AL1339" s="17"/>
      <c r="AM1339" s="17"/>
      <c r="AN1339" s="17"/>
      <c r="AO1339" s="17"/>
      <c r="AP1339" s="28" t="str">
        <f t="shared" si="393"/>
        <v>20218</v>
      </c>
      <c r="AQ1339" s="28" t="str">
        <f t="shared" si="394"/>
        <v>20218RMB</v>
      </c>
      <c r="AR1339" s="206" t="str">
        <f t="shared" si="395"/>
        <v>YAMAHA_Mounter</v>
      </c>
      <c r="AS1339" s="22">
        <f t="shared" si="396"/>
        <v>2</v>
      </c>
      <c r="AT1339" s="24" t="str">
        <f t="shared" si="397"/>
        <v>0-3 months</v>
      </c>
      <c r="AU1339" s="22" t="s">
        <v>3750</v>
      </c>
    </row>
    <row r="1340" spans="1:47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88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401"/>
        <v>1.13</v>
      </c>
      <c r="Z1340" s="18">
        <f t="shared" si="398"/>
        <v>967200</v>
      </c>
      <c r="AA1340" s="13">
        <v>1.22</v>
      </c>
      <c r="AB1340" s="21">
        <f t="shared" si="399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83"/>
        <v>28726768.133805312</v>
      </c>
      <c r="AJ1340" s="19">
        <f t="shared" si="384"/>
        <v>3853638.1988864429</v>
      </c>
      <c r="AK1340" s="20">
        <f t="shared" si="392"/>
        <v>0.1341479898099476</v>
      </c>
      <c r="AL1340" s="17"/>
      <c r="AM1340" s="17"/>
      <c r="AN1340" s="17"/>
      <c r="AO1340" s="17"/>
      <c r="AP1340" s="28" t="str">
        <f t="shared" si="393"/>
        <v>20223</v>
      </c>
      <c r="AQ1340" s="28" t="str">
        <f t="shared" si="394"/>
        <v>20223RMB</v>
      </c>
      <c r="AR1340" s="206" t="str">
        <f t="shared" si="395"/>
        <v>YAMAHA_Mounter</v>
      </c>
      <c r="AS1340" s="22">
        <f t="shared" si="396"/>
        <v>1</v>
      </c>
      <c r="AT1340" s="24" t="str">
        <f t="shared" si="397"/>
        <v>0-3 months</v>
      </c>
      <c r="AU1340" s="22" t="s">
        <v>3750</v>
      </c>
    </row>
    <row r="1341" spans="1:47" s="12" customFormat="1">
      <c r="A1341" s="33" t="str">
        <f t="shared" si="385"/>
        <v>cancel</v>
      </c>
      <c r="B1341" s="152"/>
      <c r="C1341" s="152" t="s">
        <v>185</v>
      </c>
      <c r="D1341" s="33" t="str">
        <f t="shared" si="386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87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88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401"/>
        <v>1</v>
      </c>
      <c r="Z1341" s="18">
        <f t="shared" si="398"/>
        <v>13200000</v>
      </c>
      <c r="AA1341" s="13">
        <v>6.25E-2</v>
      </c>
      <c r="AB1341" s="21">
        <f t="shared" si="399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83"/>
        <v>499582152.5142017</v>
      </c>
      <c r="AJ1341" s="19">
        <f t="shared" si="384"/>
        <v>59520528.679470733</v>
      </c>
      <c r="AK1341" s="20">
        <f t="shared" si="392"/>
        <v>0.11914062257814291</v>
      </c>
      <c r="AL1341" s="17"/>
      <c r="AM1341" s="17"/>
      <c r="AN1341" s="17"/>
      <c r="AO1341" s="17"/>
      <c r="AP1341" s="28" t="str">
        <f t="shared" si="393"/>
        <v>CancelCancel</v>
      </c>
      <c r="AQ1341" s="28" t="str">
        <f t="shared" si="394"/>
        <v>CancelCancelJPY</v>
      </c>
      <c r="AR1341" s="206" t="str">
        <f t="shared" si="395"/>
        <v>YAMAHA_Mounter</v>
      </c>
      <c r="AS1341" s="22" t="str">
        <f t="shared" si="396"/>
        <v/>
      </c>
      <c r="AT1341" s="24" t="str">
        <f t="shared" si="397"/>
        <v/>
      </c>
      <c r="AU1341" s="22" t="s">
        <v>3744</v>
      </c>
    </row>
    <row r="1342" spans="1:47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398"/>
        <v>204800</v>
      </c>
      <c r="AA1342" s="13">
        <v>1.125</v>
      </c>
      <c r="AB1342" s="21">
        <f t="shared" si="399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83"/>
        <v>10785027.603448275</v>
      </c>
      <c r="AJ1342" s="19">
        <f t="shared" si="384"/>
        <v>1540894.1297982759</v>
      </c>
      <c r="AK1342" s="20">
        <f t="shared" si="392"/>
        <v>0.1428734525728621</v>
      </c>
      <c r="AL1342" s="17"/>
      <c r="AM1342" s="17"/>
      <c r="AN1342" s="17"/>
      <c r="AO1342" s="17"/>
      <c r="AP1342" s="28" t="str">
        <f t="shared" si="393"/>
        <v>201811</v>
      </c>
      <c r="AQ1342" s="28" t="str">
        <f t="shared" si="394"/>
        <v>201811RMB</v>
      </c>
      <c r="AR1342" s="206" t="str">
        <f t="shared" si="395"/>
        <v>YAMAHA_Mounter</v>
      </c>
      <c r="AS1342" s="22">
        <f t="shared" si="396"/>
        <v>1</v>
      </c>
      <c r="AT1342" s="24" t="str">
        <f t="shared" si="397"/>
        <v>0-3 months</v>
      </c>
      <c r="AU1342" s="22" t="s">
        <v>3240</v>
      </c>
    </row>
    <row r="1343" spans="1:47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88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398"/>
        <v>586000</v>
      </c>
      <c r="AA1343" s="13">
        <v>1.1499999999999999</v>
      </c>
      <c r="AB1343" s="21">
        <f t="shared" si="399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83"/>
        <v>26492741.106427077</v>
      </c>
      <c r="AJ1343" s="19">
        <f t="shared" si="384"/>
        <v>3348032.1325698122</v>
      </c>
      <c r="AK1343" s="20">
        <f t="shared" si="392"/>
        <v>0.12637545201985867</v>
      </c>
      <c r="AL1343" s="17"/>
      <c r="AM1343" s="17"/>
      <c r="AN1343" s="17" t="s">
        <v>524</v>
      </c>
      <c r="AO1343" s="17"/>
      <c r="AP1343" s="28" t="str">
        <f t="shared" si="393"/>
        <v>20189</v>
      </c>
      <c r="AQ1343" s="28" t="str">
        <f t="shared" si="394"/>
        <v>20189RMB</v>
      </c>
      <c r="AR1343" s="206" t="str">
        <f t="shared" si="395"/>
        <v>YAMAHA_Mounter</v>
      </c>
      <c r="AS1343" s="22">
        <f t="shared" si="396"/>
        <v>0</v>
      </c>
      <c r="AT1343" s="24" t="str">
        <f t="shared" si="397"/>
        <v>0-3 months</v>
      </c>
      <c r="AU1343" s="22" t="s">
        <v>3240</v>
      </c>
    </row>
    <row r="1344" spans="1:47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88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398"/>
        <v>934574</v>
      </c>
      <c r="AA1344" s="13">
        <v>1.2150000000000001</v>
      </c>
      <c r="AB1344" s="21">
        <f t="shared" si="399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83"/>
        <v>54700260.692079648</v>
      </c>
      <c r="AJ1344" s="19">
        <f t="shared" si="384"/>
        <v>7482899.5749188727</v>
      </c>
      <c r="AK1344" s="20">
        <f t="shared" si="392"/>
        <v>0.13679824337660537</v>
      </c>
      <c r="AL1344" s="17"/>
      <c r="AM1344" s="17"/>
      <c r="AN1344" s="17"/>
      <c r="AO1344" s="17"/>
      <c r="AP1344" s="28" t="str">
        <f t="shared" si="393"/>
        <v>20216</v>
      </c>
      <c r="AQ1344" s="28" t="str">
        <f t="shared" si="394"/>
        <v>20216RMB</v>
      </c>
      <c r="AR1344" s="206" t="str">
        <f t="shared" si="395"/>
        <v>YAMAHA_Mounter</v>
      </c>
      <c r="AS1344" s="22">
        <f t="shared" si="396"/>
        <v>2</v>
      </c>
      <c r="AT1344" s="24" t="str">
        <f t="shared" si="397"/>
        <v>0-3 months</v>
      </c>
      <c r="AU1344" s="22" t="s">
        <v>3240</v>
      </c>
    </row>
    <row r="1345" spans="1:47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88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398"/>
        <v>599653</v>
      </c>
      <c r="AA1345" s="13">
        <v>1.135</v>
      </c>
      <c r="AB1345" s="21">
        <f t="shared" si="399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83"/>
        <v>31296887.037898075</v>
      </c>
      <c r="AJ1345" s="19">
        <f t="shared" si="384"/>
        <v>3588873.9502021763</v>
      </c>
      <c r="AK1345" s="20">
        <f t="shared" si="392"/>
        <v>0.11467191436184473</v>
      </c>
      <c r="AL1345" s="17"/>
      <c r="AM1345" s="17"/>
      <c r="AN1345" s="17"/>
      <c r="AO1345" s="17"/>
      <c r="AP1345" s="28" t="str">
        <f t="shared" si="393"/>
        <v>20196</v>
      </c>
      <c r="AQ1345" s="28" t="str">
        <f t="shared" si="394"/>
        <v>20196RMB</v>
      </c>
      <c r="AR1345" s="206" t="str">
        <f t="shared" si="395"/>
        <v>YAMAHA_Mounter</v>
      </c>
      <c r="AS1345" s="22">
        <f t="shared" si="396"/>
        <v>0</v>
      </c>
      <c r="AT1345" s="24" t="str">
        <f t="shared" si="397"/>
        <v>0-3 months</v>
      </c>
      <c r="AU1345" s="22" t="s">
        <v>3240</v>
      </c>
    </row>
    <row r="1346" spans="1:47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88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398"/>
        <v>755000</v>
      </c>
      <c r="AA1346" s="13">
        <v>1.105</v>
      </c>
      <c r="AB1346" s="21">
        <f t="shared" si="399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ref="AI1346:AI1409" si="402">IF(P1346="C66 SERVICE","",SUMIFS(AB:AB,F:F,F1346,G:G,G1346,E:E,E1346))</f>
        <v>37969334.083628319</v>
      </c>
      <c r="AJ1346" s="19">
        <f t="shared" ref="AJ1346:AJ1409" si="403">IF(P1346="C66 SERVICE","",SUMIFS(AC:AC,F:F,F1346,G:G,G1346,E:E,E1346))</f>
        <v>5097226.4551657084</v>
      </c>
      <c r="AK1346" s="20">
        <f t="shared" si="392"/>
        <v>0.13424587441904964</v>
      </c>
      <c r="AL1346" s="17"/>
      <c r="AM1346" s="17"/>
      <c r="AN1346" s="17"/>
      <c r="AO1346" s="17"/>
      <c r="AP1346" s="28" t="str">
        <f t="shared" si="393"/>
        <v>20208</v>
      </c>
      <c r="AQ1346" s="28" t="str">
        <f t="shared" si="394"/>
        <v>20208RMB</v>
      </c>
      <c r="AR1346" s="206" t="str">
        <f t="shared" si="395"/>
        <v>YAMAHA_Mounter</v>
      </c>
      <c r="AS1346" s="22">
        <f t="shared" si="396"/>
        <v>1</v>
      </c>
      <c r="AT1346" s="24" t="str">
        <f t="shared" si="397"/>
        <v>0-3 months</v>
      </c>
      <c r="AU1346" s="22" t="s">
        <v>3240</v>
      </c>
    </row>
    <row r="1347" spans="1:47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88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398"/>
        <v>1070000</v>
      </c>
      <c r="AA1347" s="13">
        <v>1.135</v>
      </c>
      <c r="AB1347" s="21">
        <f t="shared" si="399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402"/>
        <v>31296887.037898075</v>
      </c>
      <c r="AJ1347" s="19">
        <f t="shared" si="403"/>
        <v>3588873.9502021763</v>
      </c>
      <c r="AK1347" s="20">
        <f t="shared" si="392"/>
        <v>0.11467191436184473</v>
      </c>
      <c r="AL1347" s="17"/>
      <c r="AM1347" s="17"/>
      <c r="AN1347" s="17"/>
      <c r="AO1347" s="17"/>
      <c r="AP1347" s="28" t="str">
        <f t="shared" si="393"/>
        <v>20196</v>
      </c>
      <c r="AQ1347" s="28" t="str">
        <f t="shared" si="394"/>
        <v>20196RMB</v>
      </c>
      <c r="AR1347" s="206" t="str">
        <f t="shared" si="395"/>
        <v>YAMAHA_Mounter</v>
      </c>
      <c r="AS1347" s="22">
        <f t="shared" si="396"/>
        <v>8</v>
      </c>
      <c r="AT1347" s="24" t="str">
        <f t="shared" si="397"/>
        <v>&gt; 6 months</v>
      </c>
      <c r="AU1347" s="22" t="s">
        <v>3240</v>
      </c>
    </row>
    <row r="1348" spans="1:47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88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398"/>
        <v>6600000</v>
      </c>
      <c r="AA1348" s="13">
        <v>7.6100000000000001E-2</v>
      </c>
      <c r="AB1348" s="21">
        <f t="shared" si="399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402"/>
        <v>44078731.611185849</v>
      </c>
      <c r="AJ1348" s="19">
        <f t="shared" si="403"/>
        <v>5508173.2163771465</v>
      </c>
      <c r="AK1348" s="20">
        <f t="shared" si="392"/>
        <v>0.12496215328889679</v>
      </c>
      <c r="AL1348" s="17"/>
      <c r="AM1348" s="17"/>
      <c r="AN1348" s="17"/>
      <c r="AO1348" s="17"/>
      <c r="AP1348" s="28" t="str">
        <f t="shared" si="393"/>
        <v>202011</v>
      </c>
      <c r="AQ1348" s="28" t="str">
        <f t="shared" si="394"/>
        <v>202011JPY</v>
      </c>
      <c r="AR1348" s="206" t="str">
        <f t="shared" si="395"/>
        <v>YAMAHA_Mounter</v>
      </c>
      <c r="AS1348" s="22">
        <f t="shared" si="396"/>
        <v>2</v>
      </c>
      <c r="AT1348" s="24" t="str">
        <f t="shared" si="397"/>
        <v>0-3 months</v>
      </c>
      <c r="AU1348" s="22" t="s">
        <v>3744</v>
      </c>
    </row>
    <row r="1349" spans="1:47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88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398"/>
        <v>8900000</v>
      </c>
      <c r="AA1349" s="13">
        <v>7.6799999999999993E-2</v>
      </c>
      <c r="AB1349" s="21">
        <f t="shared" si="399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402"/>
        <v>45803245.025628321</v>
      </c>
      <c r="AJ1349" s="19">
        <f t="shared" si="403"/>
        <v>5664636.2584379362</v>
      </c>
      <c r="AK1349" s="20">
        <f t="shared" si="392"/>
        <v>0.12367325186825515</v>
      </c>
      <c r="AL1349" s="17"/>
      <c r="AM1349" s="17"/>
      <c r="AN1349" s="17"/>
      <c r="AO1349" s="17"/>
      <c r="AP1349" s="28" t="str">
        <f t="shared" si="393"/>
        <v>20211</v>
      </c>
      <c r="AQ1349" s="28" t="str">
        <f t="shared" si="394"/>
        <v>20211JPY</v>
      </c>
      <c r="AR1349" s="206" t="str">
        <f t="shared" si="395"/>
        <v>YAMAHA_Mounter</v>
      </c>
      <c r="AS1349" s="22">
        <f t="shared" si="396"/>
        <v>1</v>
      </c>
      <c r="AT1349" s="24" t="str">
        <f t="shared" si="397"/>
        <v>0-3 months</v>
      </c>
      <c r="AU1349" s="22" t="s">
        <v>3744</v>
      </c>
    </row>
    <row r="1350" spans="1:47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398"/>
        <v>7771400</v>
      </c>
      <c r="AA1350" s="13">
        <v>7.4899999999999994E-2</v>
      </c>
      <c r="AB1350" s="21">
        <f t="shared" si="399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si="402"/>
        <v>47907808.356810622</v>
      </c>
      <c r="AJ1350" s="19">
        <f t="shared" si="403"/>
        <v>6027384.8806384448</v>
      </c>
      <c r="AK1350" s="20">
        <f t="shared" ref="AK1350:AK1413" si="410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1">IF(F1350="","",F1350&amp;G1350)</f>
        <v>20209</v>
      </c>
      <c r="AQ1350" s="28" t="str">
        <f t="shared" ref="AQ1350:AQ1413" si="412">IF(W1350="","",F1350&amp;G1350&amp;W1350)</f>
        <v>20209JPY</v>
      </c>
      <c r="AR1350" s="206" t="str">
        <f t="shared" ref="AR1350:AR1413" si="413">IFERROR(IF(AND(M1350="YAMAHA", R1350="C28"), "YAMAHA_Non_Mounter", IF(AND(M1350="YAMAHA", R1350="C49"), "YAMAHA_Mounter", M1350)),"")</f>
        <v>YAMAHA_Mounter</v>
      </c>
      <c r="AS1350" s="22">
        <f t="shared" ref="AS1350:AS1413" si="414">IFERROR(IF(OR(G1350="TBA", G1350=""), "", DATEDIF(DATE(B1350, C1350, 1), DATE(F1350, G1350, 1), "M")),"")</f>
        <v>2</v>
      </c>
      <c r="AT1350" s="24" t="str">
        <f t="shared" ref="AT1350:AT1413" si="415">IF(ISNUMBER(AS1350), IF(AS1350&gt;=0, IF(AS1350&lt;=3, "0-3 months", IF(AS1350&lt;=6, "4-6 months", "&gt; 6 months"))), "")</f>
        <v>0-3 months</v>
      </c>
      <c r="AU1350" s="22" t="s">
        <v>3744</v>
      </c>
    </row>
    <row r="1351" spans="1:47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407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398"/>
        <v>600000</v>
      </c>
      <c r="AA1351" s="13">
        <v>1.22</v>
      </c>
      <c r="AB1351" s="21">
        <f t="shared" si="399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02"/>
        <v>46600814.041769907</v>
      </c>
      <c r="AJ1351" s="19">
        <f t="shared" si="403"/>
        <v>5956366.3435927071</v>
      </c>
      <c r="AK1351" s="20">
        <f t="shared" si="410"/>
        <v>0.1278167874546958</v>
      </c>
      <c r="AL1351" s="17"/>
      <c r="AM1351" s="17"/>
      <c r="AN1351" s="17"/>
      <c r="AO1351" s="17"/>
      <c r="AP1351" s="28" t="str">
        <f t="shared" si="411"/>
        <v>20224</v>
      </c>
      <c r="AQ1351" s="28" t="str">
        <f t="shared" si="412"/>
        <v>20224RMB</v>
      </c>
      <c r="AR1351" s="206" t="str">
        <f t="shared" si="413"/>
        <v>YAMAHA_Mounter</v>
      </c>
      <c r="AS1351" s="22">
        <f t="shared" si="414"/>
        <v>3</v>
      </c>
      <c r="AT1351" s="24" t="str">
        <f t="shared" si="415"/>
        <v>0-3 months</v>
      </c>
      <c r="AU1351" s="22" t="s">
        <v>3750</v>
      </c>
    </row>
    <row r="1352" spans="1:47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407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398"/>
        <v>700000</v>
      </c>
      <c r="AA1352" s="13">
        <v>1.22</v>
      </c>
      <c r="AB1352" s="21">
        <f t="shared" si="399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02"/>
        <v>46600814.041769907</v>
      </c>
      <c r="AJ1352" s="19">
        <f t="shared" si="403"/>
        <v>5956366.3435927071</v>
      </c>
      <c r="AK1352" s="20">
        <f t="shared" si="410"/>
        <v>0.1278167874546958</v>
      </c>
      <c r="AL1352" s="17"/>
      <c r="AM1352" s="17"/>
      <c r="AN1352" s="17"/>
      <c r="AO1352" s="17"/>
      <c r="AP1352" s="28" t="str">
        <f t="shared" si="411"/>
        <v>20224</v>
      </c>
      <c r="AQ1352" s="28" t="str">
        <f t="shared" si="412"/>
        <v>20224RMB</v>
      </c>
      <c r="AR1352" s="206" t="str">
        <f t="shared" si="413"/>
        <v>YAMAHA_Mounter</v>
      </c>
      <c r="AS1352" s="22">
        <f t="shared" si="414"/>
        <v>5</v>
      </c>
      <c r="AT1352" s="24" t="str">
        <f t="shared" si="415"/>
        <v>4-6 months</v>
      </c>
      <c r="AU1352" s="22" t="s">
        <v>3240</v>
      </c>
    </row>
    <row r="1353" spans="1:47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407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398"/>
        <v>900000</v>
      </c>
      <c r="AA1353" s="13">
        <v>1.22</v>
      </c>
      <c r="AB1353" s="21">
        <f t="shared" si="399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02"/>
        <v>46600814.041769907</v>
      </c>
      <c r="AJ1353" s="19">
        <f t="shared" si="403"/>
        <v>5956366.3435927071</v>
      </c>
      <c r="AK1353" s="20">
        <f t="shared" si="410"/>
        <v>0.1278167874546958</v>
      </c>
      <c r="AL1353" s="17"/>
      <c r="AM1353" s="17"/>
      <c r="AN1353" s="17"/>
      <c r="AO1353" s="17"/>
      <c r="AP1353" s="28" t="str">
        <f t="shared" si="411"/>
        <v>20224</v>
      </c>
      <c r="AQ1353" s="28" t="str">
        <f t="shared" si="412"/>
        <v>20224RMB</v>
      </c>
      <c r="AR1353" s="206" t="str">
        <f t="shared" si="413"/>
        <v>YAMAHA_Mounter</v>
      </c>
      <c r="AS1353" s="22">
        <f t="shared" si="414"/>
        <v>5</v>
      </c>
      <c r="AT1353" s="24" t="str">
        <f t="shared" si="415"/>
        <v>4-6 months</v>
      </c>
      <c r="AU1353" s="22" t="s">
        <v>3240</v>
      </c>
    </row>
    <row r="1354" spans="1:47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407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416">IF(X1354="","",X1354*MAX(O1354,N1354))</f>
        <v>1400000</v>
      </c>
      <c r="AA1354" s="13">
        <v>1.089</v>
      </c>
      <c r="AB1354" s="21">
        <f t="shared" si="399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02"/>
        <v>29183109.05575221</v>
      </c>
      <c r="AJ1354" s="19">
        <f t="shared" si="403"/>
        <v>3741266.5648721238</v>
      </c>
      <c r="AK1354" s="20">
        <f t="shared" si="410"/>
        <v>0.12819972531798121</v>
      </c>
      <c r="AL1354" s="17"/>
      <c r="AM1354" s="17"/>
      <c r="AN1354" s="17"/>
      <c r="AO1354" s="17"/>
      <c r="AP1354" s="28" t="str">
        <f t="shared" si="411"/>
        <v>20206</v>
      </c>
      <c r="AQ1354" s="28" t="str">
        <f t="shared" si="412"/>
        <v>20206RMB</v>
      </c>
      <c r="AR1354" s="206" t="str">
        <f t="shared" si="413"/>
        <v>YAMAHA_Mounter</v>
      </c>
      <c r="AS1354" s="22">
        <f t="shared" si="414"/>
        <v>5</v>
      </c>
      <c r="AT1354" s="24" t="str">
        <f t="shared" si="415"/>
        <v>4-6 months</v>
      </c>
      <c r="AU1354" s="22" t="s">
        <v>3743</v>
      </c>
    </row>
    <row r="1355" spans="1:47" s="12" customFormat="1">
      <c r="A1355" s="33" t="str">
        <f t="shared" si="404"/>
        <v>cancel</v>
      </c>
      <c r="B1355" s="152"/>
      <c r="C1355" s="152" t="s">
        <v>185</v>
      </c>
      <c r="D1355" s="33" t="str">
        <f t="shared" si="405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406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407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416"/>
        <v>9225000</v>
      </c>
      <c r="AA1355" s="13">
        <v>7.4899999999999994E-2</v>
      </c>
      <c r="AB1355" s="21">
        <f t="shared" si="399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02"/>
        <v>499582152.5142017</v>
      </c>
      <c r="AJ1355" s="19">
        <f t="shared" si="403"/>
        <v>59520528.679470733</v>
      </c>
      <c r="AK1355" s="20">
        <f t="shared" si="410"/>
        <v>0.11914062257814291</v>
      </c>
      <c r="AL1355" s="17"/>
      <c r="AM1355" s="17"/>
      <c r="AN1355" s="17"/>
      <c r="AO1355" s="17"/>
      <c r="AP1355" s="28" t="str">
        <f t="shared" si="411"/>
        <v>CancelCancel</v>
      </c>
      <c r="AQ1355" s="28" t="str">
        <f t="shared" si="412"/>
        <v>CancelCancelJPY</v>
      </c>
      <c r="AR1355" s="206" t="str">
        <f t="shared" si="413"/>
        <v>YAMAHA_Mounter</v>
      </c>
      <c r="AS1355" s="22" t="str">
        <f t="shared" si="414"/>
        <v/>
      </c>
      <c r="AT1355" s="24" t="str">
        <f t="shared" si="415"/>
        <v/>
      </c>
      <c r="AU1355" s="22" t="s">
        <v>3745</v>
      </c>
    </row>
    <row r="1356" spans="1:47" s="12" customFormat="1">
      <c r="A1356" s="33" t="str">
        <f t="shared" si="404"/>
        <v>cancel</v>
      </c>
      <c r="B1356" s="152"/>
      <c r="C1356" s="152" t="s">
        <v>185</v>
      </c>
      <c r="D1356" s="33" t="str">
        <f t="shared" si="405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406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407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416"/>
        <v>9225000</v>
      </c>
      <c r="AA1356" s="13">
        <v>7.4899999999999994E-2</v>
      </c>
      <c r="AB1356" s="21">
        <f t="shared" si="399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02"/>
        <v>499582152.5142017</v>
      </c>
      <c r="AJ1356" s="19">
        <f t="shared" si="403"/>
        <v>59520528.679470733</v>
      </c>
      <c r="AK1356" s="20">
        <f t="shared" si="410"/>
        <v>0.11914062257814291</v>
      </c>
      <c r="AL1356" s="17"/>
      <c r="AM1356" s="17"/>
      <c r="AN1356" s="17"/>
      <c r="AO1356" s="17"/>
      <c r="AP1356" s="28" t="str">
        <f t="shared" si="411"/>
        <v>CancelCancel</v>
      </c>
      <c r="AQ1356" s="28" t="str">
        <f t="shared" si="412"/>
        <v>CancelCancelJPY</v>
      </c>
      <c r="AR1356" s="206" t="str">
        <f t="shared" si="413"/>
        <v>YAMAHA_Mounter</v>
      </c>
      <c r="AS1356" s="22" t="str">
        <f t="shared" si="414"/>
        <v/>
      </c>
      <c r="AT1356" s="24" t="str">
        <f t="shared" si="415"/>
        <v/>
      </c>
      <c r="AU1356" s="22" t="s">
        <v>3745</v>
      </c>
    </row>
    <row r="1357" spans="1:47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406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407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416"/>
        <v>29000001</v>
      </c>
      <c r="AA1357" s="13">
        <v>7.0300000000000001E-2</v>
      </c>
      <c r="AB1357" s="21">
        <f t="shared" si="399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02"/>
        <v>499582152.5142017</v>
      </c>
      <c r="AJ1357" s="19">
        <f t="shared" si="403"/>
        <v>59520528.679470733</v>
      </c>
      <c r="AK1357" s="20">
        <f t="shared" si="410"/>
        <v>0.11914062257814291</v>
      </c>
      <c r="AL1357" s="17"/>
      <c r="AM1357" s="17"/>
      <c r="AN1357" s="17"/>
      <c r="AO1357" s="17"/>
      <c r="AP1357" s="28" t="str">
        <f t="shared" si="411"/>
        <v>CancelCancel</v>
      </c>
      <c r="AQ1357" s="28" t="str">
        <f t="shared" si="412"/>
        <v>CancelCancelJPY</v>
      </c>
      <c r="AR1357" s="206" t="str">
        <f t="shared" si="413"/>
        <v>YAMAHA_Mounter</v>
      </c>
      <c r="AS1357" s="22" t="str">
        <f t="shared" si="414"/>
        <v/>
      </c>
      <c r="AT1357" s="24" t="str">
        <f t="shared" si="415"/>
        <v/>
      </c>
      <c r="AU1357" s="22">
        <v>0</v>
      </c>
    </row>
    <row r="1358" spans="1:47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407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416"/>
        <v>29340000</v>
      </c>
      <c r="AA1358" s="13">
        <v>7.0400000000000004E-2</v>
      </c>
      <c r="AB1358" s="21">
        <f t="shared" si="399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02"/>
        <v>29840797.698275864</v>
      </c>
      <c r="AJ1358" s="19">
        <f t="shared" si="403"/>
        <v>3940167.6555448272</v>
      </c>
      <c r="AK1358" s="20">
        <f t="shared" si="410"/>
        <v>0.13203962224416277</v>
      </c>
      <c r="AL1358" s="17"/>
      <c r="AM1358" s="17"/>
      <c r="AN1358" s="17"/>
      <c r="AO1358" s="17"/>
      <c r="AP1358" s="28" t="str">
        <f t="shared" si="411"/>
        <v>201812</v>
      </c>
      <c r="AQ1358" s="28" t="str">
        <f t="shared" si="412"/>
        <v>201812JPY</v>
      </c>
      <c r="AR1358" s="206" t="str">
        <f t="shared" si="413"/>
        <v>YAMAHA_Mounter</v>
      </c>
      <c r="AS1358" s="22">
        <f t="shared" si="414"/>
        <v>6</v>
      </c>
      <c r="AT1358" s="24" t="str">
        <f t="shared" si="415"/>
        <v>4-6 months</v>
      </c>
      <c r="AU1358" s="22" t="s">
        <v>3744</v>
      </c>
    </row>
    <row r="1359" spans="1:47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407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416"/>
        <v>30400000</v>
      </c>
      <c r="AA1359" s="13">
        <v>7.0199999999999999E-2</v>
      </c>
      <c r="AB1359" s="21">
        <f t="shared" si="399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02"/>
        <v>10786543.370020689</v>
      </c>
      <c r="AJ1359" s="19">
        <f t="shared" si="403"/>
        <v>1330367.5841569281</v>
      </c>
      <c r="AK1359" s="20">
        <f t="shared" si="410"/>
        <v>0.123335858255987</v>
      </c>
      <c r="AL1359" s="17"/>
      <c r="AM1359" s="17"/>
      <c r="AN1359" s="17"/>
      <c r="AO1359" s="17"/>
      <c r="AP1359" s="28" t="str">
        <f t="shared" si="411"/>
        <v>201810</v>
      </c>
      <c r="AQ1359" s="28" t="str">
        <f t="shared" si="412"/>
        <v>201810JPY</v>
      </c>
      <c r="AR1359" s="206" t="str">
        <f t="shared" si="413"/>
        <v>YAMAHA_Mounter</v>
      </c>
      <c r="AS1359" s="22">
        <f t="shared" si="414"/>
        <v>4</v>
      </c>
      <c r="AT1359" s="24" t="str">
        <f t="shared" si="415"/>
        <v>4-6 months</v>
      </c>
      <c r="AU1359" s="22" t="s">
        <v>3744</v>
      </c>
    </row>
    <row r="1360" spans="1:47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407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416"/>
        <v>15081320</v>
      </c>
      <c r="AA1360" s="13">
        <v>7.6799999999999993E-2</v>
      </c>
      <c r="AB1360" s="21">
        <f t="shared" si="399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02"/>
        <v>45803245.025628321</v>
      </c>
      <c r="AJ1360" s="19">
        <f t="shared" si="403"/>
        <v>5664636.2584379362</v>
      </c>
      <c r="AK1360" s="20">
        <f t="shared" si="410"/>
        <v>0.12367325186825515</v>
      </c>
      <c r="AL1360" s="17"/>
      <c r="AM1360" s="17"/>
      <c r="AN1360" s="17"/>
      <c r="AO1360" s="17"/>
      <c r="AP1360" s="28" t="str">
        <f t="shared" si="411"/>
        <v>20211</v>
      </c>
      <c r="AQ1360" s="28" t="str">
        <f t="shared" si="412"/>
        <v>20211JPY</v>
      </c>
      <c r="AR1360" s="206" t="str">
        <f t="shared" si="413"/>
        <v>YAMAHA_Mounter</v>
      </c>
      <c r="AS1360" s="22">
        <f t="shared" si="414"/>
        <v>2</v>
      </c>
      <c r="AT1360" s="24" t="str">
        <f t="shared" si="415"/>
        <v>0-3 months</v>
      </c>
      <c r="AU1360" s="22" t="s">
        <v>3744</v>
      </c>
    </row>
    <row r="1361" spans="1:47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407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416"/>
        <v>15081320</v>
      </c>
      <c r="AA1361" s="13">
        <v>7.6799999999999993E-2</v>
      </c>
      <c r="AB1361" s="21">
        <f t="shared" si="399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02"/>
        <v>45803245.025628321</v>
      </c>
      <c r="AJ1361" s="19">
        <f t="shared" si="403"/>
        <v>5664636.2584379362</v>
      </c>
      <c r="AK1361" s="20">
        <f t="shared" si="410"/>
        <v>0.12367325186825515</v>
      </c>
      <c r="AL1361" s="17"/>
      <c r="AM1361" s="17"/>
      <c r="AN1361" s="17"/>
      <c r="AO1361" s="17"/>
      <c r="AP1361" s="28" t="str">
        <f t="shared" si="411"/>
        <v>20211</v>
      </c>
      <c r="AQ1361" s="28" t="str">
        <f t="shared" si="412"/>
        <v>20211JPY</v>
      </c>
      <c r="AR1361" s="206" t="str">
        <f t="shared" si="413"/>
        <v>YAMAHA_Mounter</v>
      </c>
      <c r="AS1361" s="22">
        <f t="shared" si="414"/>
        <v>2</v>
      </c>
      <c r="AT1361" s="24" t="str">
        <f t="shared" si="415"/>
        <v>0-3 months</v>
      </c>
      <c r="AU1361" s="22" t="s">
        <v>3744</v>
      </c>
    </row>
    <row r="1362" spans="1:47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407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416"/>
        <v>240000</v>
      </c>
      <c r="AA1362" s="22">
        <v>1</v>
      </c>
      <c r="AB1362" s="21">
        <f t="shared" si="399"/>
        <v>240000</v>
      </c>
      <c r="AC1362" s="25">
        <f t="shared" si="408"/>
        <v>80592</v>
      </c>
      <c r="AD1362" s="22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02"/>
        <v>11472879.764601771</v>
      </c>
      <c r="AJ1362" s="27">
        <f t="shared" si="403"/>
        <v>2038344.1716106194</v>
      </c>
      <c r="AK1362" s="28">
        <f t="shared" si="410"/>
        <v>0.17766630640544948</v>
      </c>
      <c r="AL1362" s="24"/>
      <c r="AM1362" s="24"/>
      <c r="AN1362" s="24"/>
      <c r="AO1362" s="24"/>
      <c r="AP1362" s="28" t="str">
        <f t="shared" si="411"/>
        <v>20245</v>
      </c>
      <c r="AQ1362" s="28" t="str">
        <f t="shared" si="412"/>
        <v>20245HKD</v>
      </c>
      <c r="AR1362" s="206" t="str">
        <f t="shared" si="413"/>
        <v>YAMAHA_Non_Mounter</v>
      </c>
      <c r="AS1362" s="22">
        <f t="shared" si="414"/>
        <v>2</v>
      </c>
      <c r="AT1362" s="24" t="str">
        <f t="shared" si="415"/>
        <v>0-3 months</v>
      </c>
      <c r="AU1362" s="22" t="s">
        <v>3745</v>
      </c>
    </row>
    <row r="1363" spans="1:47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407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6"/>
        <v/>
      </c>
      <c r="AA1363" s="22"/>
      <c r="AB1363" s="197">
        <v>15000</v>
      </c>
      <c r="AC1363" s="198">
        <f t="shared" si="408"/>
        <v>4500</v>
      </c>
      <c r="AD1363" s="22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02"/>
        <v>11472879.764601771</v>
      </c>
      <c r="AJ1363" s="200">
        <f t="shared" si="403"/>
        <v>2038344.1716106194</v>
      </c>
      <c r="AK1363" s="201">
        <f t="shared" si="410"/>
        <v>0.17766630640544948</v>
      </c>
      <c r="AL1363" s="24"/>
      <c r="AM1363" s="24"/>
      <c r="AN1363" s="24"/>
      <c r="AO1363" s="24"/>
      <c r="AP1363" s="105" t="str">
        <f t="shared" si="411"/>
        <v>20245</v>
      </c>
      <c r="AQ1363" s="28" t="str">
        <f t="shared" si="412"/>
        <v/>
      </c>
      <c r="AR1363" s="206" t="str">
        <f t="shared" si="413"/>
        <v>C66 SERVICE</v>
      </c>
      <c r="AS1363" s="22" t="str">
        <f t="shared" si="414"/>
        <v/>
      </c>
      <c r="AT1363" s="24" t="str">
        <f t="shared" si="415"/>
        <v/>
      </c>
      <c r="AU1363" s="22">
        <v>0</v>
      </c>
    </row>
    <row r="1364" spans="1:47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406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407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416"/>
        <v>106568000</v>
      </c>
      <c r="AA1364" s="13">
        <v>7.0699999999999999E-2</v>
      </c>
      <c r="AB1364" s="21">
        <f t="shared" ref="AB1364:AB1389" si="417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02"/>
        <v>499582152.5142017</v>
      </c>
      <c r="AJ1364" s="19">
        <f t="shared" si="403"/>
        <v>59520528.679470733</v>
      </c>
      <c r="AK1364" s="20">
        <f t="shared" si="410"/>
        <v>0.11914062257814291</v>
      </c>
      <c r="AL1364" s="17"/>
      <c r="AM1364" s="17"/>
      <c r="AN1364" s="17"/>
      <c r="AO1364" s="17"/>
      <c r="AP1364" s="28" t="str">
        <f t="shared" si="411"/>
        <v>CancelCancel</v>
      </c>
      <c r="AQ1364" s="28" t="str">
        <f t="shared" si="412"/>
        <v>CancelCancelJPY</v>
      </c>
      <c r="AR1364" s="206" t="str">
        <f t="shared" si="413"/>
        <v>YAMAHA_Mounter</v>
      </c>
      <c r="AS1364" s="22" t="str">
        <f t="shared" si="414"/>
        <v/>
      </c>
      <c r="AT1364" s="24" t="str">
        <f t="shared" si="415"/>
        <v/>
      </c>
      <c r="AU1364" s="22" t="s">
        <v>3744</v>
      </c>
    </row>
    <row r="1365" spans="1:47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407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416"/>
        <v>430000</v>
      </c>
      <c r="AA1365" s="13">
        <v>1.07</v>
      </c>
      <c r="AB1365" s="21">
        <f t="shared" si="417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02"/>
        <v>11730565.00042478</v>
      </c>
      <c r="AJ1365" s="19">
        <f t="shared" si="403"/>
        <v>1439625.5685810833</v>
      </c>
      <c r="AK1365" s="20">
        <f t="shared" si="410"/>
        <v>0.12272431622253084</v>
      </c>
      <c r="AL1365" s="17"/>
      <c r="AM1365" s="17"/>
      <c r="AN1365" s="17"/>
      <c r="AO1365" s="17"/>
      <c r="AP1365" s="28" t="str">
        <f t="shared" si="411"/>
        <v>202311</v>
      </c>
      <c r="AQ1365" s="28" t="str">
        <f t="shared" si="412"/>
        <v>202311RMB</v>
      </c>
      <c r="AR1365" s="206" t="str">
        <f t="shared" si="413"/>
        <v>YAMAHA_Mounter</v>
      </c>
      <c r="AS1365" s="22">
        <f t="shared" si="414"/>
        <v>0</v>
      </c>
      <c r="AT1365" s="24" t="str">
        <f t="shared" si="415"/>
        <v>0-3 months</v>
      </c>
      <c r="AU1365" s="22" t="s">
        <v>3750</v>
      </c>
    </row>
    <row r="1366" spans="1:47" s="12" customFormat="1">
      <c r="A1366" s="33" t="str">
        <f t="shared" si="404"/>
        <v>cancel</v>
      </c>
      <c r="B1366" s="152"/>
      <c r="C1366" s="152" t="s">
        <v>185</v>
      </c>
      <c r="D1366" s="33" t="str">
        <f t="shared" si="405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406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407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416"/>
        <v>515000</v>
      </c>
      <c r="AA1366" s="13">
        <v>1.2</v>
      </c>
      <c r="AB1366" s="21">
        <f t="shared" si="417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02"/>
        <v>499582152.5142017</v>
      </c>
      <c r="AJ1366" s="19">
        <f t="shared" si="403"/>
        <v>59520528.679470733</v>
      </c>
      <c r="AK1366" s="20">
        <f t="shared" si="410"/>
        <v>0.11914062257814291</v>
      </c>
      <c r="AL1366" s="17"/>
      <c r="AM1366" s="17"/>
      <c r="AN1366" s="17"/>
      <c r="AO1366" s="17"/>
      <c r="AP1366" s="28" t="str">
        <f t="shared" si="411"/>
        <v>CancelCANCEL</v>
      </c>
      <c r="AQ1366" s="28" t="str">
        <f t="shared" si="412"/>
        <v>CancelCANCELRMB</v>
      </c>
      <c r="AR1366" s="206" t="str">
        <f t="shared" si="413"/>
        <v>YAMAHA_Mounter</v>
      </c>
      <c r="AS1366" s="22" t="str">
        <f t="shared" si="414"/>
        <v/>
      </c>
      <c r="AT1366" s="24" t="str">
        <f t="shared" si="415"/>
        <v/>
      </c>
      <c r="AU1366" s="22" t="s">
        <v>3240</v>
      </c>
    </row>
    <row r="1367" spans="1:47" s="12" customFormat="1">
      <c r="A1367" s="33" t="str">
        <f t="shared" si="404"/>
        <v>cancel</v>
      </c>
      <c r="B1367" s="152"/>
      <c r="C1367" s="152" t="s">
        <v>185</v>
      </c>
      <c r="D1367" s="33" t="str">
        <f t="shared" si="405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406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407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416"/>
        <v>13600000</v>
      </c>
      <c r="AA1367" s="13">
        <v>6.25E-2</v>
      </c>
      <c r="AB1367" s="21">
        <f t="shared" si="417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02"/>
        <v>499582152.5142017</v>
      </c>
      <c r="AJ1367" s="19">
        <f t="shared" si="403"/>
        <v>59520528.679470733</v>
      </c>
      <c r="AK1367" s="20">
        <f t="shared" si="410"/>
        <v>0.11914062257814291</v>
      </c>
      <c r="AL1367" s="17"/>
      <c r="AM1367" s="17"/>
      <c r="AN1367" s="17"/>
      <c r="AO1367" s="17"/>
      <c r="AP1367" s="28" t="str">
        <f t="shared" si="411"/>
        <v>CancelCancel</v>
      </c>
      <c r="AQ1367" s="28" t="str">
        <f t="shared" si="412"/>
        <v>CancelCancelJPY</v>
      </c>
      <c r="AR1367" s="206" t="str">
        <f t="shared" si="413"/>
        <v>YAMAHA_Mounter</v>
      </c>
      <c r="AS1367" s="22" t="str">
        <f t="shared" si="414"/>
        <v/>
      </c>
      <c r="AT1367" s="24" t="str">
        <f t="shared" si="415"/>
        <v/>
      </c>
      <c r="AU1367" s="22" t="s">
        <v>3744</v>
      </c>
    </row>
    <row r="1368" spans="1:47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407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416"/>
        <v>843000</v>
      </c>
      <c r="AA1368" s="13">
        <v>1.1499999999999999</v>
      </c>
      <c r="AB1368" s="21">
        <f t="shared" si="417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02"/>
        <v>26754147.763010349</v>
      </c>
      <c r="AJ1368" s="19">
        <f t="shared" si="403"/>
        <v>3429137.9965357962</v>
      </c>
      <c r="AK1368" s="20">
        <f t="shared" si="410"/>
        <v>0.12817220069617921</v>
      </c>
      <c r="AL1368" s="17"/>
      <c r="AM1368" s="17"/>
      <c r="AN1368" s="17"/>
      <c r="AO1368" s="17"/>
      <c r="AP1368" s="28" t="str">
        <f t="shared" si="411"/>
        <v>20188</v>
      </c>
      <c r="AQ1368" s="28" t="str">
        <f t="shared" si="412"/>
        <v>20188RMB</v>
      </c>
      <c r="AR1368" s="206" t="str">
        <f t="shared" si="413"/>
        <v>YAMAHA_Mounter</v>
      </c>
      <c r="AS1368" s="22">
        <f t="shared" si="414"/>
        <v>3</v>
      </c>
      <c r="AT1368" s="24" t="str">
        <f t="shared" si="415"/>
        <v>0-3 months</v>
      </c>
      <c r="AU1368" s="22" t="s">
        <v>3240</v>
      </c>
    </row>
    <row r="1369" spans="1:47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407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416"/>
        <v>900000</v>
      </c>
      <c r="AA1369" s="13">
        <v>1.175</v>
      </c>
      <c r="AB1369" s="21">
        <f t="shared" si="417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02"/>
        <v>48763143.537654862</v>
      </c>
      <c r="AJ1369" s="19">
        <f t="shared" si="403"/>
        <v>5924029.9702154724</v>
      </c>
      <c r="AK1369" s="20">
        <f t="shared" si="410"/>
        <v>0.1214858095774925</v>
      </c>
      <c r="AL1369" s="17"/>
      <c r="AM1369" s="17"/>
      <c r="AN1369" s="17"/>
      <c r="AO1369" s="17"/>
      <c r="AP1369" s="28" t="str">
        <f t="shared" si="411"/>
        <v>202012</v>
      </c>
      <c r="AQ1369" s="28" t="str">
        <f t="shared" si="412"/>
        <v>202012RMB</v>
      </c>
      <c r="AR1369" s="206" t="str">
        <f t="shared" si="413"/>
        <v>YAMAHA_Mounter</v>
      </c>
      <c r="AS1369" s="22">
        <f t="shared" si="414"/>
        <v>2</v>
      </c>
      <c r="AT1369" s="24" t="str">
        <f t="shared" si="415"/>
        <v>0-3 months</v>
      </c>
      <c r="AU1369" s="22" t="s">
        <v>3240</v>
      </c>
    </row>
    <row r="1370" spans="1:47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407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416"/>
        <v>620000</v>
      </c>
      <c r="AA1370" s="13">
        <v>1.1850000000000001</v>
      </c>
      <c r="AB1370" s="21">
        <f t="shared" si="417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02"/>
        <v>45803245.025628321</v>
      </c>
      <c r="AJ1370" s="19">
        <f t="shared" si="403"/>
        <v>5664636.2584379362</v>
      </c>
      <c r="AK1370" s="20">
        <f t="shared" si="410"/>
        <v>0.12367325186825515</v>
      </c>
      <c r="AL1370" s="17"/>
      <c r="AM1370" s="17"/>
      <c r="AN1370" s="17"/>
      <c r="AO1370" s="17"/>
      <c r="AP1370" s="28" t="str">
        <f t="shared" si="411"/>
        <v>20211</v>
      </c>
      <c r="AQ1370" s="28" t="str">
        <f t="shared" si="412"/>
        <v>20211RMB</v>
      </c>
      <c r="AR1370" s="206" t="str">
        <f t="shared" si="413"/>
        <v>YAMAHA_Mounter</v>
      </c>
      <c r="AS1370" s="22">
        <f t="shared" si="414"/>
        <v>3</v>
      </c>
      <c r="AT1370" s="24" t="str">
        <f t="shared" si="415"/>
        <v>0-3 months</v>
      </c>
      <c r="AU1370" s="22" t="s">
        <v>3240</v>
      </c>
    </row>
    <row r="1371" spans="1:47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407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416"/>
        <v>875000</v>
      </c>
      <c r="AA1371" s="13">
        <v>1.175</v>
      </c>
      <c r="AB1371" s="21">
        <f t="shared" si="417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02"/>
        <v>48763143.537654862</v>
      </c>
      <c r="AJ1371" s="19">
        <f t="shared" si="403"/>
        <v>5924029.9702154724</v>
      </c>
      <c r="AK1371" s="20">
        <f t="shared" si="410"/>
        <v>0.1214858095774925</v>
      </c>
      <c r="AL1371" s="17"/>
      <c r="AM1371" s="17"/>
      <c r="AN1371" s="17"/>
      <c r="AO1371" s="17"/>
      <c r="AP1371" s="28" t="str">
        <f t="shared" si="411"/>
        <v>202012</v>
      </c>
      <c r="AQ1371" s="28" t="str">
        <f t="shared" si="412"/>
        <v>202012RMB</v>
      </c>
      <c r="AR1371" s="206" t="str">
        <f t="shared" si="413"/>
        <v>YAMAHA_Mounter</v>
      </c>
      <c r="AS1371" s="22">
        <f t="shared" si="414"/>
        <v>8</v>
      </c>
      <c r="AT1371" s="24" t="str">
        <f t="shared" si="415"/>
        <v>&gt; 6 months</v>
      </c>
      <c r="AU1371" s="22" t="s">
        <v>3240</v>
      </c>
    </row>
    <row r="1372" spans="1:47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407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416"/>
        <v>875000</v>
      </c>
      <c r="AA1372" s="13">
        <v>1.175</v>
      </c>
      <c r="AB1372" s="21">
        <f t="shared" si="417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02"/>
        <v>48763143.537654862</v>
      </c>
      <c r="AJ1372" s="19">
        <f t="shared" si="403"/>
        <v>5924029.9702154724</v>
      </c>
      <c r="AK1372" s="20">
        <f t="shared" si="410"/>
        <v>0.1214858095774925</v>
      </c>
      <c r="AL1372" s="17"/>
      <c r="AM1372" s="17"/>
      <c r="AN1372" s="17"/>
      <c r="AO1372" s="17"/>
      <c r="AP1372" s="28" t="str">
        <f t="shared" si="411"/>
        <v>202012</v>
      </c>
      <c r="AQ1372" s="28" t="str">
        <f t="shared" si="412"/>
        <v>202012RMB</v>
      </c>
      <c r="AR1372" s="206" t="str">
        <f t="shared" si="413"/>
        <v>YAMAHA_Mounter</v>
      </c>
      <c r="AS1372" s="22">
        <f t="shared" si="414"/>
        <v>8</v>
      </c>
      <c r="AT1372" s="24" t="str">
        <f t="shared" si="415"/>
        <v>&gt; 6 months</v>
      </c>
      <c r="AU1372" s="22" t="s">
        <v>3240</v>
      </c>
    </row>
    <row r="1373" spans="1:47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407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418">IF(W1373="RMB","1.13", "1")</f>
        <v>1.13</v>
      </c>
      <c r="Z1373" s="18">
        <f t="shared" si="416"/>
        <v>927000</v>
      </c>
      <c r="AA1373" s="13">
        <v>1.155</v>
      </c>
      <c r="AB1373" s="21">
        <f t="shared" si="417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02"/>
        <v>44078731.611185849</v>
      </c>
      <c r="AJ1373" s="19">
        <f t="shared" si="403"/>
        <v>5508173.2163771465</v>
      </c>
      <c r="AK1373" s="20">
        <f t="shared" si="410"/>
        <v>0.12496215328889679</v>
      </c>
      <c r="AL1373" s="17"/>
      <c r="AM1373" s="17"/>
      <c r="AN1373" s="17"/>
      <c r="AO1373" s="17"/>
      <c r="AP1373" s="28" t="str">
        <f t="shared" si="411"/>
        <v>202011</v>
      </c>
      <c r="AQ1373" s="28" t="str">
        <f t="shared" si="412"/>
        <v>202011RMB</v>
      </c>
      <c r="AR1373" s="206" t="str">
        <f t="shared" si="413"/>
        <v>YAMAHA_Mounter</v>
      </c>
      <c r="AS1373" s="22">
        <f t="shared" si="414"/>
        <v>2</v>
      </c>
      <c r="AT1373" s="24" t="str">
        <f t="shared" si="415"/>
        <v>0-3 months</v>
      </c>
      <c r="AU1373" s="22" t="s">
        <v>3240</v>
      </c>
    </row>
    <row r="1374" spans="1:47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407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418"/>
        <v>1.13</v>
      </c>
      <c r="Z1374" s="18">
        <f t="shared" si="416"/>
        <v>927000</v>
      </c>
      <c r="AA1374" s="13">
        <v>1.155</v>
      </c>
      <c r="AB1374" s="21">
        <f t="shared" si="417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02"/>
        <v>44078731.611185849</v>
      </c>
      <c r="AJ1374" s="19">
        <f t="shared" si="403"/>
        <v>5508173.2163771465</v>
      </c>
      <c r="AK1374" s="20">
        <f t="shared" si="410"/>
        <v>0.12496215328889679</v>
      </c>
      <c r="AL1374" s="17"/>
      <c r="AM1374" s="17"/>
      <c r="AN1374" s="17"/>
      <c r="AO1374" s="17"/>
      <c r="AP1374" s="28" t="str">
        <f t="shared" si="411"/>
        <v>202011</v>
      </c>
      <c r="AQ1374" s="28" t="str">
        <f t="shared" si="412"/>
        <v>202011RMB</v>
      </c>
      <c r="AR1374" s="206" t="str">
        <f t="shared" si="413"/>
        <v>YAMAHA_Mounter</v>
      </c>
      <c r="AS1374" s="22">
        <f t="shared" si="414"/>
        <v>2</v>
      </c>
      <c r="AT1374" s="24" t="str">
        <f t="shared" si="415"/>
        <v>0-3 months</v>
      </c>
      <c r="AU1374" s="22" t="s">
        <v>3240</v>
      </c>
    </row>
    <row r="1375" spans="1:47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407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418"/>
        <v>1.13</v>
      </c>
      <c r="Z1375" s="18">
        <f t="shared" si="416"/>
        <v>927000</v>
      </c>
      <c r="AA1375" s="13">
        <v>1.155</v>
      </c>
      <c r="AB1375" s="21">
        <f t="shared" si="417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02"/>
        <v>44078731.611185849</v>
      </c>
      <c r="AJ1375" s="19">
        <f t="shared" si="403"/>
        <v>5508173.2163771465</v>
      </c>
      <c r="AK1375" s="20">
        <f t="shared" si="410"/>
        <v>0.12496215328889679</v>
      </c>
      <c r="AL1375" s="17"/>
      <c r="AM1375" s="17"/>
      <c r="AN1375" s="17"/>
      <c r="AO1375" s="17"/>
      <c r="AP1375" s="28" t="str">
        <f t="shared" si="411"/>
        <v>202011</v>
      </c>
      <c r="AQ1375" s="28" t="str">
        <f t="shared" si="412"/>
        <v>202011RMB</v>
      </c>
      <c r="AR1375" s="206" t="str">
        <f t="shared" si="413"/>
        <v>YAMAHA_Mounter</v>
      </c>
      <c r="AS1375" s="22">
        <f t="shared" si="414"/>
        <v>2</v>
      </c>
      <c r="AT1375" s="24" t="str">
        <f t="shared" si="415"/>
        <v>0-3 months</v>
      </c>
      <c r="AU1375" s="22" t="s">
        <v>3240</v>
      </c>
    </row>
    <row r="1376" spans="1:47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407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418"/>
        <v>1.13</v>
      </c>
      <c r="Z1376" s="18">
        <f t="shared" si="416"/>
        <v>927000</v>
      </c>
      <c r="AA1376" s="13">
        <v>1.155</v>
      </c>
      <c r="AB1376" s="21">
        <f t="shared" si="417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02"/>
        <v>44078731.611185849</v>
      </c>
      <c r="AJ1376" s="19">
        <f t="shared" si="403"/>
        <v>5508173.2163771465</v>
      </c>
      <c r="AK1376" s="20">
        <f t="shared" si="410"/>
        <v>0.12496215328889679</v>
      </c>
      <c r="AL1376" s="17"/>
      <c r="AM1376" s="17"/>
      <c r="AN1376" s="17"/>
      <c r="AO1376" s="17"/>
      <c r="AP1376" s="28" t="str">
        <f t="shared" si="411"/>
        <v>202011</v>
      </c>
      <c r="AQ1376" s="28" t="str">
        <f t="shared" si="412"/>
        <v>202011RMB</v>
      </c>
      <c r="AR1376" s="206" t="str">
        <f t="shared" si="413"/>
        <v>YAMAHA_Mounter</v>
      </c>
      <c r="AS1376" s="22">
        <f t="shared" si="414"/>
        <v>2</v>
      </c>
      <c r="AT1376" s="24" t="str">
        <f t="shared" si="415"/>
        <v>0-3 months</v>
      </c>
      <c r="AU1376" s="22" t="s">
        <v>3240</v>
      </c>
    </row>
    <row r="1377" spans="1:47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407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418"/>
        <v>1.13</v>
      </c>
      <c r="Z1377" s="18">
        <f t="shared" si="416"/>
        <v>927000</v>
      </c>
      <c r="AA1377" s="13">
        <v>1.155</v>
      </c>
      <c r="AB1377" s="21">
        <f t="shared" si="417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02"/>
        <v>44078731.611185849</v>
      </c>
      <c r="AJ1377" s="19">
        <f t="shared" si="403"/>
        <v>5508173.2163771465</v>
      </c>
      <c r="AK1377" s="20">
        <f t="shared" si="410"/>
        <v>0.12496215328889679</v>
      </c>
      <c r="AL1377" s="17"/>
      <c r="AM1377" s="17"/>
      <c r="AN1377" s="17"/>
      <c r="AO1377" s="17"/>
      <c r="AP1377" s="28" t="str">
        <f t="shared" si="411"/>
        <v>202011</v>
      </c>
      <c r="AQ1377" s="28" t="str">
        <f t="shared" si="412"/>
        <v>202011RMB</v>
      </c>
      <c r="AR1377" s="206" t="str">
        <f t="shared" si="413"/>
        <v>YAMAHA_Mounter</v>
      </c>
      <c r="AS1377" s="22">
        <f t="shared" si="414"/>
        <v>2</v>
      </c>
      <c r="AT1377" s="24" t="str">
        <f t="shared" si="415"/>
        <v>0-3 months</v>
      </c>
      <c r="AU1377" s="22" t="s">
        <v>3240</v>
      </c>
    </row>
    <row r="1378" spans="1:47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407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418"/>
        <v>1.13</v>
      </c>
      <c r="Z1378" s="18">
        <f t="shared" si="416"/>
        <v>526000</v>
      </c>
      <c r="AA1378" s="13">
        <v>1.155</v>
      </c>
      <c r="AB1378" s="21">
        <f t="shared" si="417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02"/>
        <v>44078731.611185849</v>
      </c>
      <c r="AJ1378" s="19">
        <f t="shared" si="403"/>
        <v>5508173.2163771465</v>
      </c>
      <c r="AK1378" s="20">
        <f t="shared" si="410"/>
        <v>0.12496215328889679</v>
      </c>
      <c r="AL1378" s="17"/>
      <c r="AM1378" s="17"/>
      <c r="AN1378" s="17"/>
      <c r="AO1378" s="17"/>
      <c r="AP1378" s="28" t="str">
        <f t="shared" si="411"/>
        <v>202011</v>
      </c>
      <c r="AQ1378" s="28" t="str">
        <f t="shared" si="412"/>
        <v>202011RMB</v>
      </c>
      <c r="AR1378" s="206" t="str">
        <f t="shared" si="413"/>
        <v>YAMAHA_Mounter</v>
      </c>
      <c r="AS1378" s="22">
        <f t="shared" si="414"/>
        <v>0</v>
      </c>
      <c r="AT1378" s="24" t="str">
        <f t="shared" si="415"/>
        <v>0-3 months</v>
      </c>
      <c r="AU1378" s="22" t="s">
        <v>3240</v>
      </c>
    </row>
    <row r="1379" spans="1:47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407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418"/>
        <v>1.13</v>
      </c>
      <c r="Z1379" s="18">
        <f t="shared" si="416"/>
        <v>624800</v>
      </c>
      <c r="AA1379" s="13">
        <v>1.2150000000000001</v>
      </c>
      <c r="AB1379" s="21">
        <f t="shared" si="417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02"/>
        <v>54700260.692079648</v>
      </c>
      <c r="AJ1379" s="19">
        <f t="shared" si="403"/>
        <v>7482899.5749188727</v>
      </c>
      <c r="AK1379" s="20">
        <f t="shared" si="410"/>
        <v>0.13679824337660537</v>
      </c>
      <c r="AL1379" s="17"/>
      <c r="AM1379" s="17"/>
      <c r="AN1379" s="17"/>
      <c r="AO1379" s="17"/>
      <c r="AP1379" s="28" t="str">
        <f t="shared" si="411"/>
        <v>20216</v>
      </c>
      <c r="AQ1379" s="28" t="str">
        <f t="shared" si="412"/>
        <v>20216RMB</v>
      </c>
      <c r="AR1379" s="206" t="str">
        <f t="shared" si="413"/>
        <v>YAMAHA_Mounter</v>
      </c>
      <c r="AS1379" s="22">
        <f t="shared" si="414"/>
        <v>2</v>
      </c>
      <c r="AT1379" s="24" t="str">
        <f t="shared" si="415"/>
        <v>0-3 months</v>
      </c>
      <c r="AU1379" s="22" t="s">
        <v>3240</v>
      </c>
    </row>
    <row r="1380" spans="1:47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407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418"/>
        <v>1.13</v>
      </c>
      <c r="Z1380" s="18">
        <f t="shared" si="416"/>
        <v>624800</v>
      </c>
      <c r="AA1380" s="13">
        <v>1.2150000000000001</v>
      </c>
      <c r="AB1380" s="21">
        <f t="shared" si="417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02"/>
        <v>54700260.692079648</v>
      </c>
      <c r="AJ1380" s="19">
        <f t="shared" si="403"/>
        <v>7482899.5749188727</v>
      </c>
      <c r="AK1380" s="20">
        <f t="shared" si="410"/>
        <v>0.13679824337660537</v>
      </c>
      <c r="AL1380" s="17"/>
      <c r="AM1380" s="17"/>
      <c r="AN1380" s="17"/>
      <c r="AO1380" s="17"/>
      <c r="AP1380" s="28" t="str">
        <f t="shared" si="411"/>
        <v>20216</v>
      </c>
      <c r="AQ1380" s="28" t="str">
        <f t="shared" si="412"/>
        <v>20216RMB</v>
      </c>
      <c r="AR1380" s="206" t="str">
        <f t="shared" si="413"/>
        <v>YAMAHA_Mounter</v>
      </c>
      <c r="AS1380" s="22">
        <f t="shared" si="414"/>
        <v>2</v>
      </c>
      <c r="AT1380" s="24" t="str">
        <f t="shared" si="415"/>
        <v>0-3 months</v>
      </c>
      <c r="AU1380" s="22" t="s">
        <v>3240</v>
      </c>
    </row>
    <row r="1381" spans="1:47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407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418"/>
        <v>1.13</v>
      </c>
      <c r="Z1381" s="18">
        <f t="shared" si="416"/>
        <v>624800</v>
      </c>
      <c r="AA1381" s="13">
        <v>1.2150000000000001</v>
      </c>
      <c r="AB1381" s="21">
        <f t="shared" si="417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02"/>
        <v>54700260.692079648</v>
      </c>
      <c r="AJ1381" s="19">
        <f t="shared" si="403"/>
        <v>7482899.5749188727</v>
      </c>
      <c r="AK1381" s="20">
        <f t="shared" si="410"/>
        <v>0.13679824337660537</v>
      </c>
      <c r="AL1381" s="17"/>
      <c r="AM1381" s="17"/>
      <c r="AN1381" s="17"/>
      <c r="AO1381" s="17"/>
      <c r="AP1381" s="28" t="str">
        <f t="shared" si="411"/>
        <v>20216</v>
      </c>
      <c r="AQ1381" s="28" t="str">
        <f t="shared" si="412"/>
        <v>20216RMB</v>
      </c>
      <c r="AR1381" s="206" t="str">
        <f t="shared" si="413"/>
        <v>YAMAHA_Mounter</v>
      </c>
      <c r="AS1381" s="22">
        <f t="shared" si="414"/>
        <v>2</v>
      </c>
      <c r="AT1381" s="24" t="str">
        <f t="shared" si="415"/>
        <v>0-3 months</v>
      </c>
      <c r="AU1381" s="22" t="s">
        <v>3240</v>
      </c>
    </row>
    <row r="1382" spans="1:47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407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418"/>
        <v>1.13</v>
      </c>
      <c r="Z1382" s="18">
        <f t="shared" si="416"/>
        <v>624800</v>
      </c>
      <c r="AA1382" s="13">
        <v>1.2150000000000001</v>
      </c>
      <c r="AB1382" s="21">
        <f t="shared" si="417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02"/>
        <v>54700260.692079648</v>
      </c>
      <c r="AJ1382" s="19">
        <f t="shared" si="403"/>
        <v>7482899.5749188727</v>
      </c>
      <c r="AK1382" s="20">
        <f t="shared" si="410"/>
        <v>0.13679824337660537</v>
      </c>
      <c r="AL1382" s="17"/>
      <c r="AM1382" s="17"/>
      <c r="AN1382" s="17"/>
      <c r="AO1382" s="17"/>
      <c r="AP1382" s="28" t="str">
        <f t="shared" si="411"/>
        <v>20216</v>
      </c>
      <c r="AQ1382" s="28" t="str">
        <f t="shared" si="412"/>
        <v>20216RMB</v>
      </c>
      <c r="AR1382" s="206" t="str">
        <f t="shared" si="413"/>
        <v>YAMAHA_Mounter</v>
      </c>
      <c r="AS1382" s="22">
        <f t="shared" si="414"/>
        <v>2</v>
      </c>
      <c r="AT1382" s="24" t="str">
        <f t="shared" si="415"/>
        <v>0-3 months</v>
      </c>
      <c r="AU1382" s="22" t="s">
        <v>3240</v>
      </c>
    </row>
    <row r="1383" spans="1:47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407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418"/>
        <v>1.13</v>
      </c>
      <c r="Z1383" s="18">
        <f t="shared" si="416"/>
        <v>624800</v>
      </c>
      <c r="AA1383" s="13">
        <v>1.2150000000000001</v>
      </c>
      <c r="AB1383" s="21">
        <f t="shared" si="417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02"/>
        <v>54700260.692079648</v>
      </c>
      <c r="AJ1383" s="19">
        <f t="shared" si="403"/>
        <v>7482899.5749188727</v>
      </c>
      <c r="AK1383" s="20">
        <f t="shared" si="410"/>
        <v>0.13679824337660537</v>
      </c>
      <c r="AL1383" s="17"/>
      <c r="AM1383" s="17"/>
      <c r="AN1383" s="17"/>
      <c r="AO1383" s="17"/>
      <c r="AP1383" s="28" t="str">
        <f t="shared" si="411"/>
        <v>20216</v>
      </c>
      <c r="AQ1383" s="28" t="str">
        <f t="shared" si="412"/>
        <v>20216RMB</v>
      </c>
      <c r="AR1383" s="206" t="str">
        <f t="shared" si="413"/>
        <v>YAMAHA_Mounter</v>
      </c>
      <c r="AS1383" s="22">
        <f t="shared" si="414"/>
        <v>2</v>
      </c>
      <c r="AT1383" s="24" t="str">
        <f t="shared" si="415"/>
        <v>0-3 months</v>
      </c>
      <c r="AU1383" s="22" t="s">
        <v>3240</v>
      </c>
    </row>
    <row r="1384" spans="1:47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418"/>
        <v>1.13</v>
      </c>
      <c r="Z1384" s="18">
        <f t="shared" si="416"/>
        <v>8000</v>
      </c>
      <c r="AA1384" s="13">
        <v>1.22</v>
      </c>
      <c r="AB1384" s="21">
        <f t="shared" si="417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02"/>
        <v>28726768.133805312</v>
      </c>
      <c r="AJ1384" s="19">
        <f t="shared" si="403"/>
        <v>3853638.1988864429</v>
      </c>
      <c r="AK1384" s="20">
        <f t="shared" si="410"/>
        <v>0.1341479898099476</v>
      </c>
      <c r="AL1384" s="17"/>
      <c r="AM1384" s="17"/>
      <c r="AN1384" s="17"/>
      <c r="AO1384" s="17"/>
      <c r="AP1384" s="28" t="str">
        <f t="shared" si="411"/>
        <v>20223</v>
      </c>
      <c r="AQ1384" s="28" t="str">
        <f t="shared" si="412"/>
        <v>20223RMB</v>
      </c>
      <c r="AR1384" s="206" t="str">
        <f t="shared" si="413"/>
        <v>YAMAHA_Mounter</v>
      </c>
      <c r="AS1384" s="22">
        <f t="shared" si="414"/>
        <v>0</v>
      </c>
      <c r="AT1384" s="24" t="str">
        <f t="shared" si="415"/>
        <v>0-3 months</v>
      </c>
      <c r="AU1384" s="22" t="s">
        <v>3240</v>
      </c>
    </row>
    <row r="1385" spans="1:47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407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418"/>
        <v>1.13</v>
      </c>
      <c r="Z1385" s="18">
        <f t="shared" si="416"/>
        <v>561000</v>
      </c>
      <c r="AA1385" s="13">
        <v>1.1950000000000001</v>
      </c>
      <c r="AB1385" s="21">
        <f t="shared" si="417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02"/>
        <v>44014086.982070789</v>
      </c>
      <c r="AJ1385" s="19">
        <f t="shared" si="403"/>
        <v>6419974.0221889298</v>
      </c>
      <c r="AK1385" s="20">
        <f t="shared" si="410"/>
        <v>0.14586180158193709</v>
      </c>
      <c r="AL1385" s="17"/>
      <c r="AM1385" s="17"/>
      <c r="AN1385" s="17"/>
      <c r="AO1385" s="17"/>
      <c r="AP1385" s="28" t="str">
        <f t="shared" si="411"/>
        <v>20225</v>
      </c>
      <c r="AQ1385" s="28" t="str">
        <f t="shared" si="412"/>
        <v>20225RMB</v>
      </c>
      <c r="AR1385" s="206" t="str">
        <f t="shared" si="413"/>
        <v>YAMAHA_Mounter</v>
      </c>
      <c r="AS1385" s="22">
        <f t="shared" si="414"/>
        <v>3</v>
      </c>
      <c r="AT1385" s="24" t="str">
        <f t="shared" si="415"/>
        <v>0-3 months</v>
      </c>
      <c r="AU1385" s="22" t="s">
        <v>3240</v>
      </c>
    </row>
    <row r="1386" spans="1:47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418"/>
        <v>1.13</v>
      </c>
      <c r="Z1386" s="18">
        <f t="shared" si="416"/>
        <v>5600</v>
      </c>
      <c r="AA1386" s="13">
        <v>1.105</v>
      </c>
      <c r="AB1386" s="21">
        <f t="shared" si="417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02"/>
        <v>35682787.057522126</v>
      </c>
      <c r="AJ1386" s="19">
        <f t="shared" si="403"/>
        <v>5833368.3789623892</v>
      </c>
      <c r="AK1386" s="20">
        <f t="shared" si="410"/>
        <v>0.16347849649632912</v>
      </c>
      <c r="AL1386" s="17"/>
      <c r="AM1386" s="17"/>
      <c r="AN1386" s="17"/>
      <c r="AO1386" s="17"/>
      <c r="AP1386" s="28" t="str">
        <f t="shared" si="411"/>
        <v>20226</v>
      </c>
      <c r="AQ1386" s="28" t="str">
        <f t="shared" si="412"/>
        <v>20226RMB</v>
      </c>
      <c r="AR1386" s="206" t="str">
        <f t="shared" si="413"/>
        <v>YAMAHA_Mounter</v>
      </c>
      <c r="AS1386" s="22">
        <f t="shared" si="414"/>
        <v>0</v>
      </c>
      <c r="AT1386" s="24" t="str">
        <f t="shared" si="415"/>
        <v>0-3 months</v>
      </c>
      <c r="AU1386" s="22" t="s">
        <v>3240</v>
      </c>
    </row>
    <row r="1387" spans="1:47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407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418"/>
        <v>1.13</v>
      </c>
      <c r="Z1387" s="18">
        <f t="shared" si="416"/>
        <v>420000</v>
      </c>
      <c r="AA1387" s="13">
        <v>1.081</v>
      </c>
      <c r="AB1387" s="21">
        <f t="shared" si="417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02"/>
        <v>15951056.41591504</v>
      </c>
      <c r="AJ1387" s="19">
        <f t="shared" si="403"/>
        <v>1966354.6022462982</v>
      </c>
      <c r="AK1387" s="20">
        <f t="shared" si="410"/>
        <v>0.12327425538313459</v>
      </c>
      <c r="AL1387" s="17"/>
      <c r="AM1387" s="17"/>
      <c r="AN1387" s="17"/>
      <c r="AO1387" s="17"/>
      <c r="AP1387" s="28" t="str">
        <f t="shared" si="411"/>
        <v>20237</v>
      </c>
      <c r="AQ1387" s="28" t="str">
        <f t="shared" si="412"/>
        <v>20237RMB</v>
      </c>
      <c r="AR1387" s="206" t="str">
        <f t="shared" si="413"/>
        <v>YAMAHA_Mounter</v>
      </c>
      <c r="AS1387" s="22">
        <f t="shared" si="414"/>
        <v>2</v>
      </c>
      <c r="AT1387" s="24" t="str">
        <f t="shared" si="415"/>
        <v>0-3 months</v>
      </c>
      <c r="AU1387" s="22" t="s">
        <v>3240</v>
      </c>
    </row>
    <row r="1388" spans="1:47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407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418"/>
        <v>1.13</v>
      </c>
      <c r="Z1388" s="18">
        <f t="shared" si="416"/>
        <v>420000</v>
      </c>
      <c r="AA1388" s="13">
        <v>1.081</v>
      </c>
      <c r="AB1388" s="21">
        <f t="shared" si="417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02"/>
        <v>15951056.41591504</v>
      </c>
      <c r="AJ1388" s="19">
        <f t="shared" si="403"/>
        <v>1966354.6022462982</v>
      </c>
      <c r="AK1388" s="20">
        <f t="shared" si="410"/>
        <v>0.12327425538313459</v>
      </c>
      <c r="AL1388" s="17"/>
      <c r="AM1388" s="17"/>
      <c r="AN1388" s="17"/>
      <c r="AO1388" s="17"/>
      <c r="AP1388" s="28" t="str">
        <f t="shared" si="411"/>
        <v>20237</v>
      </c>
      <c r="AQ1388" s="28" t="str">
        <f t="shared" si="412"/>
        <v>20237RMB</v>
      </c>
      <c r="AR1388" s="206" t="str">
        <f t="shared" si="413"/>
        <v>YAMAHA_Mounter</v>
      </c>
      <c r="AS1388" s="22">
        <f t="shared" si="414"/>
        <v>2</v>
      </c>
      <c r="AT1388" s="24" t="str">
        <f t="shared" si="415"/>
        <v>0-3 months</v>
      </c>
      <c r="AU1388" s="22" t="s">
        <v>3240</v>
      </c>
    </row>
    <row r="1389" spans="1:47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407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418"/>
        <v>1.13</v>
      </c>
      <c r="Z1389" s="18">
        <f t="shared" si="416"/>
        <v>670000</v>
      </c>
      <c r="AA1389" s="13">
        <v>1.077</v>
      </c>
      <c r="AB1389" s="21">
        <f t="shared" si="417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02"/>
        <v>26078226.463097349</v>
      </c>
      <c r="AJ1389" s="19">
        <f t="shared" si="403"/>
        <v>3137870.4427774516</v>
      </c>
      <c r="AK1389" s="20">
        <f t="shared" si="410"/>
        <v>0.12032530077218917</v>
      </c>
      <c r="AL1389" s="17"/>
      <c r="AM1389" s="17"/>
      <c r="AN1389" s="17"/>
      <c r="AO1389" s="17"/>
      <c r="AP1389" s="28" t="str">
        <f t="shared" si="411"/>
        <v>20239</v>
      </c>
      <c r="AQ1389" s="28" t="str">
        <f t="shared" si="412"/>
        <v>20239RMB</v>
      </c>
      <c r="AR1389" s="206" t="str">
        <f t="shared" si="413"/>
        <v>YAMAHA_Mounter</v>
      </c>
      <c r="AS1389" s="22">
        <f t="shared" si="414"/>
        <v>1</v>
      </c>
      <c r="AT1389" s="24" t="str">
        <f t="shared" si="415"/>
        <v>0-3 months</v>
      </c>
      <c r="AU1389" s="22" t="s">
        <v>3240</v>
      </c>
    </row>
    <row r="1390" spans="1:47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407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6"/>
        <v/>
      </c>
      <c r="AA1390" s="22"/>
      <c r="AB1390" s="197">
        <v>46000</v>
      </c>
      <c r="AC1390" s="198">
        <f t="shared" si="408"/>
        <v>13800</v>
      </c>
      <c r="AD1390" s="22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02"/>
        <v>11472879.764601771</v>
      </c>
      <c r="AJ1390" s="200">
        <f t="shared" si="403"/>
        <v>2038344.1716106194</v>
      </c>
      <c r="AK1390" s="201">
        <f t="shared" si="410"/>
        <v>0.17766630640544948</v>
      </c>
      <c r="AL1390" s="24"/>
      <c r="AM1390" s="24"/>
      <c r="AN1390" s="24"/>
      <c r="AO1390" s="24"/>
      <c r="AP1390" s="105" t="str">
        <f t="shared" si="411"/>
        <v>20245</v>
      </c>
      <c r="AQ1390" s="28" t="str">
        <f t="shared" si="412"/>
        <v/>
      </c>
      <c r="AR1390" s="206" t="str">
        <f t="shared" si="413"/>
        <v>C66 SERVICE</v>
      </c>
      <c r="AS1390" s="22" t="str">
        <f t="shared" si="414"/>
        <v/>
      </c>
      <c r="AT1390" s="24" t="str">
        <f t="shared" si="415"/>
        <v/>
      </c>
      <c r="AU1390" s="22">
        <v>0</v>
      </c>
    </row>
    <row r="1391" spans="1:47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407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416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02"/>
        <v>5219988.5752212387</v>
      </c>
      <c r="AJ1391" s="19">
        <f t="shared" si="403"/>
        <v>631627.0013460177</v>
      </c>
      <c r="AK1391" s="96">
        <f t="shared" si="410"/>
        <v>0.12100160608478869</v>
      </c>
      <c r="AL1391" s="17"/>
      <c r="AM1391" s="17"/>
      <c r="AN1391" s="17"/>
      <c r="AO1391" s="17"/>
      <c r="AP1391" s="28" t="str">
        <f t="shared" si="411"/>
        <v>202310</v>
      </c>
      <c r="AQ1391" s="28" t="str">
        <f t="shared" si="412"/>
        <v>202310RMB</v>
      </c>
      <c r="AR1391" s="206" t="str">
        <f t="shared" si="413"/>
        <v>YAMAHA_Mounter</v>
      </c>
      <c r="AS1391" s="22">
        <f t="shared" si="414"/>
        <v>3</v>
      </c>
      <c r="AT1391" s="24" t="str">
        <f t="shared" si="415"/>
        <v>0-3 months</v>
      </c>
      <c r="AU1391" s="22" t="s">
        <v>3240</v>
      </c>
    </row>
    <row r="1392" spans="1:47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407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6"/>
        <v/>
      </c>
      <c r="AA1392" s="22"/>
      <c r="AB1392" s="197">
        <v>100000</v>
      </c>
      <c r="AC1392" s="198">
        <f t="shared" si="408"/>
        <v>30000</v>
      </c>
      <c r="AD1392" s="22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02"/>
        <v>11472879.764601771</v>
      </c>
      <c r="AJ1392" s="200">
        <f t="shared" si="403"/>
        <v>2038344.1716106194</v>
      </c>
      <c r="AK1392" s="201">
        <f t="shared" si="410"/>
        <v>0.17766630640544948</v>
      </c>
      <c r="AL1392" s="24"/>
      <c r="AM1392" s="24"/>
      <c r="AN1392" s="24"/>
      <c r="AO1392" s="24"/>
      <c r="AP1392" s="105" t="str">
        <f t="shared" si="411"/>
        <v>20245</v>
      </c>
      <c r="AQ1392" s="28" t="str">
        <f t="shared" si="412"/>
        <v/>
      </c>
      <c r="AR1392" s="206" t="str">
        <f t="shared" si="413"/>
        <v>C66 SERVICE</v>
      </c>
      <c r="AS1392" s="22" t="str">
        <f t="shared" si="414"/>
        <v/>
      </c>
      <c r="AT1392" s="24" t="str">
        <f t="shared" si="415"/>
        <v/>
      </c>
      <c r="AU1392" s="22">
        <v>0</v>
      </c>
    </row>
    <row r="1393" spans="1:47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407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416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02"/>
        <v>28726768.133805312</v>
      </c>
      <c r="AJ1393" s="19">
        <f t="shared" si="403"/>
        <v>3853638.1988864429</v>
      </c>
      <c r="AK1393" s="20">
        <f t="shared" si="410"/>
        <v>0.1341479898099476</v>
      </c>
      <c r="AL1393" s="17"/>
      <c r="AM1393" s="17"/>
      <c r="AN1393" s="17"/>
      <c r="AO1393" s="17"/>
      <c r="AP1393" s="28" t="str">
        <f t="shared" si="411"/>
        <v>20223</v>
      </c>
      <c r="AQ1393" s="28" t="str">
        <f t="shared" si="412"/>
        <v>20223RMB</v>
      </c>
      <c r="AR1393" s="206" t="str">
        <f t="shared" si="413"/>
        <v>YAMAHA_Mounter</v>
      </c>
      <c r="AS1393" s="22">
        <f t="shared" si="414"/>
        <v>8</v>
      </c>
      <c r="AT1393" s="24" t="str">
        <f t="shared" si="415"/>
        <v>&gt; 6 months</v>
      </c>
      <c r="AU1393" s="22" t="s">
        <v>3240</v>
      </c>
    </row>
    <row r="1394" spans="1:47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407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416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02"/>
        <v>28726768.133805312</v>
      </c>
      <c r="AJ1394" s="19">
        <f t="shared" si="403"/>
        <v>3853638.1988864429</v>
      </c>
      <c r="AK1394" s="20">
        <f t="shared" si="410"/>
        <v>0.1341479898099476</v>
      </c>
      <c r="AL1394" s="17"/>
      <c r="AM1394" s="17"/>
      <c r="AN1394" s="17"/>
      <c r="AO1394" s="17"/>
      <c r="AP1394" s="28" t="str">
        <f t="shared" si="411"/>
        <v>20223</v>
      </c>
      <c r="AQ1394" s="28" t="str">
        <f t="shared" si="412"/>
        <v>20223RMB</v>
      </c>
      <c r="AR1394" s="206" t="str">
        <f t="shared" si="413"/>
        <v>YAMAHA_Mounter</v>
      </c>
      <c r="AS1394" s="22">
        <f t="shared" si="414"/>
        <v>8</v>
      </c>
      <c r="AT1394" s="24" t="str">
        <f t="shared" si="415"/>
        <v>&gt; 6 months</v>
      </c>
      <c r="AU1394" s="22" t="s">
        <v>3240</v>
      </c>
    </row>
    <row r="1395" spans="1:47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406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407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416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02"/>
        <v>499582152.5142017</v>
      </c>
      <c r="AJ1395" s="19">
        <f t="shared" si="403"/>
        <v>59520528.679470733</v>
      </c>
      <c r="AK1395" s="20">
        <f t="shared" si="410"/>
        <v>0.11914062257814291</v>
      </c>
      <c r="AL1395" s="17"/>
      <c r="AM1395" s="17"/>
      <c r="AN1395" s="17"/>
      <c r="AO1395" s="17"/>
      <c r="AP1395" s="28" t="str">
        <f t="shared" si="411"/>
        <v>CancelCancel</v>
      </c>
      <c r="AQ1395" s="28" t="str">
        <f t="shared" si="412"/>
        <v>CancelCancelRMB</v>
      </c>
      <c r="AR1395" s="206" t="str">
        <f t="shared" si="413"/>
        <v>YAMAHA_Mounter</v>
      </c>
      <c r="AS1395" s="22" t="str">
        <f t="shared" si="414"/>
        <v/>
      </c>
      <c r="AT1395" s="24" t="str">
        <f t="shared" si="415"/>
        <v/>
      </c>
      <c r="AU1395" s="22" t="s">
        <v>3240</v>
      </c>
    </row>
    <row r="1396" spans="1:47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406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407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416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02"/>
        <v>499582152.5142017</v>
      </c>
      <c r="AJ1396" s="19">
        <f t="shared" si="403"/>
        <v>59520528.679470733</v>
      </c>
      <c r="AK1396" s="20">
        <f t="shared" si="410"/>
        <v>0.11914062257814291</v>
      </c>
      <c r="AL1396" s="17"/>
      <c r="AM1396" s="17"/>
      <c r="AN1396" s="17"/>
      <c r="AO1396" s="17"/>
      <c r="AP1396" s="28" t="str">
        <f t="shared" si="411"/>
        <v>CancelCancel</v>
      </c>
      <c r="AQ1396" s="28" t="str">
        <f t="shared" si="412"/>
        <v>CancelCancelRMB</v>
      </c>
      <c r="AR1396" s="206" t="str">
        <f t="shared" si="413"/>
        <v>YAMAHA_Mounter</v>
      </c>
      <c r="AS1396" s="22" t="str">
        <f t="shared" si="414"/>
        <v/>
      </c>
      <c r="AT1396" s="24" t="str">
        <f t="shared" si="415"/>
        <v/>
      </c>
      <c r="AU1396" s="22" t="s">
        <v>3240</v>
      </c>
    </row>
    <row r="1397" spans="1:47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407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6"/>
        <v/>
      </c>
      <c r="AA1397" s="22"/>
      <c r="AB1397" s="197">
        <v>266000</v>
      </c>
      <c r="AC1397" s="198">
        <f t="shared" si="408"/>
        <v>79800</v>
      </c>
      <c r="AD1397" s="22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02"/>
        <v>11472879.764601771</v>
      </c>
      <c r="AJ1397" s="200">
        <f t="shared" si="403"/>
        <v>2038344.1716106194</v>
      </c>
      <c r="AK1397" s="201">
        <f t="shared" si="410"/>
        <v>0.17766630640544948</v>
      </c>
      <c r="AL1397" s="24"/>
      <c r="AM1397" s="24"/>
      <c r="AN1397" s="24"/>
      <c r="AO1397" s="24"/>
      <c r="AP1397" s="105" t="str">
        <f t="shared" si="411"/>
        <v>20245</v>
      </c>
      <c r="AQ1397" s="28" t="str">
        <f t="shared" si="412"/>
        <v/>
      </c>
      <c r="AR1397" s="206" t="str">
        <f t="shared" si="413"/>
        <v>C66 SERVICE</v>
      </c>
      <c r="AS1397" s="22" t="str">
        <f t="shared" si="414"/>
        <v/>
      </c>
      <c r="AT1397" s="24" t="str">
        <f t="shared" si="415"/>
        <v/>
      </c>
      <c r="AU1397" s="22">
        <v>0</v>
      </c>
    </row>
    <row r="1398" spans="1:47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407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416"/>
        <v>90550</v>
      </c>
      <c r="AA1398" s="22">
        <v>1.08</v>
      </c>
      <c r="AB1398" s="21">
        <f t="shared" ref="AB1398:AB1461" si="419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02"/>
        <v>27308925.887079656</v>
      </c>
      <c r="AJ1398" s="27">
        <f t="shared" si="403"/>
        <v>3319273.860338124</v>
      </c>
      <c r="AK1398" s="28">
        <f t="shared" si="410"/>
        <v>0.12154538314919709</v>
      </c>
      <c r="AL1398" s="24"/>
      <c r="AM1398" s="24"/>
      <c r="AN1398" s="24"/>
      <c r="AO1398" s="24"/>
      <c r="AP1398" s="28" t="str">
        <f t="shared" si="411"/>
        <v>20246</v>
      </c>
      <c r="AQ1398" s="28" t="str">
        <f t="shared" si="412"/>
        <v>20246RMB</v>
      </c>
      <c r="AR1398" s="206" t="str">
        <f t="shared" si="413"/>
        <v>LOCAL SUPPLIER</v>
      </c>
      <c r="AS1398" s="22">
        <f t="shared" si="414"/>
        <v>2</v>
      </c>
      <c r="AT1398" s="24" t="str">
        <f t="shared" si="415"/>
        <v>0-3 months</v>
      </c>
      <c r="AU1398" s="22" t="s">
        <v>3240</v>
      </c>
    </row>
    <row r="1399" spans="1:47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407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416"/>
        <v>993800</v>
      </c>
      <c r="AA1399" s="13">
        <v>1.22</v>
      </c>
      <c r="AB1399" s="21">
        <f t="shared" si="419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02"/>
        <v>26407088.359292038</v>
      </c>
      <c r="AJ1399" s="19">
        <f t="shared" si="403"/>
        <v>3424510.6998470789</v>
      </c>
      <c r="AK1399" s="20">
        <f t="shared" si="410"/>
        <v>0.12968149510667554</v>
      </c>
      <c r="AL1399" s="17"/>
      <c r="AM1399" s="17"/>
      <c r="AN1399" s="17"/>
      <c r="AO1399" s="17"/>
      <c r="AP1399" s="28" t="str">
        <f t="shared" si="411"/>
        <v>20221</v>
      </c>
      <c r="AQ1399" s="28" t="str">
        <f t="shared" si="412"/>
        <v>20221RMB</v>
      </c>
      <c r="AR1399" s="206" t="str">
        <f t="shared" si="413"/>
        <v>YAMAHA_Mounter</v>
      </c>
      <c r="AS1399" s="22">
        <f t="shared" si="414"/>
        <v>2</v>
      </c>
      <c r="AT1399" s="24" t="str">
        <f t="shared" si="415"/>
        <v>0-3 months</v>
      </c>
      <c r="AU1399" s="22" t="s">
        <v>3240</v>
      </c>
    </row>
    <row r="1400" spans="1:47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407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416"/>
        <v>706050</v>
      </c>
      <c r="AA1400" s="13">
        <v>1.22</v>
      </c>
      <c r="AB1400" s="21">
        <f t="shared" si="419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02"/>
        <v>28726768.133805312</v>
      </c>
      <c r="AJ1400" s="19">
        <f t="shared" si="403"/>
        <v>3853638.1988864429</v>
      </c>
      <c r="AK1400" s="20">
        <f t="shared" si="410"/>
        <v>0.1341479898099476</v>
      </c>
      <c r="AL1400" s="17"/>
      <c r="AM1400" s="17"/>
      <c r="AN1400" s="17"/>
      <c r="AO1400" s="17"/>
      <c r="AP1400" s="28" t="str">
        <f t="shared" si="411"/>
        <v>20223</v>
      </c>
      <c r="AQ1400" s="28" t="str">
        <f t="shared" si="412"/>
        <v>20223RMB</v>
      </c>
      <c r="AR1400" s="206" t="str">
        <f t="shared" si="413"/>
        <v>YAMAHA_Mounter</v>
      </c>
      <c r="AS1400" s="22">
        <f t="shared" si="414"/>
        <v>3</v>
      </c>
      <c r="AT1400" s="24" t="str">
        <f t="shared" si="415"/>
        <v>0-3 months</v>
      </c>
      <c r="AU1400" s="22" t="s">
        <v>3240</v>
      </c>
    </row>
    <row r="1401" spans="1:47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407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416"/>
        <v>993800</v>
      </c>
      <c r="AA1401" s="13">
        <v>1.22</v>
      </c>
      <c r="AB1401" s="21">
        <f t="shared" si="419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02"/>
        <v>28726768.133805312</v>
      </c>
      <c r="AJ1401" s="19">
        <f t="shared" si="403"/>
        <v>3853638.1988864429</v>
      </c>
      <c r="AK1401" s="20">
        <f t="shared" si="410"/>
        <v>0.1341479898099476</v>
      </c>
      <c r="AL1401" s="17"/>
      <c r="AM1401" s="17"/>
      <c r="AN1401" s="17"/>
      <c r="AO1401" s="17"/>
      <c r="AP1401" s="28" t="str">
        <f t="shared" si="411"/>
        <v>20223</v>
      </c>
      <c r="AQ1401" s="28" t="str">
        <f t="shared" si="412"/>
        <v>20223RMB</v>
      </c>
      <c r="AR1401" s="206" t="str">
        <f t="shared" si="413"/>
        <v>YAMAHA_Mounter</v>
      </c>
      <c r="AS1401" s="22">
        <f t="shared" si="414"/>
        <v>4</v>
      </c>
      <c r="AT1401" s="24" t="str">
        <f t="shared" si="415"/>
        <v>4-6 months</v>
      </c>
      <c r="AU1401" s="22" t="s">
        <v>3240</v>
      </c>
    </row>
    <row r="1402" spans="1:47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407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416"/>
        <v>706050</v>
      </c>
      <c r="AA1402" s="13">
        <v>1.175</v>
      </c>
      <c r="AB1402" s="21">
        <f t="shared" si="419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02"/>
        <v>35682787.057522126</v>
      </c>
      <c r="AJ1402" s="19">
        <f t="shared" si="403"/>
        <v>5833368.3789623892</v>
      </c>
      <c r="AK1402" s="20">
        <f t="shared" si="410"/>
        <v>0.16347849649632912</v>
      </c>
      <c r="AL1402" s="17"/>
      <c r="AM1402" s="17"/>
      <c r="AN1402" s="17"/>
      <c r="AO1402" s="17"/>
      <c r="AP1402" s="28" t="str">
        <f t="shared" si="411"/>
        <v>20226</v>
      </c>
      <c r="AQ1402" s="28" t="str">
        <f t="shared" si="412"/>
        <v>20226RMB</v>
      </c>
      <c r="AR1402" s="206" t="str">
        <f t="shared" si="413"/>
        <v>YAMAHA_Mounter</v>
      </c>
      <c r="AS1402" s="22">
        <f t="shared" si="414"/>
        <v>6</v>
      </c>
      <c r="AT1402" s="24" t="str">
        <f t="shared" si="415"/>
        <v>4-6 months</v>
      </c>
      <c r="AU1402" s="22" t="s">
        <v>3240</v>
      </c>
    </row>
    <row r="1403" spans="1:47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406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407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416"/>
        <v>790000</v>
      </c>
      <c r="AA1403" s="13">
        <v>1.0900000000000001</v>
      </c>
      <c r="AB1403" s="21">
        <f t="shared" si="419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02"/>
        <v>499582152.5142017</v>
      </c>
      <c r="AJ1403" s="19">
        <f t="shared" si="403"/>
        <v>59520528.679470733</v>
      </c>
      <c r="AK1403" s="20">
        <f t="shared" si="410"/>
        <v>0.11914062257814291</v>
      </c>
      <c r="AL1403" s="17"/>
      <c r="AM1403" s="17"/>
      <c r="AN1403" s="17"/>
      <c r="AO1403" s="17" t="s">
        <v>3366</v>
      </c>
      <c r="AP1403" s="28" t="str">
        <f t="shared" si="411"/>
        <v>CancelCancel</v>
      </c>
      <c r="AQ1403" s="28" t="str">
        <f t="shared" si="412"/>
        <v>CancelCancelRMB</v>
      </c>
      <c r="AR1403" s="206" t="str">
        <f t="shared" si="413"/>
        <v>YAMAHA_Mounter</v>
      </c>
      <c r="AS1403" s="22" t="str">
        <f t="shared" si="414"/>
        <v/>
      </c>
      <c r="AT1403" s="24" t="str">
        <f t="shared" si="415"/>
        <v/>
      </c>
      <c r="AU1403" s="22" t="s">
        <v>3240</v>
      </c>
    </row>
    <row r="1404" spans="1:47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407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416"/>
        <v>19698</v>
      </c>
      <c r="AA1404" s="22">
        <v>1.08</v>
      </c>
      <c r="AB1404" s="21">
        <f t="shared" si="419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02"/>
        <v>27308925.887079656</v>
      </c>
      <c r="AJ1404" s="27">
        <f t="shared" si="403"/>
        <v>3319273.860338124</v>
      </c>
      <c r="AK1404" s="28">
        <f t="shared" si="410"/>
        <v>0.12154538314919709</v>
      </c>
      <c r="AL1404" s="24"/>
      <c r="AM1404" s="24"/>
      <c r="AN1404" s="24"/>
      <c r="AO1404" s="24"/>
      <c r="AP1404" s="28" t="str">
        <f t="shared" si="411"/>
        <v>20246</v>
      </c>
      <c r="AQ1404" s="28" t="str">
        <f t="shared" si="412"/>
        <v>20246RMB</v>
      </c>
      <c r="AR1404" s="206" t="str">
        <f t="shared" si="413"/>
        <v>LOCAL SUPPLIER</v>
      </c>
      <c r="AS1404" s="22">
        <f t="shared" si="414"/>
        <v>2</v>
      </c>
      <c r="AT1404" s="24" t="str">
        <f t="shared" si="415"/>
        <v>0-3 months</v>
      </c>
      <c r="AU1404" s="22" t="s">
        <v>3240</v>
      </c>
    </row>
    <row r="1405" spans="1:47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407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416"/>
        <v>19600</v>
      </c>
      <c r="AA1405" s="22">
        <v>1.08</v>
      </c>
      <c r="AB1405" s="21">
        <f t="shared" si="419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02"/>
        <v>27308925.887079656</v>
      </c>
      <c r="AJ1405" s="27">
        <f t="shared" si="403"/>
        <v>3319273.860338124</v>
      </c>
      <c r="AK1405" s="28">
        <f t="shared" si="410"/>
        <v>0.12154538314919709</v>
      </c>
      <c r="AL1405" s="24"/>
      <c r="AM1405" s="24"/>
      <c r="AN1405" s="24"/>
      <c r="AO1405" s="24"/>
      <c r="AP1405" s="28" t="str">
        <f t="shared" si="411"/>
        <v>20246</v>
      </c>
      <c r="AQ1405" s="28" t="str">
        <f t="shared" si="412"/>
        <v>20246RMB</v>
      </c>
      <c r="AR1405" s="206" t="str">
        <f t="shared" si="413"/>
        <v>LOCAL SUPPLIER</v>
      </c>
      <c r="AS1405" s="22">
        <f t="shared" si="414"/>
        <v>2</v>
      </c>
      <c r="AT1405" s="24" t="str">
        <f t="shared" si="415"/>
        <v>0-3 months</v>
      </c>
      <c r="AU1405" s="22" t="s">
        <v>3240</v>
      </c>
    </row>
    <row r="1406" spans="1:47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407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416"/>
        <v>8000000</v>
      </c>
      <c r="AA1406" s="22">
        <v>5.0999999999999997E-2</v>
      </c>
      <c r="AB1406" s="21">
        <f t="shared" si="419"/>
        <v>408000</v>
      </c>
      <c r="AC1406" s="25">
        <f t="shared" si="408"/>
        <v>46838.400000000001</v>
      </c>
      <c r="AD1406" s="22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02"/>
        <v>27308925.887079656</v>
      </c>
      <c r="AJ1406" s="27">
        <f t="shared" si="403"/>
        <v>3319273.860338124</v>
      </c>
      <c r="AK1406" s="28">
        <f t="shared" si="410"/>
        <v>0.12154538314919709</v>
      </c>
      <c r="AL1406" s="24"/>
      <c r="AM1406" s="24"/>
      <c r="AN1406" s="24"/>
      <c r="AO1406" s="24"/>
      <c r="AP1406" s="28" t="str">
        <f t="shared" si="411"/>
        <v>20246</v>
      </c>
      <c r="AQ1406" s="28" t="str">
        <f t="shared" si="412"/>
        <v>20246JPY</v>
      </c>
      <c r="AR1406" s="206" t="str">
        <f t="shared" si="413"/>
        <v>YAMAHA_Mounter</v>
      </c>
      <c r="AS1406" s="22">
        <f t="shared" si="414"/>
        <v>2</v>
      </c>
      <c r="AT1406" s="24" t="str">
        <f t="shared" si="415"/>
        <v>0-3 months</v>
      </c>
      <c r="AU1406" s="22" t="s">
        <v>3744</v>
      </c>
    </row>
    <row r="1407" spans="1:47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407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420">IF(W1407="RMB","1.13", "1")</f>
        <v>1.13</v>
      </c>
      <c r="Z1407" s="18">
        <f t="shared" si="416"/>
        <v>930000</v>
      </c>
      <c r="AA1407" s="13">
        <v>1.18</v>
      </c>
      <c r="AB1407" s="21">
        <f t="shared" si="419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02"/>
        <v>43684091.636631854</v>
      </c>
      <c r="AJ1407" s="19">
        <f t="shared" si="403"/>
        <v>6483951.8242071122</v>
      </c>
      <c r="AK1407" s="20">
        <f t="shared" si="410"/>
        <v>0.14842821680123736</v>
      </c>
      <c r="AL1407" s="17"/>
      <c r="AM1407" s="17"/>
      <c r="AN1407" s="17"/>
      <c r="AO1407" s="17"/>
      <c r="AP1407" s="28" t="str">
        <f t="shared" si="411"/>
        <v>20214</v>
      </c>
      <c r="AQ1407" s="28" t="str">
        <f t="shared" si="412"/>
        <v>20214RMB</v>
      </c>
      <c r="AR1407" s="206" t="str">
        <f t="shared" si="413"/>
        <v>YAMAHA_Mounter</v>
      </c>
      <c r="AS1407" s="22">
        <f t="shared" si="414"/>
        <v>0</v>
      </c>
      <c r="AT1407" s="24" t="str">
        <f t="shared" si="415"/>
        <v>0-3 months</v>
      </c>
      <c r="AU1407" s="22" t="s">
        <v>3240</v>
      </c>
    </row>
    <row r="1408" spans="1:47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407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420"/>
        <v>1.13</v>
      </c>
      <c r="Z1408" s="18">
        <f t="shared" si="416"/>
        <v>930000</v>
      </c>
      <c r="AA1408" s="13">
        <v>1.18</v>
      </c>
      <c r="AB1408" s="21">
        <f t="shared" si="419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02"/>
        <v>43684091.636631854</v>
      </c>
      <c r="AJ1408" s="19">
        <f t="shared" si="403"/>
        <v>6483951.8242071122</v>
      </c>
      <c r="AK1408" s="20">
        <f t="shared" si="410"/>
        <v>0.14842821680123736</v>
      </c>
      <c r="AL1408" s="17"/>
      <c r="AM1408" s="17"/>
      <c r="AN1408" s="17"/>
      <c r="AO1408" s="17"/>
      <c r="AP1408" s="28" t="str">
        <f t="shared" si="411"/>
        <v>20214</v>
      </c>
      <c r="AQ1408" s="28" t="str">
        <f t="shared" si="412"/>
        <v>20214RMB</v>
      </c>
      <c r="AR1408" s="206" t="str">
        <f t="shared" si="413"/>
        <v>YAMAHA_Mounter</v>
      </c>
      <c r="AS1408" s="22">
        <f t="shared" si="414"/>
        <v>0</v>
      </c>
      <c r="AT1408" s="24" t="str">
        <f t="shared" si="415"/>
        <v>0-3 months</v>
      </c>
      <c r="AU1408" s="22" t="s">
        <v>3240</v>
      </c>
    </row>
    <row r="1409" spans="1:47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407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420"/>
        <v>1.13</v>
      </c>
      <c r="Z1409" s="18">
        <f t="shared" si="416"/>
        <v>500000</v>
      </c>
      <c r="AA1409" s="13">
        <v>1.175</v>
      </c>
      <c r="AB1409" s="21">
        <f t="shared" si="419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02"/>
        <v>35682787.057522126</v>
      </c>
      <c r="AJ1409" s="19">
        <f t="shared" si="403"/>
        <v>5833368.3789623892</v>
      </c>
      <c r="AK1409" s="20">
        <f t="shared" si="410"/>
        <v>0.16347849649632912</v>
      </c>
      <c r="AL1409" s="17"/>
      <c r="AM1409" s="17"/>
      <c r="AN1409" s="17"/>
      <c r="AO1409" s="17"/>
      <c r="AP1409" s="28" t="str">
        <f t="shared" si="411"/>
        <v>20226</v>
      </c>
      <c r="AQ1409" s="28" t="str">
        <f t="shared" si="412"/>
        <v>20226RMB</v>
      </c>
      <c r="AR1409" s="206" t="str">
        <f t="shared" si="413"/>
        <v>YAMAHA_Mounter</v>
      </c>
      <c r="AS1409" s="22">
        <f t="shared" si="414"/>
        <v>14</v>
      </c>
      <c r="AT1409" s="24" t="str">
        <f t="shared" si="415"/>
        <v>&gt; 6 months</v>
      </c>
      <c r="AU1409" s="22" t="s">
        <v>3240</v>
      </c>
    </row>
    <row r="1410" spans="1:47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407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420"/>
        <v>1.13</v>
      </c>
      <c r="Z1410" s="18">
        <f t="shared" si="416"/>
        <v>500000</v>
      </c>
      <c r="AA1410" s="13">
        <v>1.175</v>
      </c>
      <c r="AB1410" s="21">
        <f t="shared" si="419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ref="AI1410:AI1473" si="421">IF(P1410="C66 SERVICE","",SUMIFS(AB:AB,F:F,F1410,G:G,G1410,E:E,E1410))</f>
        <v>35682787.057522126</v>
      </c>
      <c r="AJ1410" s="19">
        <f t="shared" ref="AJ1410:AJ1473" si="422">IF(P1410="C66 SERVICE","",SUMIFS(AC:AC,F:F,F1410,G:G,G1410,E:E,E1410))</f>
        <v>5833368.3789623892</v>
      </c>
      <c r="AK1410" s="20">
        <f t="shared" si="410"/>
        <v>0.16347849649632912</v>
      </c>
      <c r="AL1410" s="17"/>
      <c r="AM1410" s="17"/>
      <c r="AN1410" s="17"/>
      <c r="AO1410" s="17"/>
      <c r="AP1410" s="28" t="str">
        <f t="shared" si="411"/>
        <v>20226</v>
      </c>
      <c r="AQ1410" s="28" t="str">
        <f t="shared" si="412"/>
        <v>20226RMB</v>
      </c>
      <c r="AR1410" s="206" t="str">
        <f t="shared" si="413"/>
        <v>YAMAHA_Mounter</v>
      </c>
      <c r="AS1410" s="22">
        <f t="shared" si="414"/>
        <v>14</v>
      </c>
      <c r="AT1410" s="24" t="str">
        <f t="shared" si="415"/>
        <v>&gt; 6 months</v>
      </c>
      <c r="AU1410" s="22" t="s">
        <v>3240</v>
      </c>
    </row>
    <row r="1411" spans="1:47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406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407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420"/>
        <v>1.13</v>
      </c>
      <c r="Z1411" s="18">
        <f t="shared" si="416"/>
        <v>585200</v>
      </c>
      <c r="AA1411" s="13">
        <v>1.2</v>
      </c>
      <c r="AB1411" s="21">
        <f t="shared" si="419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21"/>
        <v>499582152.5142017</v>
      </c>
      <c r="AJ1411" s="19">
        <f t="shared" si="422"/>
        <v>59520528.679470733</v>
      </c>
      <c r="AK1411" s="20">
        <f t="shared" si="410"/>
        <v>0.11914062257814291</v>
      </c>
      <c r="AL1411" s="17"/>
      <c r="AM1411" s="17"/>
      <c r="AN1411" s="17"/>
      <c r="AO1411" s="17"/>
      <c r="AP1411" s="28" t="str">
        <f t="shared" si="411"/>
        <v>CancelCANCEL</v>
      </c>
      <c r="AQ1411" s="28" t="str">
        <f t="shared" si="412"/>
        <v>CancelCANCELRMB</v>
      </c>
      <c r="AR1411" s="206" t="str">
        <f t="shared" si="413"/>
        <v>YAMAHA_Mounter</v>
      </c>
      <c r="AS1411" s="22" t="str">
        <f t="shared" si="414"/>
        <v/>
      </c>
      <c r="AT1411" s="24" t="str">
        <f t="shared" si="415"/>
        <v/>
      </c>
      <c r="AU1411" s="22" t="s">
        <v>3240</v>
      </c>
    </row>
    <row r="1412" spans="1:47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406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407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420"/>
        <v>1.13</v>
      </c>
      <c r="Z1412" s="18">
        <f t="shared" si="416"/>
        <v>585200</v>
      </c>
      <c r="AA1412" s="13">
        <v>1.2</v>
      </c>
      <c r="AB1412" s="21">
        <f t="shared" si="419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21"/>
        <v>499582152.5142017</v>
      </c>
      <c r="AJ1412" s="19">
        <f t="shared" si="422"/>
        <v>59520528.679470733</v>
      </c>
      <c r="AK1412" s="20">
        <f t="shared" si="410"/>
        <v>0.11914062257814291</v>
      </c>
      <c r="AL1412" s="17"/>
      <c r="AM1412" s="17"/>
      <c r="AN1412" s="17"/>
      <c r="AO1412" s="17"/>
      <c r="AP1412" s="28" t="str">
        <f t="shared" si="411"/>
        <v>CancelCANCEL</v>
      </c>
      <c r="AQ1412" s="28" t="str">
        <f t="shared" si="412"/>
        <v>CancelCANCELRMB</v>
      </c>
      <c r="AR1412" s="206" t="str">
        <f t="shared" si="413"/>
        <v>YAMAHA_Mounter</v>
      </c>
      <c r="AS1412" s="22" t="str">
        <f t="shared" si="414"/>
        <v/>
      </c>
      <c r="AT1412" s="24" t="str">
        <f t="shared" si="415"/>
        <v/>
      </c>
      <c r="AU1412" s="22" t="s">
        <v>3240</v>
      </c>
    </row>
    <row r="1413" spans="1:47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407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420"/>
        <v>1.13</v>
      </c>
      <c r="Z1413" s="18">
        <f t="shared" si="416"/>
        <v>53744</v>
      </c>
      <c r="AA1413" s="13">
        <v>1.17</v>
      </c>
      <c r="AB1413" s="21">
        <f t="shared" si="419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21"/>
        <v>36480247.665929198</v>
      </c>
      <c r="AJ1413" s="19">
        <f t="shared" si="422"/>
        <v>5330996.6372757526</v>
      </c>
      <c r="AK1413" s="20">
        <f t="shared" si="410"/>
        <v>0.14613378412599562</v>
      </c>
      <c r="AL1413" s="17"/>
      <c r="AM1413" s="17"/>
      <c r="AN1413" s="17"/>
      <c r="AO1413" s="17" t="s">
        <v>3008</v>
      </c>
      <c r="AP1413" s="28" t="str">
        <f t="shared" si="411"/>
        <v>20227</v>
      </c>
      <c r="AQ1413" s="28" t="str">
        <f t="shared" si="412"/>
        <v>20227RMB</v>
      </c>
      <c r="AR1413" s="206" t="str">
        <f t="shared" si="413"/>
        <v>SOLDERSTAR</v>
      </c>
      <c r="AS1413" s="22">
        <f t="shared" si="414"/>
        <v>1</v>
      </c>
      <c r="AT1413" s="24" t="str">
        <f t="shared" si="415"/>
        <v>0-3 months</v>
      </c>
      <c r="AU1413" s="22" t="s">
        <v>3750</v>
      </c>
    </row>
    <row r="1414" spans="1:47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416"/>
        <v>1090000</v>
      </c>
      <c r="AA1414" s="13">
        <v>1.1100000000000001</v>
      </c>
      <c r="AB1414" s="21">
        <f t="shared" si="419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si="421"/>
        <v>27318180.088495575</v>
      </c>
      <c r="AJ1414" s="19">
        <f t="shared" si="422"/>
        <v>3014099.212353982</v>
      </c>
      <c r="AK1414" s="20">
        <f t="shared" ref="AK1414:AK1477" si="429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0">IF(F1414="","",F1414&amp;G1414)</f>
        <v>201912</v>
      </c>
      <c r="AQ1414" s="28" t="str">
        <f t="shared" ref="AQ1414:AQ1477" si="431">IF(W1414="","",F1414&amp;G1414&amp;W1414)</f>
        <v>201912RMB</v>
      </c>
      <c r="AR1414" s="206" t="str">
        <f t="shared" ref="AR1414:AR1477" si="432">IFERROR(IF(AND(M1414="YAMAHA", R1414="C28"), "YAMAHA_Non_Mounter", IF(AND(M1414="YAMAHA", R1414="C49"), "YAMAHA_Mounter", M1414)),"")</f>
        <v>YAMAHA_Mounter</v>
      </c>
      <c r="AS1414" s="22">
        <f t="shared" ref="AS1414:AS1477" si="433">IFERROR(IF(OR(G1414="TBA", G1414=""), "", DATEDIF(DATE(B1414, C1414, 1), DATE(F1414, G1414, 1), "M")),"")</f>
        <v>0</v>
      </c>
      <c r="AT1414" s="24" t="str">
        <f t="shared" ref="AT1414:AT1477" si="434">IF(ISNUMBER(AS1414), IF(AS1414&gt;=0, IF(AS1414&lt;=3, "0-3 months", IF(AS1414&lt;=6, "4-6 months", "&gt; 6 months"))), "")</f>
        <v>0-3 months</v>
      </c>
      <c r="AU1414" s="22" t="s">
        <v>3750</v>
      </c>
    </row>
    <row r="1415" spans="1:47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426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416"/>
        <v>600000</v>
      </c>
      <c r="AA1415" s="13">
        <v>1.1100000000000001</v>
      </c>
      <c r="AB1415" s="21">
        <f t="shared" si="419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1"/>
        <v>27318180.088495575</v>
      </c>
      <c r="AJ1415" s="19">
        <f t="shared" si="422"/>
        <v>3014099.212353982</v>
      </c>
      <c r="AK1415" s="20">
        <f t="shared" si="429"/>
        <v>0.11033308963444827</v>
      </c>
      <c r="AL1415" s="17"/>
      <c r="AM1415" s="17"/>
      <c r="AN1415" s="17"/>
      <c r="AO1415" s="17"/>
      <c r="AP1415" s="28" t="str">
        <f t="shared" si="430"/>
        <v>201912</v>
      </c>
      <c r="AQ1415" s="28" t="str">
        <f t="shared" si="431"/>
        <v>201912RMB</v>
      </c>
      <c r="AR1415" s="206" t="str">
        <f t="shared" si="432"/>
        <v>YAMAHA_Mounter</v>
      </c>
      <c r="AS1415" s="22">
        <f t="shared" si="433"/>
        <v>0</v>
      </c>
      <c r="AT1415" s="24" t="str">
        <f t="shared" si="434"/>
        <v>0-3 months</v>
      </c>
      <c r="AU1415" s="22" t="s">
        <v>3743</v>
      </c>
    </row>
    <row r="1416" spans="1:47" s="12" customFormat="1">
      <c r="A1416" s="33" t="str">
        <f t="shared" si="423"/>
        <v>cancel</v>
      </c>
      <c r="B1416" s="152"/>
      <c r="C1416" s="152" t="s">
        <v>185</v>
      </c>
      <c r="D1416" s="33" t="str">
        <f t="shared" si="424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425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426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416"/>
        <v>13360000</v>
      </c>
      <c r="AA1416" s="13">
        <v>7.4300000000000005E-2</v>
      </c>
      <c r="AB1416" s="21">
        <f t="shared" si="419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1"/>
        <v>499582152.5142017</v>
      </c>
      <c r="AJ1416" s="19">
        <f t="shared" si="422"/>
        <v>59520528.679470733</v>
      </c>
      <c r="AK1416" s="20">
        <f t="shared" si="429"/>
        <v>0.11914062257814291</v>
      </c>
      <c r="AL1416" s="17"/>
      <c r="AM1416" s="17"/>
      <c r="AN1416" s="17"/>
      <c r="AO1416" s="17"/>
      <c r="AP1416" s="28" t="str">
        <f t="shared" si="430"/>
        <v>CancelCancel</v>
      </c>
      <c r="AQ1416" s="28" t="str">
        <f t="shared" si="431"/>
        <v>CancelCancelJPY</v>
      </c>
      <c r="AR1416" s="206" t="str">
        <f t="shared" si="432"/>
        <v>YAMAHA_Mounter</v>
      </c>
      <c r="AS1416" s="22" t="str">
        <f t="shared" si="433"/>
        <v/>
      </c>
      <c r="AT1416" s="24" t="str">
        <f t="shared" si="434"/>
        <v/>
      </c>
      <c r="AU1416" s="22" t="s">
        <v>3744</v>
      </c>
    </row>
    <row r="1417" spans="1:47" s="12" customFormat="1">
      <c r="A1417" s="33" t="str">
        <f t="shared" si="423"/>
        <v>cancel</v>
      </c>
      <c r="B1417" s="152"/>
      <c r="C1417" s="152" t="s">
        <v>185</v>
      </c>
      <c r="D1417" s="33" t="str">
        <f t="shared" si="424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425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426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416"/>
        <v>8500000</v>
      </c>
      <c r="AA1417" s="13">
        <v>7.4300000000000005E-2</v>
      </c>
      <c r="AB1417" s="21">
        <f t="shared" si="419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1"/>
        <v>499582152.5142017</v>
      </c>
      <c r="AJ1417" s="19">
        <f t="shared" si="422"/>
        <v>59520528.679470733</v>
      </c>
      <c r="AK1417" s="20">
        <f t="shared" si="429"/>
        <v>0.11914062257814291</v>
      </c>
      <c r="AL1417" s="17"/>
      <c r="AM1417" s="17"/>
      <c r="AN1417" s="17"/>
      <c r="AO1417" s="17"/>
      <c r="AP1417" s="28" t="str">
        <f t="shared" si="430"/>
        <v>CancelCancel</v>
      </c>
      <c r="AQ1417" s="28" t="str">
        <f t="shared" si="431"/>
        <v>CancelCancelJPY</v>
      </c>
      <c r="AR1417" s="206" t="str">
        <f t="shared" si="432"/>
        <v>YAMAHA_Mounter</v>
      </c>
      <c r="AS1417" s="22" t="str">
        <f t="shared" si="433"/>
        <v/>
      </c>
      <c r="AT1417" s="24" t="str">
        <f t="shared" si="434"/>
        <v/>
      </c>
      <c r="AU1417" s="22" t="s">
        <v>3744</v>
      </c>
    </row>
    <row r="1418" spans="1:47" s="12" customFormat="1">
      <c r="A1418" s="33" t="str">
        <f t="shared" si="423"/>
        <v>cancel</v>
      </c>
      <c r="B1418" s="152"/>
      <c r="C1418" s="152" t="s">
        <v>185</v>
      </c>
      <c r="D1418" s="33" t="str">
        <f t="shared" si="424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425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426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435">IF(X1418="","",X1418*MAX(O1418,N1418))</f>
        <v>10000000</v>
      </c>
      <c r="AA1418" s="13">
        <v>5.8799999999999998E-2</v>
      </c>
      <c r="AB1418" s="21">
        <f t="shared" si="419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1"/>
        <v>499582152.5142017</v>
      </c>
      <c r="AJ1418" s="19">
        <f t="shared" si="422"/>
        <v>59520528.679470733</v>
      </c>
      <c r="AK1418" s="20">
        <f t="shared" si="429"/>
        <v>0.11914062257814291</v>
      </c>
      <c r="AL1418" s="17"/>
      <c r="AM1418" s="17"/>
      <c r="AN1418" s="17"/>
      <c r="AO1418" s="17"/>
      <c r="AP1418" s="28" t="str">
        <f t="shared" si="430"/>
        <v>CancelCancel</v>
      </c>
      <c r="AQ1418" s="28" t="str">
        <f t="shared" si="431"/>
        <v>CancelCancelJPY</v>
      </c>
      <c r="AR1418" s="206" t="str">
        <f t="shared" si="432"/>
        <v>YAMAHA_Mounter</v>
      </c>
      <c r="AS1418" s="22" t="str">
        <f t="shared" si="433"/>
        <v/>
      </c>
      <c r="AT1418" s="24" t="str">
        <f t="shared" si="434"/>
        <v/>
      </c>
      <c r="AU1418" s="22" t="s">
        <v>3744</v>
      </c>
    </row>
    <row r="1419" spans="1:47" s="12" customFormat="1">
      <c r="A1419" s="33" t="str">
        <f t="shared" si="423"/>
        <v>cancel</v>
      </c>
      <c r="B1419" s="152"/>
      <c r="C1419" s="152" t="s">
        <v>185</v>
      </c>
      <c r="D1419" s="33" t="str">
        <f t="shared" si="424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425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426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435"/>
        <v>13000000</v>
      </c>
      <c r="AA1419" s="13">
        <v>5.8799999999999998E-2</v>
      </c>
      <c r="AB1419" s="21">
        <f t="shared" si="419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1"/>
        <v>499582152.5142017</v>
      </c>
      <c r="AJ1419" s="19">
        <f t="shared" si="422"/>
        <v>59520528.679470733</v>
      </c>
      <c r="AK1419" s="20">
        <f t="shared" si="429"/>
        <v>0.11914062257814291</v>
      </c>
      <c r="AL1419" s="17"/>
      <c r="AM1419" s="17"/>
      <c r="AN1419" s="17"/>
      <c r="AO1419" s="17"/>
      <c r="AP1419" s="28" t="str">
        <f t="shared" si="430"/>
        <v>CancelCancel</v>
      </c>
      <c r="AQ1419" s="28" t="str">
        <f t="shared" si="431"/>
        <v>CancelCancelJPY</v>
      </c>
      <c r="AR1419" s="206" t="str">
        <f t="shared" si="432"/>
        <v>YAMAHA_Mounter</v>
      </c>
      <c r="AS1419" s="22" t="str">
        <f t="shared" si="433"/>
        <v/>
      </c>
      <c r="AT1419" s="24" t="str">
        <f t="shared" si="434"/>
        <v/>
      </c>
      <c r="AU1419" s="22" t="s">
        <v>3744</v>
      </c>
    </row>
    <row r="1420" spans="1:47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426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435"/>
        <v>611000</v>
      </c>
      <c r="AA1420" s="13">
        <v>1.2150000000000001</v>
      </c>
      <c r="AB1420" s="21">
        <f t="shared" si="419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1"/>
        <v>54700260.692079648</v>
      </c>
      <c r="AJ1420" s="19">
        <f t="shared" si="422"/>
        <v>7482899.5749188727</v>
      </c>
      <c r="AK1420" s="20">
        <f t="shared" si="429"/>
        <v>0.13679824337660537</v>
      </c>
      <c r="AL1420" s="17"/>
      <c r="AM1420" s="17"/>
      <c r="AN1420" s="17"/>
      <c r="AO1420" s="17"/>
      <c r="AP1420" s="28" t="str">
        <f t="shared" si="430"/>
        <v>20216</v>
      </c>
      <c r="AQ1420" s="28" t="str">
        <f t="shared" si="431"/>
        <v>20216RMB</v>
      </c>
      <c r="AR1420" s="206" t="str">
        <f t="shared" si="432"/>
        <v>YAMAHA_Mounter</v>
      </c>
      <c r="AS1420" s="22">
        <f t="shared" si="433"/>
        <v>3</v>
      </c>
      <c r="AT1420" s="24" t="str">
        <f t="shared" si="434"/>
        <v>0-3 months</v>
      </c>
      <c r="AU1420" s="22" t="s">
        <v>3750</v>
      </c>
    </row>
    <row r="1421" spans="1:47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435"/>
        <v>101250</v>
      </c>
      <c r="AA1421" s="13">
        <v>1.07</v>
      </c>
      <c r="AB1421" s="21">
        <f t="shared" si="419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1"/>
        <v>5219988.5752212387</v>
      </c>
      <c r="AJ1421" s="19">
        <f t="shared" si="422"/>
        <v>631627.0013460177</v>
      </c>
      <c r="AK1421" s="20">
        <f t="shared" si="429"/>
        <v>0.12100160608478869</v>
      </c>
      <c r="AL1421" s="17"/>
      <c r="AM1421" s="17"/>
      <c r="AN1421" s="17"/>
      <c r="AO1421" s="17"/>
      <c r="AP1421" s="28" t="str">
        <f t="shared" si="430"/>
        <v>202310</v>
      </c>
      <c r="AQ1421" s="28" t="str">
        <f t="shared" si="431"/>
        <v>202310RMB</v>
      </c>
      <c r="AR1421" s="206" t="str">
        <f t="shared" si="432"/>
        <v>YAMAHA_Mounter</v>
      </c>
      <c r="AS1421" s="22">
        <f t="shared" si="433"/>
        <v>2</v>
      </c>
      <c r="AT1421" s="24" t="str">
        <f t="shared" si="434"/>
        <v>0-3 months</v>
      </c>
      <c r="AU1421" s="22" t="s">
        <v>3240</v>
      </c>
    </row>
    <row r="1422" spans="1:47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426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435"/>
        <v>62000</v>
      </c>
      <c r="AA1422" s="13">
        <v>1.1599999999999999</v>
      </c>
      <c r="AB1422" s="21">
        <f t="shared" si="419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1"/>
        <v>21045012.884955753</v>
      </c>
      <c r="AJ1422" s="19">
        <f t="shared" si="422"/>
        <v>2650260.9603327443</v>
      </c>
      <c r="AK1422" s="20">
        <f t="shared" si="429"/>
        <v>0.12593296924172048</v>
      </c>
      <c r="AL1422" s="17"/>
      <c r="AM1422" s="17"/>
      <c r="AN1422" s="17"/>
      <c r="AO1422" s="17"/>
      <c r="AP1422" s="28" t="str">
        <f t="shared" si="430"/>
        <v>20232</v>
      </c>
      <c r="AQ1422" s="28" t="str">
        <f t="shared" si="431"/>
        <v>20232RMB</v>
      </c>
      <c r="AR1422" s="206" t="str">
        <f t="shared" si="432"/>
        <v>SOLDERSTAR</v>
      </c>
      <c r="AS1422" s="22">
        <f t="shared" si="433"/>
        <v>1</v>
      </c>
      <c r="AT1422" s="24" t="str">
        <f t="shared" si="434"/>
        <v>0-3 months</v>
      </c>
      <c r="AU1422" s="22" t="s">
        <v>3240</v>
      </c>
    </row>
    <row r="1423" spans="1:47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426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436">IF(W1423="RMB","1.13", "1")</f>
        <v>1.13</v>
      </c>
      <c r="Z1423" s="18">
        <f t="shared" si="435"/>
        <v>776666</v>
      </c>
      <c r="AA1423" s="13">
        <v>1.2150000000000001</v>
      </c>
      <c r="AB1423" s="21">
        <f t="shared" si="419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1"/>
        <v>25380121.402654871</v>
      </c>
      <c r="AJ1423" s="19">
        <f t="shared" si="422"/>
        <v>3850343.1237796471</v>
      </c>
      <c r="AK1423" s="20">
        <f t="shared" si="429"/>
        <v>0.1517070412191521</v>
      </c>
      <c r="AL1423" s="17"/>
      <c r="AM1423" s="17"/>
      <c r="AN1423" s="17"/>
      <c r="AO1423" s="17"/>
      <c r="AP1423" s="28" t="str">
        <f t="shared" si="430"/>
        <v>202112</v>
      </c>
      <c r="AQ1423" s="28" t="str">
        <f t="shared" si="431"/>
        <v>202112RMB</v>
      </c>
      <c r="AR1423" s="206" t="str">
        <f t="shared" si="432"/>
        <v>YAMAHA_Mounter</v>
      </c>
      <c r="AS1423" s="22">
        <f t="shared" si="433"/>
        <v>3</v>
      </c>
      <c r="AT1423" s="24" t="str">
        <f t="shared" si="434"/>
        <v>0-3 months</v>
      </c>
      <c r="AU1423" s="22" t="s">
        <v>3240</v>
      </c>
    </row>
    <row r="1424" spans="1:47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426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436"/>
        <v>1.13</v>
      </c>
      <c r="Z1424" s="18">
        <f t="shared" si="435"/>
        <v>1000000</v>
      </c>
      <c r="AA1424" s="13">
        <v>1.2150000000000001</v>
      </c>
      <c r="AB1424" s="21">
        <f t="shared" si="419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1"/>
        <v>25380121.402654871</v>
      </c>
      <c r="AJ1424" s="19">
        <f t="shared" si="422"/>
        <v>3850343.1237796471</v>
      </c>
      <c r="AK1424" s="20">
        <f t="shared" si="429"/>
        <v>0.1517070412191521</v>
      </c>
      <c r="AL1424" s="17"/>
      <c r="AM1424" s="17"/>
      <c r="AN1424" s="17"/>
      <c r="AO1424" s="17"/>
      <c r="AP1424" s="28" t="str">
        <f t="shared" si="430"/>
        <v>202112</v>
      </c>
      <c r="AQ1424" s="28" t="str">
        <f t="shared" si="431"/>
        <v>202112RMB</v>
      </c>
      <c r="AR1424" s="206" t="str">
        <f t="shared" si="432"/>
        <v>YAMAHA_Mounter</v>
      </c>
      <c r="AS1424" s="22">
        <f t="shared" si="433"/>
        <v>3</v>
      </c>
      <c r="AT1424" s="24" t="str">
        <f t="shared" si="434"/>
        <v>0-3 months</v>
      </c>
      <c r="AU1424" s="22" t="s">
        <v>3240</v>
      </c>
    </row>
    <row r="1425" spans="1:47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426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436"/>
        <v>1.13</v>
      </c>
      <c r="Z1425" s="18">
        <f t="shared" si="435"/>
        <v>1000000</v>
      </c>
      <c r="AA1425" s="13">
        <v>1.2150000000000001</v>
      </c>
      <c r="AB1425" s="21">
        <f t="shared" si="419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1"/>
        <v>25380121.402654871</v>
      </c>
      <c r="AJ1425" s="19">
        <f t="shared" si="422"/>
        <v>3850343.1237796471</v>
      </c>
      <c r="AK1425" s="20">
        <f t="shared" si="429"/>
        <v>0.1517070412191521</v>
      </c>
      <c r="AL1425" s="17"/>
      <c r="AM1425" s="17"/>
      <c r="AN1425" s="17"/>
      <c r="AO1425" s="17"/>
      <c r="AP1425" s="28" t="str">
        <f t="shared" si="430"/>
        <v>202112</v>
      </c>
      <c r="AQ1425" s="28" t="str">
        <f t="shared" si="431"/>
        <v>202112RMB</v>
      </c>
      <c r="AR1425" s="206" t="str">
        <f t="shared" si="432"/>
        <v>YAMAHA_Mounter</v>
      </c>
      <c r="AS1425" s="22">
        <f t="shared" si="433"/>
        <v>3</v>
      </c>
      <c r="AT1425" s="24" t="str">
        <f t="shared" si="434"/>
        <v>0-3 months</v>
      </c>
      <c r="AU1425" s="22" t="s">
        <v>3240</v>
      </c>
    </row>
    <row r="1426" spans="1:47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426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436"/>
        <v>1.13</v>
      </c>
      <c r="Z1426" s="18">
        <f t="shared" si="435"/>
        <v>776666</v>
      </c>
      <c r="AA1426" s="13">
        <v>1.22</v>
      </c>
      <c r="AB1426" s="21">
        <f t="shared" si="419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1"/>
        <v>26407088.359292038</v>
      </c>
      <c r="AJ1426" s="19">
        <f t="shared" si="422"/>
        <v>3424510.6998470789</v>
      </c>
      <c r="AK1426" s="20">
        <f t="shared" si="429"/>
        <v>0.12968149510667554</v>
      </c>
      <c r="AL1426" s="17"/>
      <c r="AM1426" s="17"/>
      <c r="AN1426" s="17"/>
      <c r="AO1426" s="17"/>
      <c r="AP1426" s="28" t="str">
        <f t="shared" si="430"/>
        <v>20221</v>
      </c>
      <c r="AQ1426" s="28" t="str">
        <f t="shared" si="431"/>
        <v>20221RMB</v>
      </c>
      <c r="AR1426" s="206" t="str">
        <f t="shared" si="432"/>
        <v>YAMAHA_Mounter</v>
      </c>
      <c r="AS1426" s="22">
        <f t="shared" si="433"/>
        <v>4</v>
      </c>
      <c r="AT1426" s="24" t="str">
        <f t="shared" si="434"/>
        <v>4-6 months</v>
      </c>
      <c r="AU1426" s="22" t="s">
        <v>3240</v>
      </c>
    </row>
    <row r="1427" spans="1:47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426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436"/>
        <v>1.13</v>
      </c>
      <c r="Z1427" s="18">
        <f t="shared" si="435"/>
        <v>776666</v>
      </c>
      <c r="AA1427" s="13">
        <v>1.22</v>
      </c>
      <c r="AB1427" s="21">
        <f t="shared" si="419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1"/>
        <v>26407088.359292038</v>
      </c>
      <c r="AJ1427" s="19">
        <f t="shared" si="422"/>
        <v>3424510.6998470789</v>
      </c>
      <c r="AK1427" s="20">
        <f t="shared" si="429"/>
        <v>0.12968149510667554</v>
      </c>
      <c r="AL1427" s="17"/>
      <c r="AM1427" s="17"/>
      <c r="AN1427" s="17"/>
      <c r="AO1427" s="17"/>
      <c r="AP1427" s="28" t="str">
        <f t="shared" si="430"/>
        <v>20221</v>
      </c>
      <c r="AQ1427" s="28" t="str">
        <f t="shared" si="431"/>
        <v>20221RMB</v>
      </c>
      <c r="AR1427" s="206" t="str">
        <f t="shared" si="432"/>
        <v>YAMAHA_Mounter</v>
      </c>
      <c r="AS1427" s="22">
        <f t="shared" si="433"/>
        <v>4</v>
      </c>
      <c r="AT1427" s="24" t="str">
        <f t="shared" si="434"/>
        <v>4-6 months</v>
      </c>
      <c r="AU1427" s="22" t="s">
        <v>3240</v>
      </c>
    </row>
    <row r="1428" spans="1:47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426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436"/>
        <v>1.13</v>
      </c>
      <c r="Z1428" s="18">
        <f t="shared" si="435"/>
        <v>1000000</v>
      </c>
      <c r="AA1428" s="13">
        <v>1.22</v>
      </c>
      <c r="AB1428" s="21">
        <f t="shared" si="419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1"/>
        <v>26407088.359292038</v>
      </c>
      <c r="AJ1428" s="19">
        <f t="shared" si="422"/>
        <v>3424510.6998470789</v>
      </c>
      <c r="AK1428" s="20">
        <f t="shared" si="429"/>
        <v>0.12968149510667554</v>
      </c>
      <c r="AL1428" s="17"/>
      <c r="AM1428" s="17"/>
      <c r="AN1428" s="17"/>
      <c r="AO1428" s="17"/>
      <c r="AP1428" s="28" t="str">
        <f t="shared" si="430"/>
        <v>20221</v>
      </c>
      <c r="AQ1428" s="28" t="str">
        <f t="shared" si="431"/>
        <v>20221RMB</v>
      </c>
      <c r="AR1428" s="206" t="str">
        <f t="shared" si="432"/>
        <v>YAMAHA_Mounter</v>
      </c>
      <c r="AS1428" s="22">
        <f t="shared" si="433"/>
        <v>4</v>
      </c>
      <c r="AT1428" s="24" t="str">
        <f t="shared" si="434"/>
        <v>4-6 months</v>
      </c>
      <c r="AU1428" s="22" t="s">
        <v>3240</v>
      </c>
    </row>
    <row r="1429" spans="1:47" s="12" customFormat="1">
      <c r="A1429" s="33" t="str">
        <f t="shared" si="423"/>
        <v/>
      </c>
      <c r="B1429" s="152" t="s">
        <v>2584</v>
      </c>
      <c r="C1429" s="152" t="s">
        <v>2584</v>
      </c>
      <c r="D1429" s="33" t="b">
        <f t="shared" si="424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425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426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436"/>
        <v>1.13</v>
      </c>
      <c r="Z1429" s="18">
        <f t="shared" si="435"/>
        <v>800000</v>
      </c>
      <c r="AA1429" s="13">
        <v>1.095</v>
      </c>
      <c r="AB1429" s="21">
        <f t="shared" si="419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1"/>
        <v>19242877.433628317</v>
      </c>
      <c r="AJ1429" s="19">
        <f t="shared" si="422"/>
        <v>2240020.1770353983</v>
      </c>
      <c r="AK1429" s="20">
        <f t="shared" si="429"/>
        <v>0.11640775579232249</v>
      </c>
      <c r="AL1429" s="17"/>
      <c r="AM1429" s="17"/>
      <c r="AN1429" s="17"/>
      <c r="AO1429" s="17"/>
      <c r="AP1429" s="28" t="str">
        <f t="shared" si="430"/>
        <v>TBATBA</v>
      </c>
      <c r="AQ1429" s="28" t="str">
        <f t="shared" si="431"/>
        <v>TBATBARMB</v>
      </c>
      <c r="AR1429" s="206" t="str">
        <f t="shared" si="432"/>
        <v>YAMAHA_Mounter</v>
      </c>
      <c r="AS1429" s="22" t="str">
        <f t="shared" si="433"/>
        <v/>
      </c>
      <c r="AT1429" s="24" t="str">
        <f t="shared" si="434"/>
        <v/>
      </c>
      <c r="AU1429" s="22" t="s">
        <v>3240</v>
      </c>
    </row>
    <row r="1430" spans="1:47" s="12" customFormat="1">
      <c r="A1430" s="33" t="str">
        <f t="shared" si="423"/>
        <v/>
      </c>
      <c r="B1430" s="152" t="s">
        <v>2584</v>
      </c>
      <c r="C1430" s="152" t="s">
        <v>2584</v>
      </c>
      <c r="D1430" s="33" t="b">
        <f t="shared" si="424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425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426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436"/>
        <v>1.13</v>
      </c>
      <c r="Z1430" s="18">
        <f t="shared" si="435"/>
        <v>720000</v>
      </c>
      <c r="AA1430" s="13">
        <v>1.095</v>
      </c>
      <c r="AB1430" s="21">
        <f t="shared" si="419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1"/>
        <v>19242877.433628317</v>
      </c>
      <c r="AJ1430" s="19">
        <f t="shared" si="422"/>
        <v>2240020.1770353983</v>
      </c>
      <c r="AK1430" s="20">
        <f t="shared" si="429"/>
        <v>0.11640775579232249</v>
      </c>
      <c r="AL1430" s="17"/>
      <c r="AM1430" s="17"/>
      <c r="AN1430" s="17"/>
      <c r="AO1430" s="17"/>
      <c r="AP1430" s="28" t="str">
        <f t="shared" si="430"/>
        <v>TBATBA</v>
      </c>
      <c r="AQ1430" s="28" t="str">
        <f t="shared" si="431"/>
        <v>TBATBARMB</v>
      </c>
      <c r="AR1430" s="206" t="str">
        <f t="shared" si="432"/>
        <v>YAMAHA_Mounter</v>
      </c>
      <c r="AS1430" s="22" t="str">
        <f t="shared" si="433"/>
        <v/>
      </c>
      <c r="AT1430" s="24" t="str">
        <f t="shared" si="434"/>
        <v/>
      </c>
      <c r="AU1430" s="22" t="s">
        <v>3240</v>
      </c>
    </row>
    <row r="1431" spans="1:47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426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436"/>
        <v>1.13</v>
      </c>
      <c r="Z1431" s="18">
        <f t="shared" si="435"/>
        <v>712800</v>
      </c>
      <c r="AA1431" s="13">
        <v>1.155</v>
      </c>
      <c r="AB1431" s="21">
        <f t="shared" si="419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1"/>
        <v>44078731.611185849</v>
      </c>
      <c r="AJ1431" s="19">
        <f t="shared" si="422"/>
        <v>5508173.2163771465</v>
      </c>
      <c r="AK1431" s="20">
        <f t="shared" si="429"/>
        <v>0.12496215328889679</v>
      </c>
      <c r="AL1431" s="17"/>
      <c r="AM1431" s="17"/>
      <c r="AN1431" s="17"/>
      <c r="AO1431" s="17"/>
      <c r="AP1431" s="28" t="str">
        <f t="shared" si="430"/>
        <v>202011</v>
      </c>
      <c r="AQ1431" s="28" t="str">
        <f t="shared" si="431"/>
        <v>202011RMB</v>
      </c>
      <c r="AR1431" s="206" t="str">
        <f t="shared" si="432"/>
        <v>YAMAHA_Mounter</v>
      </c>
      <c r="AS1431" s="22">
        <f t="shared" si="433"/>
        <v>0</v>
      </c>
      <c r="AT1431" s="24" t="str">
        <f t="shared" si="434"/>
        <v>0-3 months</v>
      </c>
      <c r="AU1431" s="22" t="s">
        <v>3240</v>
      </c>
    </row>
    <row r="1432" spans="1:47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425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426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436"/>
        <v>1.13</v>
      </c>
      <c r="Z1432" s="18">
        <f t="shared" si="435"/>
        <v>690000</v>
      </c>
      <c r="AA1432" s="13">
        <v>1.175</v>
      </c>
      <c r="AB1432" s="21">
        <f t="shared" si="419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1"/>
        <v>499582152.5142017</v>
      </c>
      <c r="AJ1432" s="19">
        <f t="shared" si="422"/>
        <v>59520528.679470733</v>
      </c>
      <c r="AK1432" s="20">
        <f t="shared" si="429"/>
        <v>0.11914062257814291</v>
      </c>
      <c r="AL1432" s="17"/>
      <c r="AM1432" s="17"/>
      <c r="AN1432" s="17"/>
      <c r="AO1432" s="17"/>
      <c r="AP1432" s="28" t="str">
        <f t="shared" si="430"/>
        <v>Cancelcancel</v>
      </c>
      <c r="AQ1432" s="28" t="str">
        <f t="shared" si="431"/>
        <v>CancelcancelRMB</v>
      </c>
      <c r="AR1432" s="206" t="str">
        <f t="shared" si="432"/>
        <v>YAMAHA_Mounter</v>
      </c>
      <c r="AS1432" s="22" t="str">
        <f t="shared" si="433"/>
        <v/>
      </c>
      <c r="AT1432" s="24" t="str">
        <f t="shared" si="434"/>
        <v/>
      </c>
      <c r="AU1432" s="22" t="s">
        <v>3240</v>
      </c>
    </row>
    <row r="1433" spans="1:47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426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436"/>
        <v>1.13</v>
      </c>
      <c r="Z1433" s="18">
        <f t="shared" si="435"/>
        <v>610000</v>
      </c>
      <c r="AA1433" s="13">
        <v>1.081</v>
      </c>
      <c r="AB1433" s="21">
        <f t="shared" si="419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1"/>
        <v>15951056.41591504</v>
      </c>
      <c r="AJ1433" s="19">
        <f t="shared" si="422"/>
        <v>1966354.6022462982</v>
      </c>
      <c r="AK1433" s="20">
        <f t="shared" si="429"/>
        <v>0.12327425538313459</v>
      </c>
      <c r="AL1433" s="17"/>
      <c r="AM1433" s="17"/>
      <c r="AN1433" s="17"/>
      <c r="AO1433" s="17"/>
      <c r="AP1433" s="28" t="str">
        <f t="shared" si="430"/>
        <v>20237</v>
      </c>
      <c r="AQ1433" s="28" t="str">
        <f t="shared" si="431"/>
        <v>20237RMB</v>
      </c>
      <c r="AR1433" s="206" t="str">
        <f t="shared" si="432"/>
        <v>YAMAHA_Mounter</v>
      </c>
      <c r="AS1433" s="22">
        <f t="shared" si="433"/>
        <v>2</v>
      </c>
      <c r="AT1433" s="24" t="str">
        <f t="shared" si="434"/>
        <v>0-3 months</v>
      </c>
      <c r="AU1433" s="22" t="s">
        <v>3240</v>
      </c>
    </row>
    <row r="1434" spans="1:47" s="12" customFormat="1">
      <c r="A1434" s="33" t="str">
        <f t="shared" si="423"/>
        <v/>
      </c>
      <c r="B1434" s="152" t="s">
        <v>2584</v>
      </c>
      <c r="C1434" s="152" t="s">
        <v>2584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425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426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435"/>
        <v>1000000</v>
      </c>
      <c r="AA1434" s="13">
        <v>1.095</v>
      </c>
      <c r="AB1434" s="21">
        <f t="shared" si="419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1"/>
        <v>19242877.433628317</v>
      </c>
      <c r="AJ1434" s="19">
        <f t="shared" si="422"/>
        <v>2240020.1770353983</v>
      </c>
      <c r="AK1434" s="20">
        <f t="shared" si="429"/>
        <v>0.11640775579232249</v>
      </c>
      <c r="AL1434" s="17"/>
      <c r="AM1434" s="17"/>
      <c r="AN1434" s="17"/>
      <c r="AO1434" s="17"/>
      <c r="AP1434" s="28" t="str">
        <f t="shared" si="430"/>
        <v>TBATBA</v>
      </c>
      <c r="AQ1434" s="28" t="str">
        <f t="shared" si="431"/>
        <v>TBATBARMB</v>
      </c>
      <c r="AR1434" s="206" t="str">
        <f t="shared" si="432"/>
        <v>HELLER</v>
      </c>
      <c r="AS1434" s="22" t="str">
        <f t="shared" si="433"/>
        <v/>
      </c>
      <c r="AT1434" s="24" t="str">
        <f t="shared" si="434"/>
        <v/>
      </c>
      <c r="AU1434" s="22" t="s">
        <v>3240</v>
      </c>
    </row>
    <row r="1435" spans="1:47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426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435"/>
        <v>530000</v>
      </c>
      <c r="AA1435" s="13">
        <v>1.1599999999999999</v>
      </c>
      <c r="AB1435" s="21">
        <f t="shared" si="419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1"/>
        <v>21045012.884955753</v>
      </c>
      <c r="AJ1435" s="19">
        <f t="shared" si="422"/>
        <v>2650260.9603327443</v>
      </c>
      <c r="AK1435" s="20">
        <f t="shared" si="429"/>
        <v>0.12593296924172048</v>
      </c>
      <c r="AL1435" s="17"/>
      <c r="AM1435" s="17"/>
      <c r="AN1435" s="17"/>
      <c r="AO1435" s="17"/>
      <c r="AP1435" s="28" t="str">
        <f t="shared" si="430"/>
        <v>20232</v>
      </c>
      <c r="AQ1435" s="28" t="str">
        <f t="shared" si="431"/>
        <v>20232RMB</v>
      </c>
      <c r="AR1435" s="206" t="str">
        <f t="shared" si="432"/>
        <v>PEMTRON</v>
      </c>
      <c r="AS1435" s="22">
        <f t="shared" si="433"/>
        <v>3</v>
      </c>
      <c r="AT1435" s="24" t="str">
        <f t="shared" si="434"/>
        <v>0-3 months</v>
      </c>
      <c r="AU1435" s="22" t="s">
        <v>3240</v>
      </c>
    </row>
    <row r="1436" spans="1:47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426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435"/>
        <v>710000</v>
      </c>
      <c r="AA1436" s="13">
        <v>1.1599999999999999</v>
      </c>
      <c r="AB1436" s="21">
        <f t="shared" si="419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1"/>
        <v>21045012.884955753</v>
      </c>
      <c r="AJ1436" s="19">
        <f t="shared" si="422"/>
        <v>2650260.9603327443</v>
      </c>
      <c r="AK1436" s="20">
        <f t="shared" si="429"/>
        <v>0.12593296924172048</v>
      </c>
      <c r="AL1436" s="17"/>
      <c r="AM1436" s="17"/>
      <c r="AN1436" s="17"/>
      <c r="AO1436" s="17"/>
      <c r="AP1436" s="28" t="str">
        <f t="shared" si="430"/>
        <v>20232</v>
      </c>
      <c r="AQ1436" s="28" t="str">
        <f t="shared" si="431"/>
        <v>20232RMB</v>
      </c>
      <c r="AR1436" s="206" t="str">
        <f t="shared" si="432"/>
        <v>PEMTRON</v>
      </c>
      <c r="AS1436" s="22">
        <f t="shared" si="433"/>
        <v>3</v>
      </c>
      <c r="AT1436" s="24" t="str">
        <f t="shared" si="434"/>
        <v>0-3 months</v>
      </c>
      <c r="AU1436" s="22" t="s">
        <v>3240</v>
      </c>
    </row>
    <row r="1437" spans="1:47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426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435"/>
        <v>770000</v>
      </c>
      <c r="AA1437" s="13">
        <v>1.22</v>
      </c>
      <c r="AB1437" s="21">
        <f t="shared" si="419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1"/>
        <v>28726768.133805312</v>
      </c>
      <c r="AJ1437" s="19">
        <f t="shared" si="422"/>
        <v>3853638.1988864429</v>
      </c>
      <c r="AK1437" s="20">
        <f t="shared" si="429"/>
        <v>0.1341479898099476</v>
      </c>
      <c r="AL1437" s="17"/>
      <c r="AM1437" s="17"/>
      <c r="AN1437" s="17"/>
      <c r="AO1437" s="17"/>
      <c r="AP1437" s="28" t="str">
        <f t="shared" si="430"/>
        <v>20223</v>
      </c>
      <c r="AQ1437" s="28" t="str">
        <f t="shared" si="431"/>
        <v>20223RMB</v>
      </c>
      <c r="AR1437" s="206" t="str">
        <f t="shared" si="432"/>
        <v>PEMTRON</v>
      </c>
      <c r="AS1437" s="22">
        <f t="shared" si="433"/>
        <v>2</v>
      </c>
      <c r="AT1437" s="24" t="str">
        <f t="shared" si="434"/>
        <v>0-3 months</v>
      </c>
      <c r="AU1437" s="22" t="s">
        <v>3240</v>
      </c>
    </row>
    <row r="1438" spans="1:47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426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435"/>
        <v>1290000</v>
      </c>
      <c r="AA1438" s="13">
        <v>1.2</v>
      </c>
      <c r="AB1438" s="21">
        <f t="shared" si="419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1"/>
        <v>47458373.787610628</v>
      </c>
      <c r="AJ1438" s="19">
        <f t="shared" si="422"/>
        <v>7436880.1411522133</v>
      </c>
      <c r="AK1438" s="20">
        <f t="shared" si="429"/>
        <v>0.15670322321692506</v>
      </c>
      <c r="AL1438" s="17" t="s">
        <v>1613</v>
      </c>
      <c r="AM1438" s="17"/>
      <c r="AN1438" s="17"/>
      <c r="AO1438" s="17"/>
      <c r="AP1438" s="28" t="str">
        <f t="shared" si="430"/>
        <v>20218</v>
      </c>
      <c r="AQ1438" s="28" t="str">
        <f t="shared" si="431"/>
        <v>20218RMB</v>
      </c>
      <c r="AR1438" s="206" t="str">
        <f t="shared" si="432"/>
        <v>YAMAHA_Mounter</v>
      </c>
      <c r="AS1438" s="22">
        <f t="shared" si="433"/>
        <v>12</v>
      </c>
      <c r="AT1438" s="24" t="str">
        <f t="shared" si="434"/>
        <v>&gt; 6 months</v>
      </c>
      <c r="AU1438" s="22" t="s">
        <v>3240</v>
      </c>
    </row>
    <row r="1439" spans="1:47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426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435"/>
        <v>530000</v>
      </c>
      <c r="AA1439" s="13">
        <v>1.175</v>
      </c>
      <c r="AB1439" s="21">
        <f t="shared" si="419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1"/>
        <v>48763143.537654862</v>
      </c>
      <c r="AJ1439" s="19">
        <f t="shared" si="422"/>
        <v>5924029.9702154724</v>
      </c>
      <c r="AK1439" s="20">
        <f t="shared" si="429"/>
        <v>0.1214858095774925</v>
      </c>
      <c r="AL1439" s="17"/>
      <c r="AM1439" s="17"/>
      <c r="AN1439" s="17"/>
      <c r="AO1439" s="17"/>
      <c r="AP1439" s="28" t="str">
        <f t="shared" si="430"/>
        <v>202012</v>
      </c>
      <c r="AQ1439" s="28" t="str">
        <f t="shared" si="431"/>
        <v>202012RMB</v>
      </c>
      <c r="AR1439" s="206" t="str">
        <f t="shared" si="432"/>
        <v>YAMAHA_Mounter</v>
      </c>
      <c r="AS1439" s="22">
        <f t="shared" si="433"/>
        <v>1</v>
      </c>
      <c r="AT1439" s="24" t="str">
        <f t="shared" si="434"/>
        <v>0-3 months</v>
      </c>
      <c r="AU1439" s="22" t="s">
        <v>3240</v>
      </c>
    </row>
    <row r="1440" spans="1:47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426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435"/>
        <v>585000</v>
      </c>
      <c r="AA1440" s="13">
        <v>1.125</v>
      </c>
      <c r="AB1440" s="21">
        <f t="shared" si="419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1"/>
        <v>10785027.603448275</v>
      </c>
      <c r="AJ1440" s="19">
        <f t="shared" si="422"/>
        <v>1540894.1297982759</v>
      </c>
      <c r="AK1440" s="20">
        <f t="shared" si="429"/>
        <v>0.1428734525728621</v>
      </c>
      <c r="AL1440" s="17"/>
      <c r="AM1440" s="17"/>
      <c r="AN1440" s="17"/>
      <c r="AO1440" s="17"/>
      <c r="AP1440" s="28" t="str">
        <f t="shared" si="430"/>
        <v>201811</v>
      </c>
      <c r="AQ1440" s="28" t="str">
        <f t="shared" si="431"/>
        <v>201811RMB</v>
      </c>
      <c r="AR1440" s="206" t="str">
        <f t="shared" si="432"/>
        <v>YAMAHA_Mounter</v>
      </c>
      <c r="AS1440" s="22">
        <f t="shared" si="433"/>
        <v>5</v>
      </c>
      <c r="AT1440" s="24" t="str">
        <f t="shared" si="434"/>
        <v>4-6 months</v>
      </c>
      <c r="AU1440" s="22" t="s">
        <v>3240</v>
      </c>
    </row>
    <row r="1441" spans="1:47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426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435"/>
        <v>360000</v>
      </c>
      <c r="AA1441" s="13">
        <v>1.125</v>
      </c>
      <c r="AB1441" s="21">
        <f t="shared" si="419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1"/>
        <v>23237072.69172414</v>
      </c>
      <c r="AJ1441" s="19">
        <f t="shared" si="422"/>
        <v>2402195.7372206897</v>
      </c>
      <c r="AK1441" s="20">
        <f t="shared" si="429"/>
        <v>0.10337772614862238</v>
      </c>
      <c r="AL1441" s="17"/>
      <c r="AM1441" s="17"/>
      <c r="AN1441" s="17"/>
      <c r="AO1441" s="17"/>
      <c r="AP1441" s="28" t="str">
        <f t="shared" si="430"/>
        <v>20191</v>
      </c>
      <c r="AQ1441" s="28" t="str">
        <f t="shared" si="431"/>
        <v>20191RMB</v>
      </c>
      <c r="AR1441" s="206" t="str">
        <f t="shared" si="432"/>
        <v>YAMAHA_Mounter</v>
      </c>
      <c r="AS1441" s="22">
        <f t="shared" si="433"/>
        <v>0</v>
      </c>
      <c r="AT1441" s="24" t="str">
        <f t="shared" si="434"/>
        <v>0-3 months</v>
      </c>
      <c r="AU1441" s="22" t="s">
        <v>3240</v>
      </c>
    </row>
    <row r="1442" spans="1:47" s="12" customFormat="1">
      <c r="A1442" s="33" t="str">
        <f t="shared" si="423"/>
        <v>cancel</v>
      </c>
      <c r="B1442" s="152"/>
      <c r="C1442" s="152" t="s">
        <v>185</v>
      </c>
      <c r="D1442" s="33" t="str">
        <f t="shared" si="424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425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426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435"/>
        <v>500000</v>
      </c>
      <c r="AA1442" s="13">
        <v>1.175</v>
      </c>
      <c r="AB1442" s="21">
        <f t="shared" si="419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1"/>
        <v>499582152.5142017</v>
      </c>
      <c r="AJ1442" s="19">
        <f t="shared" si="422"/>
        <v>59520528.679470733</v>
      </c>
      <c r="AK1442" s="20">
        <f t="shared" si="429"/>
        <v>0.11914062257814291</v>
      </c>
      <c r="AL1442" s="17"/>
      <c r="AM1442" s="17"/>
      <c r="AN1442" s="17"/>
      <c r="AO1442" s="17"/>
      <c r="AP1442" s="28" t="str">
        <f t="shared" si="430"/>
        <v>CancelCancel</v>
      </c>
      <c r="AQ1442" s="28" t="str">
        <f t="shared" si="431"/>
        <v>CancelCancelRMB</v>
      </c>
      <c r="AR1442" s="206" t="str">
        <f t="shared" si="432"/>
        <v>YAMAHA_Mounter</v>
      </c>
      <c r="AS1442" s="22" t="str">
        <f t="shared" si="433"/>
        <v/>
      </c>
      <c r="AT1442" s="24" t="str">
        <f t="shared" si="434"/>
        <v/>
      </c>
      <c r="AU1442" s="22" t="s">
        <v>3240</v>
      </c>
    </row>
    <row r="1443" spans="1:47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426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435"/>
        <v>15000000</v>
      </c>
      <c r="AA1443" s="22">
        <v>5.0999999999999997E-2</v>
      </c>
      <c r="AB1443" s="21">
        <f t="shared" si="419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1"/>
        <v>27308925.887079656</v>
      </c>
      <c r="AJ1443" s="27">
        <f t="shared" si="422"/>
        <v>3319273.860338124</v>
      </c>
      <c r="AK1443" s="28">
        <f t="shared" si="429"/>
        <v>0.12154538314919709</v>
      </c>
      <c r="AL1443" s="24"/>
      <c r="AM1443" s="24"/>
      <c r="AN1443" s="24"/>
      <c r="AO1443" s="24"/>
      <c r="AP1443" s="28" t="str">
        <f t="shared" si="430"/>
        <v>20246</v>
      </c>
      <c r="AQ1443" s="28" t="str">
        <f t="shared" si="431"/>
        <v>20246JPY</v>
      </c>
      <c r="AR1443" s="206" t="str">
        <f t="shared" si="432"/>
        <v>YAMAHA_Mounter</v>
      </c>
      <c r="AS1443" s="22">
        <f t="shared" si="433"/>
        <v>2</v>
      </c>
      <c r="AT1443" s="24" t="str">
        <f t="shared" si="434"/>
        <v>0-3 months</v>
      </c>
      <c r="AU1443" s="22" t="s">
        <v>3744</v>
      </c>
    </row>
    <row r="1444" spans="1:47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426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435"/>
        <v>12031000</v>
      </c>
      <c r="AA1444" s="22">
        <v>5.0999999999999997E-2</v>
      </c>
      <c r="AB1444" s="21">
        <f t="shared" si="419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1"/>
        <v>27308925.887079656</v>
      </c>
      <c r="AJ1444" s="27">
        <f t="shared" si="422"/>
        <v>3319273.860338124</v>
      </c>
      <c r="AK1444" s="28">
        <f t="shared" si="429"/>
        <v>0.12154538314919709</v>
      </c>
      <c r="AL1444" s="24"/>
      <c r="AM1444" s="24"/>
      <c r="AN1444" s="24"/>
      <c r="AO1444" s="24"/>
      <c r="AP1444" s="28" t="str">
        <f t="shared" si="430"/>
        <v>20246</v>
      </c>
      <c r="AQ1444" s="28" t="str">
        <f t="shared" si="431"/>
        <v>20246JPY</v>
      </c>
      <c r="AR1444" s="206" t="str">
        <f t="shared" si="432"/>
        <v>YAMAHA_Mounter</v>
      </c>
      <c r="AS1444" s="22">
        <f t="shared" si="433"/>
        <v>2</v>
      </c>
      <c r="AT1444" s="24" t="str">
        <f t="shared" si="434"/>
        <v>0-3 months</v>
      </c>
      <c r="AU1444" s="22" t="s">
        <v>3744</v>
      </c>
    </row>
    <row r="1445" spans="1:47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426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435"/>
        <v>507000</v>
      </c>
      <c r="AA1445" s="13">
        <v>1.1000000000000001</v>
      </c>
      <c r="AB1445" s="21">
        <f t="shared" si="419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1"/>
        <v>22717528.991150443</v>
      </c>
      <c r="AJ1445" s="19">
        <f t="shared" si="422"/>
        <v>3947747.192555753</v>
      </c>
      <c r="AK1445" s="20">
        <f t="shared" si="429"/>
        <v>0.1737753782153679</v>
      </c>
      <c r="AL1445" s="17"/>
      <c r="AM1445" s="17"/>
      <c r="AN1445" s="17"/>
      <c r="AO1445" s="17"/>
      <c r="AP1445" s="28" t="str">
        <f t="shared" si="430"/>
        <v>202210</v>
      </c>
      <c r="AQ1445" s="28" t="str">
        <f t="shared" si="431"/>
        <v>202210RMB</v>
      </c>
      <c r="AR1445" s="206" t="str">
        <f t="shared" si="432"/>
        <v>YAMAHA_Mounter</v>
      </c>
      <c r="AS1445" s="22">
        <f t="shared" si="433"/>
        <v>1</v>
      </c>
      <c r="AT1445" s="24" t="str">
        <f t="shared" si="434"/>
        <v>0-3 months</v>
      </c>
      <c r="AU1445" s="22" t="s">
        <v>3240</v>
      </c>
    </row>
    <row r="1446" spans="1:47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426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435"/>
        <v>463000</v>
      </c>
      <c r="AA1446" s="22">
        <v>1.1000000000000001</v>
      </c>
      <c r="AB1446" s="21">
        <f t="shared" si="419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1"/>
        <v>23146578.081415929</v>
      </c>
      <c r="AJ1446" s="27">
        <f t="shared" si="422"/>
        <v>2745231.3889985834</v>
      </c>
      <c r="AK1446" s="28">
        <f t="shared" si="429"/>
        <v>0.11860204041143742</v>
      </c>
      <c r="AL1446" s="24"/>
      <c r="AM1446" s="24"/>
      <c r="AN1446" s="24"/>
      <c r="AO1446" s="24"/>
      <c r="AP1446" s="28" t="str">
        <f t="shared" si="430"/>
        <v>20241</v>
      </c>
      <c r="AQ1446" s="28" t="str">
        <f t="shared" si="431"/>
        <v>20241RMB</v>
      </c>
      <c r="AR1446" s="206" t="str">
        <f t="shared" si="432"/>
        <v>YAMAHA_Mounter</v>
      </c>
      <c r="AS1446" s="22">
        <f t="shared" si="433"/>
        <v>0</v>
      </c>
      <c r="AT1446" s="24" t="str">
        <f t="shared" si="434"/>
        <v>0-3 months</v>
      </c>
      <c r="AU1446" s="22" t="s">
        <v>3240</v>
      </c>
    </row>
    <row r="1447" spans="1:47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426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435"/>
        <v>860000</v>
      </c>
      <c r="AA1447" s="13">
        <v>1.1499999999999999</v>
      </c>
      <c r="AB1447" s="21">
        <f t="shared" si="419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1"/>
        <v>16455710.386637932</v>
      </c>
      <c r="AJ1447" s="19">
        <f t="shared" si="422"/>
        <v>2150644.6466930606</v>
      </c>
      <c r="AK1447" s="20">
        <f t="shared" si="429"/>
        <v>0.13069290818580451</v>
      </c>
      <c r="AL1447" s="17"/>
      <c r="AM1447" s="17"/>
      <c r="AN1447" s="17"/>
      <c r="AO1447" s="17"/>
      <c r="AP1447" s="28" t="str">
        <f t="shared" si="430"/>
        <v>20192</v>
      </c>
      <c r="AQ1447" s="28" t="str">
        <f t="shared" si="431"/>
        <v>20192RMB</v>
      </c>
      <c r="AR1447" s="206" t="str">
        <f t="shared" si="432"/>
        <v>YAMAHA_Mounter</v>
      </c>
      <c r="AS1447" s="22">
        <f t="shared" si="433"/>
        <v>2</v>
      </c>
      <c r="AT1447" s="24" t="str">
        <f t="shared" si="434"/>
        <v>0-3 months</v>
      </c>
      <c r="AU1447" s="22" t="s">
        <v>3240</v>
      </c>
    </row>
    <row r="1448" spans="1:47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426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435"/>
        <v>940000</v>
      </c>
      <c r="AA1448" s="13">
        <v>1.105</v>
      </c>
      <c r="AB1448" s="21">
        <f t="shared" si="419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1"/>
        <v>37969334.083628319</v>
      </c>
      <c r="AJ1448" s="19">
        <f t="shared" si="422"/>
        <v>5097226.4551657084</v>
      </c>
      <c r="AK1448" s="20">
        <f t="shared" si="429"/>
        <v>0.13424587441904964</v>
      </c>
      <c r="AL1448" s="17"/>
      <c r="AM1448" s="17"/>
      <c r="AN1448" s="17"/>
      <c r="AO1448" s="17"/>
      <c r="AP1448" s="28" t="str">
        <f t="shared" si="430"/>
        <v>20208</v>
      </c>
      <c r="AQ1448" s="28" t="str">
        <f t="shared" si="431"/>
        <v>20208RMB</v>
      </c>
      <c r="AR1448" s="206" t="str">
        <f t="shared" si="432"/>
        <v>YAMAHA_Mounter</v>
      </c>
      <c r="AS1448" s="22">
        <f t="shared" si="433"/>
        <v>2</v>
      </c>
      <c r="AT1448" s="24" t="str">
        <f t="shared" si="434"/>
        <v>0-3 months</v>
      </c>
      <c r="AU1448" s="22" t="s">
        <v>3240</v>
      </c>
    </row>
    <row r="1449" spans="1:47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426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435"/>
        <v>940000</v>
      </c>
      <c r="AA1449" s="13">
        <v>1.105</v>
      </c>
      <c r="AB1449" s="21">
        <f t="shared" si="419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1"/>
        <v>37969334.083628319</v>
      </c>
      <c r="AJ1449" s="19">
        <f t="shared" si="422"/>
        <v>5097226.4551657084</v>
      </c>
      <c r="AK1449" s="20">
        <f t="shared" si="429"/>
        <v>0.13424587441904964</v>
      </c>
      <c r="AL1449" s="17"/>
      <c r="AM1449" s="17"/>
      <c r="AN1449" s="17"/>
      <c r="AO1449" s="17"/>
      <c r="AP1449" s="28" t="str">
        <f t="shared" si="430"/>
        <v>20208</v>
      </c>
      <c r="AQ1449" s="28" t="str">
        <f t="shared" si="431"/>
        <v>20208RMB</v>
      </c>
      <c r="AR1449" s="206" t="str">
        <f t="shared" si="432"/>
        <v>YAMAHA_Mounter</v>
      </c>
      <c r="AS1449" s="22">
        <f t="shared" si="433"/>
        <v>2</v>
      </c>
      <c r="AT1449" s="24" t="str">
        <f t="shared" si="434"/>
        <v>0-3 months</v>
      </c>
      <c r="AU1449" s="22" t="s">
        <v>3240</v>
      </c>
    </row>
    <row r="1450" spans="1:47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426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437">IF(W1450="RMB","1.13", "1")</f>
        <v>1</v>
      </c>
      <c r="Z1450" s="18">
        <f t="shared" si="435"/>
        <v>15000000</v>
      </c>
      <c r="AA1450" s="13">
        <v>6.9199999999999998E-2</v>
      </c>
      <c r="AB1450" s="21">
        <f t="shared" si="419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1"/>
        <v>31750699.113741599</v>
      </c>
      <c r="AJ1450" s="19">
        <f t="shared" si="422"/>
        <v>4396077.3195289988</v>
      </c>
      <c r="AK1450" s="20">
        <f t="shared" si="429"/>
        <v>0.13845607946397598</v>
      </c>
      <c r="AL1450" s="17"/>
      <c r="AM1450" s="17"/>
      <c r="AN1450" s="17"/>
      <c r="AO1450" s="17"/>
      <c r="AP1450" s="28" t="str">
        <f t="shared" si="430"/>
        <v>20222</v>
      </c>
      <c r="AQ1450" s="28" t="str">
        <f t="shared" si="431"/>
        <v>20222JPY</v>
      </c>
      <c r="AR1450" s="206" t="str">
        <f t="shared" si="432"/>
        <v>YAMAHA_Mounter</v>
      </c>
      <c r="AS1450" s="22">
        <f t="shared" si="433"/>
        <v>3</v>
      </c>
      <c r="AT1450" s="24" t="str">
        <f t="shared" si="434"/>
        <v>0-3 months</v>
      </c>
      <c r="AU1450" s="22" t="s">
        <v>3745</v>
      </c>
    </row>
    <row r="1451" spans="1:47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426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437"/>
        <v>1</v>
      </c>
      <c r="Z1451" s="18">
        <f t="shared" si="435"/>
        <v>11000000</v>
      </c>
      <c r="AA1451" s="13">
        <v>6.9199999999999998E-2</v>
      </c>
      <c r="AB1451" s="21">
        <f t="shared" si="419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1"/>
        <v>31750699.113741599</v>
      </c>
      <c r="AJ1451" s="19">
        <f t="shared" si="422"/>
        <v>4396077.3195289988</v>
      </c>
      <c r="AK1451" s="20">
        <f t="shared" si="429"/>
        <v>0.13845607946397598</v>
      </c>
      <c r="AL1451" s="17"/>
      <c r="AM1451" s="17"/>
      <c r="AN1451" s="17"/>
      <c r="AO1451" s="17"/>
      <c r="AP1451" s="28" t="str">
        <f t="shared" si="430"/>
        <v>20222</v>
      </c>
      <c r="AQ1451" s="28" t="str">
        <f t="shared" si="431"/>
        <v>20222JPY</v>
      </c>
      <c r="AR1451" s="206" t="str">
        <f t="shared" si="432"/>
        <v>YAMAHA_Mounter</v>
      </c>
      <c r="AS1451" s="22">
        <f t="shared" si="433"/>
        <v>3</v>
      </c>
      <c r="AT1451" s="24" t="str">
        <f t="shared" si="434"/>
        <v>0-3 months</v>
      </c>
      <c r="AU1451" s="22" t="s">
        <v>3745</v>
      </c>
    </row>
    <row r="1452" spans="1:47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426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437"/>
        <v>1</v>
      </c>
      <c r="Z1452" s="18">
        <f t="shared" si="435"/>
        <v>15000000</v>
      </c>
      <c r="AA1452" s="13">
        <v>6.2799999999999995E-2</v>
      </c>
      <c r="AB1452" s="21">
        <f t="shared" si="419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1"/>
        <v>44014086.982070789</v>
      </c>
      <c r="AJ1452" s="19">
        <f t="shared" si="422"/>
        <v>6419974.0221889298</v>
      </c>
      <c r="AK1452" s="20">
        <f t="shared" si="429"/>
        <v>0.14586180158193709</v>
      </c>
      <c r="AL1452" s="17"/>
      <c r="AM1452" s="17"/>
      <c r="AN1452" s="17"/>
      <c r="AO1452" s="17"/>
      <c r="AP1452" s="28" t="str">
        <f t="shared" si="430"/>
        <v>20225</v>
      </c>
      <c r="AQ1452" s="28" t="str">
        <f t="shared" si="431"/>
        <v>20225JPY</v>
      </c>
      <c r="AR1452" s="206" t="str">
        <f t="shared" si="432"/>
        <v>YAMAHA_Mounter</v>
      </c>
      <c r="AS1452" s="22">
        <f t="shared" si="433"/>
        <v>6</v>
      </c>
      <c r="AT1452" s="24" t="str">
        <f t="shared" si="434"/>
        <v>4-6 months</v>
      </c>
      <c r="AU1452" s="22" t="s">
        <v>3745</v>
      </c>
    </row>
    <row r="1453" spans="1:47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426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437"/>
        <v>1</v>
      </c>
      <c r="Z1453" s="18">
        <f t="shared" si="435"/>
        <v>11000000</v>
      </c>
      <c r="AA1453" s="13">
        <v>6.2799999999999995E-2</v>
      </c>
      <c r="AB1453" s="21">
        <f t="shared" si="419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1"/>
        <v>44014086.982070789</v>
      </c>
      <c r="AJ1453" s="19">
        <f t="shared" si="422"/>
        <v>6419974.0221889298</v>
      </c>
      <c r="AK1453" s="20">
        <f t="shared" si="429"/>
        <v>0.14586180158193709</v>
      </c>
      <c r="AL1453" s="17"/>
      <c r="AM1453" s="17"/>
      <c r="AN1453" s="17"/>
      <c r="AO1453" s="17"/>
      <c r="AP1453" s="28" t="str">
        <f t="shared" si="430"/>
        <v>20225</v>
      </c>
      <c r="AQ1453" s="28" t="str">
        <f t="shared" si="431"/>
        <v>20225JPY</v>
      </c>
      <c r="AR1453" s="206" t="str">
        <f t="shared" si="432"/>
        <v>YAMAHA_Mounter</v>
      </c>
      <c r="AS1453" s="22">
        <f t="shared" si="433"/>
        <v>6</v>
      </c>
      <c r="AT1453" s="24" t="str">
        <f t="shared" si="434"/>
        <v>4-6 months</v>
      </c>
      <c r="AU1453" s="22" t="s">
        <v>3745</v>
      </c>
    </row>
    <row r="1454" spans="1:47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426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437"/>
        <v>1.13</v>
      </c>
      <c r="Z1454" s="18">
        <f t="shared" si="435"/>
        <v>775000</v>
      </c>
      <c r="AA1454" s="13">
        <v>1.1000000000000001</v>
      </c>
      <c r="AB1454" s="21">
        <f t="shared" si="419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1"/>
        <v>22717528.991150443</v>
      </c>
      <c r="AJ1454" s="19">
        <f t="shared" si="422"/>
        <v>3947747.192555753</v>
      </c>
      <c r="AK1454" s="20">
        <f t="shared" si="429"/>
        <v>0.1737753782153679</v>
      </c>
      <c r="AL1454" s="17"/>
      <c r="AM1454" s="17"/>
      <c r="AN1454" s="17"/>
      <c r="AO1454" s="17"/>
      <c r="AP1454" s="28" t="str">
        <f t="shared" si="430"/>
        <v>202210</v>
      </c>
      <c r="AQ1454" s="28" t="str">
        <f t="shared" si="431"/>
        <v>202210RMB</v>
      </c>
      <c r="AR1454" s="206" t="str">
        <f t="shared" si="432"/>
        <v>YAMAHA_Mounter</v>
      </c>
      <c r="AS1454" s="22">
        <f t="shared" si="433"/>
        <v>1</v>
      </c>
      <c r="AT1454" s="24" t="str">
        <f t="shared" si="434"/>
        <v>0-3 months</v>
      </c>
      <c r="AU1454" s="22" t="s">
        <v>3750</v>
      </c>
    </row>
    <row r="1455" spans="1:47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426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437"/>
        <v>1.13</v>
      </c>
      <c r="Z1455" s="18">
        <f t="shared" si="435"/>
        <v>775000</v>
      </c>
      <c r="AA1455" s="13">
        <v>1.1000000000000001</v>
      </c>
      <c r="AB1455" s="21">
        <f t="shared" si="419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1"/>
        <v>22717528.991150443</v>
      </c>
      <c r="AJ1455" s="19">
        <f t="shared" si="422"/>
        <v>3947747.192555753</v>
      </c>
      <c r="AK1455" s="20">
        <f t="shared" si="429"/>
        <v>0.1737753782153679</v>
      </c>
      <c r="AL1455" s="17"/>
      <c r="AM1455" s="17"/>
      <c r="AN1455" s="17"/>
      <c r="AO1455" s="17"/>
      <c r="AP1455" s="28" t="str">
        <f t="shared" si="430"/>
        <v>202210</v>
      </c>
      <c r="AQ1455" s="28" t="str">
        <f t="shared" si="431"/>
        <v>202210RMB</v>
      </c>
      <c r="AR1455" s="206" t="str">
        <f t="shared" si="432"/>
        <v>YAMAHA_Mounter</v>
      </c>
      <c r="AS1455" s="22">
        <f t="shared" si="433"/>
        <v>1</v>
      </c>
      <c r="AT1455" s="24" t="str">
        <f t="shared" si="434"/>
        <v>0-3 months</v>
      </c>
      <c r="AU1455" s="22" t="s">
        <v>3750</v>
      </c>
    </row>
    <row r="1456" spans="1:47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425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426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437"/>
        <v>1</v>
      </c>
      <c r="Z1456" s="18">
        <f t="shared" si="435"/>
        <v>15000000</v>
      </c>
      <c r="AA1456" s="13">
        <v>5.4199999999999998E-2</v>
      </c>
      <c r="AB1456" s="21">
        <f t="shared" si="419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1"/>
        <v>499582152.5142017</v>
      </c>
      <c r="AJ1456" s="19">
        <f t="shared" si="422"/>
        <v>59520528.679470733</v>
      </c>
      <c r="AK1456" s="20">
        <f t="shared" si="429"/>
        <v>0.11914062257814291</v>
      </c>
      <c r="AL1456" s="17"/>
      <c r="AM1456" s="17"/>
      <c r="AN1456" s="17"/>
      <c r="AO1456" s="17"/>
      <c r="AP1456" s="28" t="str">
        <f t="shared" si="430"/>
        <v>CancelCancel</v>
      </c>
      <c r="AQ1456" s="28" t="str">
        <f t="shared" si="431"/>
        <v>CancelCancelJPY</v>
      </c>
      <c r="AR1456" s="206" t="str">
        <f t="shared" si="432"/>
        <v>YAMAHA_Mounter</v>
      </c>
      <c r="AS1456" s="22" t="str">
        <f t="shared" si="433"/>
        <v/>
      </c>
      <c r="AT1456" s="24" t="str">
        <f t="shared" si="434"/>
        <v/>
      </c>
      <c r="AU1456" s="22" t="s">
        <v>3745</v>
      </c>
    </row>
    <row r="1457" spans="1:47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425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426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437"/>
        <v>1</v>
      </c>
      <c r="Z1457" s="18">
        <f t="shared" si="435"/>
        <v>15000000</v>
      </c>
      <c r="AA1457" s="13">
        <v>5.4199999999999998E-2</v>
      </c>
      <c r="AB1457" s="21">
        <f t="shared" si="419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1"/>
        <v>499582152.5142017</v>
      </c>
      <c r="AJ1457" s="19">
        <f t="shared" si="422"/>
        <v>59520528.679470733</v>
      </c>
      <c r="AK1457" s="20">
        <f t="shared" si="429"/>
        <v>0.11914062257814291</v>
      </c>
      <c r="AL1457" s="17"/>
      <c r="AM1457" s="17"/>
      <c r="AN1457" s="17"/>
      <c r="AO1457" s="17"/>
      <c r="AP1457" s="28" t="str">
        <f t="shared" si="430"/>
        <v>CancelCancel</v>
      </c>
      <c r="AQ1457" s="28" t="str">
        <f t="shared" si="431"/>
        <v>CancelCancelJPY</v>
      </c>
      <c r="AR1457" s="206" t="str">
        <f t="shared" si="432"/>
        <v>YAMAHA_Mounter</v>
      </c>
      <c r="AS1457" s="22" t="str">
        <f t="shared" si="433"/>
        <v/>
      </c>
      <c r="AT1457" s="24" t="str">
        <f t="shared" si="434"/>
        <v/>
      </c>
      <c r="AU1457" s="22" t="s">
        <v>3745</v>
      </c>
    </row>
    <row r="1458" spans="1:47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425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426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437"/>
        <v>1</v>
      </c>
      <c r="Z1458" s="18">
        <f t="shared" si="435"/>
        <v>15000000</v>
      </c>
      <c r="AA1458" s="13">
        <v>5.4199999999999998E-2</v>
      </c>
      <c r="AB1458" s="21">
        <f t="shared" si="419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1"/>
        <v>499582152.5142017</v>
      </c>
      <c r="AJ1458" s="19">
        <f t="shared" si="422"/>
        <v>59520528.679470733</v>
      </c>
      <c r="AK1458" s="20">
        <f t="shared" si="429"/>
        <v>0.11914062257814291</v>
      </c>
      <c r="AL1458" s="17"/>
      <c r="AM1458" s="17"/>
      <c r="AN1458" s="17"/>
      <c r="AO1458" s="17"/>
      <c r="AP1458" s="28" t="str">
        <f t="shared" si="430"/>
        <v>CancelCancel</v>
      </c>
      <c r="AQ1458" s="28" t="str">
        <f t="shared" si="431"/>
        <v>CancelCancelJPY</v>
      </c>
      <c r="AR1458" s="206" t="str">
        <f t="shared" si="432"/>
        <v>YAMAHA_Mounter</v>
      </c>
      <c r="AS1458" s="22" t="str">
        <f t="shared" si="433"/>
        <v/>
      </c>
      <c r="AT1458" s="24" t="str">
        <f t="shared" si="434"/>
        <v/>
      </c>
      <c r="AU1458" s="22" t="s">
        <v>3745</v>
      </c>
    </row>
    <row r="1459" spans="1:47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425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426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437"/>
        <v>1</v>
      </c>
      <c r="Z1459" s="18">
        <f t="shared" si="435"/>
        <v>15000000</v>
      </c>
      <c r="AA1459" s="13">
        <v>5.4199999999999998E-2</v>
      </c>
      <c r="AB1459" s="21">
        <f t="shared" si="419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1"/>
        <v>499582152.5142017</v>
      </c>
      <c r="AJ1459" s="19">
        <f t="shared" si="422"/>
        <v>59520528.679470733</v>
      </c>
      <c r="AK1459" s="20">
        <f t="shared" si="429"/>
        <v>0.11914062257814291</v>
      </c>
      <c r="AL1459" s="17"/>
      <c r="AM1459" s="17"/>
      <c r="AN1459" s="17"/>
      <c r="AO1459" s="17"/>
      <c r="AP1459" s="28" t="str">
        <f t="shared" si="430"/>
        <v>CancelCancel</v>
      </c>
      <c r="AQ1459" s="28" t="str">
        <f t="shared" si="431"/>
        <v>CancelCancelJPY</v>
      </c>
      <c r="AR1459" s="206" t="str">
        <f t="shared" si="432"/>
        <v>YAMAHA_Mounter</v>
      </c>
      <c r="AS1459" s="22" t="str">
        <f t="shared" si="433"/>
        <v/>
      </c>
      <c r="AT1459" s="24" t="str">
        <f t="shared" si="434"/>
        <v/>
      </c>
      <c r="AU1459" s="22" t="s">
        <v>3745</v>
      </c>
    </row>
    <row r="1460" spans="1:47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425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426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437"/>
        <v>1</v>
      </c>
      <c r="Z1460" s="18">
        <f t="shared" si="435"/>
        <v>15000000</v>
      </c>
      <c r="AA1460" s="13">
        <v>5.4199999999999998E-2</v>
      </c>
      <c r="AB1460" s="21">
        <f t="shared" si="419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1"/>
        <v>499582152.5142017</v>
      </c>
      <c r="AJ1460" s="19">
        <f t="shared" si="422"/>
        <v>59520528.679470733</v>
      </c>
      <c r="AK1460" s="20">
        <f t="shared" si="429"/>
        <v>0.11914062257814291</v>
      </c>
      <c r="AL1460" s="17"/>
      <c r="AM1460" s="17"/>
      <c r="AN1460" s="17"/>
      <c r="AO1460" s="17"/>
      <c r="AP1460" s="28" t="str">
        <f t="shared" si="430"/>
        <v>CancelCancel</v>
      </c>
      <c r="AQ1460" s="28" t="str">
        <f t="shared" si="431"/>
        <v>CancelCancelJPY</v>
      </c>
      <c r="AR1460" s="206" t="str">
        <f t="shared" si="432"/>
        <v>YAMAHA_Mounter</v>
      </c>
      <c r="AS1460" s="22" t="str">
        <f t="shared" si="433"/>
        <v/>
      </c>
      <c r="AT1460" s="24" t="str">
        <f t="shared" si="434"/>
        <v/>
      </c>
      <c r="AU1460" s="22" t="s">
        <v>3745</v>
      </c>
    </row>
    <row r="1461" spans="1:47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425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426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437"/>
        <v>1</v>
      </c>
      <c r="Z1461" s="18">
        <f t="shared" si="435"/>
        <v>15000000</v>
      </c>
      <c r="AA1461" s="13">
        <v>5.4199999999999998E-2</v>
      </c>
      <c r="AB1461" s="21">
        <f t="shared" si="419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1"/>
        <v>499582152.5142017</v>
      </c>
      <c r="AJ1461" s="19">
        <f t="shared" si="422"/>
        <v>59520528.679470733</v>
      </c>
      <c r="AK1461" s="20">
        <f t="shared" si="429"/>
        <v>0.11914062257814291</v>
      </c>
      <c r="AL1461" s="17"/>
      <c r="AM1461" s="17"/>
      <c r="AN1461" s="17"/>
      <c r="AO1461" s="17"/>
      <c r="AP1461" s="28" t="str">
        <f t="shared" si="430"/>
        <v>CancelCancel</v>
      </c>
      <c r="AQ1461" s="28" t="str">
        <f t="shared" si="431"/>
        <v>CancelCancelJPY</v>
      </c>
      <c r="AR1461" s="206" t="str">
        <f t="shared" si="432"/>
        <v>YAMAHA_Mounter</v>
      </c>
      <c r="AS1461" s="22" t="str">
        <f t="shared" si="433"/>
        <v/>
      </c>
      <c r="AT1461" s="24" t="str">
        <f t="shared" si="434"/>
        <v/>
      </c>
      <c r="AU1461" s="22" t="s">
        <v>3745</v>
      </c>
    </row>
    <row r="1462" spans="1:47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38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425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426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437"/>
        <v>1</v>
      </c>
      <c r="Z1462" s="18">
        <f t="shared" si="435"/>
        <v>11250000</v>
      </c>
      <c r="AA1462" s="13">
        <v>5.4199999999999998E-2</v>
      </c>
      <c r="AB1462" s="21">
        <f t="shared" ref="AB1462:AB1525" si="439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1"/>
        <v>499582152.5142017</v>
      </c>
      <c r="AJ1462" s="19">
        <f t="shared" si="422"/>
        <v>59520528.679470733</v>
      </c>
      <c r="AK1462" s="20">
        <f t="shared" si="429"/>
        <v>0.11914062257814291</v>
      </c>
      <c r="AL1462" s="17"/>
      <c r="AM1462" s="17"/>
      <c r="AN1462" s="17"/>
      <c r="AO1462" s="17"/>
      <c r="AP1462" s="28" t="str">
        <f t="shared" si="430"/>
        <v>CancelCancel</v>
      </c>
      <c r="AQ1462" s="28" t="str">
        <f t="shared" si="431"/>
        <v>CancelCancelJPY</v>
      </c>
      <c r="AR1462" s="206" t="str">
        <f t="shared" si="432"/>
        <v>YAMAHA_Mounter</v>
      </c>
      <c r="AS1462" s="22" t="str">
        <f t="shared" si="433"/>
        <v/>
      </c>
      <c r="AT1462" s="24" t="str">
        <f t="shared" si="434"/>
        <v/>
      </c>
      <c r="AU1462" s="22" t="s">
        <v>3745</v>
      </c>
    </row>
    <row r="1463" spans="1:47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38"/>
        <v>Cancel</v>
      </c>
      <c r="F1463" s="13" t="s">
        <v>185</v>
      </c>
      <c r="G1463" s="152" t="s">
        <v>185</v>
      </c>
      <c r="H1463" s="155"/>
      <c r="I1463" s="33" t="str">
        <f t="shared" si="425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426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437"/>
        <v>1</v>
      </c>
      <c r="Z1463" s="18">
        <f t="shared" si="435"/>
        <v>11250000</v>
      </c>
      <c r="AA1463" s="13">
        <v>5.4199999999999998E-2</v>
      </c>
      <c r="AB1463" s="21">
        <f t="shared" si="439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1"/>
        <v>499582152.5142017</v>
      </c>
      <c r="AJ1463" s="19">
        <f t="shared" si="422"/>
        <v>59520528.679470733</v>
      </c>
      <c r="AK1463" s="20">
        <f t="shared" si="429"/>
        <v>0.11914062257814291</v>
      </c>
      <c r="AL1463" s="17"/>
      <c r="AM1463" s="17"/>
      <c r="AN1463" s="17"/>
      <c r="AO1463" s="17"/>
      <c r="AP1463" s="28" t="str">
        <f t="shared" si="430"/>
        <v>CancelCancel</v>
      </c>
      <c r="AQ1463" s="28" t="str">
        <f t="shared" si="431"/>
        <v>CancelCancelJPY</v>
      </c>
      <c r="AR1463" s="206" t="str">
        <f t="shared" si="432"/>
        <v>YAMAHA_Mounter</v>
      </c>
      <c r="AS1463" s="22" t="str">
        <f t="shared" si="433"/>
        <v/>
      </c>
      <c r="AT1463" s="24" t="str">
        <f t="shared" si="434"/>
        <v/>
      </c>
      <c r="AU1463" s="22" t="s">
        <v>3745</v>
      </c>
    </row>
    <row r="1464" spans="1:47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38"/>
        <v>Cancel</v>
      </c>
      <c r="F1464" s="13" t="s">
        <v>185</v>
      </c>
      <c r="G1464" s="152" t="s">
        <v>185</v>
      </c>
      <c r="H1464" s="155"/>
      <c r="I1464" s="33" t="str">
        <f t="shared" si="425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426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437"/>
        <v>1</v>
      </c>
      <c r="Z1464" s="18">
        <f t="shared" si="435"/>
        <v>11250000</v>
      </c>
      <c r="AA1464" s="13">
        <v>5.4199999999999998E-2</v>
      </c>
      <c r="AB1464" s="21">
        <f t="shared" si="439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1"/>
        <v>499582152.5142017</v>
      </c>
      <c r="AJ1464" s="19">
        <f t="shared" si="422"/>
        <v>59520528.679470733</v>
      </c>
      <c r="AK1464" s="20">
        <f t="shared" si="429"/>
        <v>0.11914062257814291</v>
      </c>
      <c r="AL1464" s="17"/>
      <c r="AM1464" s="17"/>
      <c r="AN1464" s="17"/>
      <c r="AO1464" s="17"/>
      <c r="AP1464" s="28" t="str">
        <f t="shared" si="430"/>
        <v>CancelCancel</v>
      </c>
      <c r="AQ1464" s="28" t="str">
        <f t="shared" si="431"/>
        <v>CancelCancelJPY</v>
      </c>
      <c r="AR1464" s="206" t="str">
        <f t="shared" si="432"/>
        <v>YAMAHA_Mounter</v>
      </c>
      <c r="AS1464" s="22" t="str">
        <f t="shared" si="433"/>
        <v/>
      </c>
      <c r="AT1464" s="24" t="str">
        <f t="shared" si="434"/>
        <v/>
      </c>
      <c r="AU1464" s="22" t="s">
        <v>3745</v>
      </c>
    </row>
    <row r="1465" spans="1:47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38"/>
        <v>Cancel</v>
      </c>
      <c r="F1465" s="13" t="s">
        <v>185</v>
      </c>
      <c r="G1465" s="152" t="s">
        <v>185</v>
      </c>
      <c r="H1465" s="155"/>
      <c r="I1465" s="33" t="str">
        <f t="shared" si="425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426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437"/>
        <v>1</v>
      </c>
      <c r="Z1465" s="18">
        <f t="shared" si="435"/>
        <v>11250000</v>
      </c>
      <c r="AA1465" s="13">
        <v>5.4199999999999998E-2</v>
      </c>
      <c r="AB1465" s="21">
        <f t="shared" si="439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1"/>
        <v>499582152.5142017</v>
      </c>
      <c r="AJ1465" s="19">
        <f t="shared" si="422"/>
        <v>59520528.679470733</v>
      </c>
      <c r="AK1465" s="20">
        <f t="shared" si="429"/>
        <v>0.11914062257814291</v>
      </c>
      <c r="AL1465" s="17"/>
      <c r="AM1465" s="17"/>
      <c r="AN1465" s="17"/>
      <c r="AO1465" s="17"/>
      <c r="AP1465" s="28" t="str">
        <f t="shared" si="430"/>
        <v>CancelCancel</v>
      </c>
      <c r="AQ1465" s="28" t="str">
        <f t="shared" si="431"/>
        <v>CancelCancelJPY</v>
      </c>
      <c r="AR1465" s="206" t="str">
        <f t="shared" si="432"/>
        <v>YAMAHA_Mounter</v>
      </c>
      <c r="AS1465" s="22" t="str">
        <f t="shared" si="433"/>
        <v/>
      </c>
      <c r="AT1465" s="24" t="str">
        <f t="shared" si="434"/>
        <v/>
      </c>
      <c r="AU1465" s="22" t="s">
        <v>3745</v>
      </c>
    </row>
    <row r="1466" spans="1:47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38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426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435"/>
        <v>738000</v>
      </c>
      <c r="AA1466" s="22">
        <v>1.08</v>
      </c>
      <c r="AB1466" s="197">
        <f t="shared" si="439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1"/>
        <v>27308925.887079656</v>
      </c>
      <c r="AJ1466" s="200">
        <f t="shared" si="422"/>
        <v>3319273.860338124</v>
      </c>
      <c r="AK1466" s="201">
        <f t="shared" si="429"/>
        <v>0.12154538314919709</v>
      </c>
      <c r="AL1466" s="24"/>
      <c r="AM1466" s="24"/>
      <c r="AN1466" s="24"/>
      <c r="AO1466" s="24"/>
      <c r="AP1466" s="28" t="str">
        <f t="shared" si="430"/>
        <v>20246</v>
      </c>
      <c r="AQ1466" s="208" t="str">
        <f t="shared" si="431"/>
        <v>20246RMB</v>
      </c>
      <c r="AR1466" s="206" t="str">
        <f t="shared" si="432"/>
        <v>YAMAHA_Mounter</v>
      </c>
      <c r="AS1466" s="22">
        <f t="shared" si="433"/>
        <v>2</v>
      </c>
      <c r="AT1466" s="24" t="str">
        <f t="shared" si="434"/>
        <v>0-3 months</v>
      </c>
      <c r="AU1466" s="22" t="s">
        <v>3240</v>
      </c>
    </row>
    <row r="1467" spans="1:47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38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426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435"/>
        <v>390000</v>
      </c>
      <c r="AA1467" s="22">
        <v>1.08</v>
      </c>
      <c r="AB1467" s="21">
        <f t="shared" si="439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1"/>
        <v>27308925.887079656</v>
      </c>
      <c r="AJ1467" s="19">
        <f t="shared" si="422"/>
        <v>3319273.860338124</v>
      </c>
      <c r="AK1467" s="20">
        <f t="shared" si="429"/>
        <v>0.12154538314919709</v>
      </c>
      <c r="AL1467" s="17"/>
      <c r="AM1467" s="17"/>
      <c r="AN1467" s="17"/>
      <c r="AO1467" s="17"/>
      <c r="AP1467" s="28" t="str">
        <f t="shared" si="430"/>
        <v>20246</v>
      </c>
      <c r="AQ1467" s="28" t="str">
        <f t="shared" si="431"/>
        <v>20246RMB</v>
      </c>
      <c r="AR1467" s="206" t="str">
        <f t="shared" si="432"/>
        <v>YAMAHA_Mounter</v>
      </c>
      <c r="AS1467" s="22">
        <f t="shared" si="433"/>
        <v>7</v>
      </c>
      <c r="AT1467" s="24" t="str">
        <f t="shared" si="434"/>
        <v>&gt; 6 months</v>
      </c>
      <c r="AU1467" s="22" t="s">
        <v>3240</v>
      </c>
    </row>
    <row r="1468" spans="1:47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38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426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435"/>
        <v>770000</v>
      </c>
      <c r="AA1468" s="22">
        <v>1.08</v>
      </c>
      <c r="AB1468" s="21">
        <f t="shared" si="439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1"/>
        <v>27308925.887079656</v>
      </c>
      <c r="AJ1468" s="27">
        <f t="shared" si="422"/>
        <v>3319273.860338124</v>
      </c>
      <c r="AK1468" s="28">
        <f t="shared" si="429"/>
        <v>0.12154538314919709</v>
      </c>
      <c r="AL1468" s="24"/>
      <c r="AM1468" s="24"/>
      <c r="AN1468" s="24"/>
      <c r="AO1468" s="24"/>
      <c r="AP1468" s="28" t="str">
        <f t="shared" si="430"/>
        <v>20246</v>
      </c>
      <c r="AQ1468" s="28" t="str">
        <f t="shared" si="431"/>
        <v>20246RMB</v>
      </c>
      <c r="AR1468" s="206" t="str">
        <f t="shared" si="432"/>
        <v>YAMAHA_Mounter</v>
      </c>
      <c r="AS1468" s="22">
        <f t="shared" si="433"/>
        <v>2</v>
      </c>
      <c r="AT1468" s="24" t="str">
        <f t="shared" si="434"/>
        <v>0-3 months</v>
      </c>
      <c r="AU1468" s="22" t="s">
        <v>3750</v>
      </c>
    </row>
    <row r="1469" spans="1:47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426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435"/>
        <v>14000000</v>
      </c>
      <c r="AA1469" s="13">
        <v>7.17E-2</v>
      </c>
      <c r="AB1469" s="21">
        <f t="shared" si="439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1"/>
        <v>41443303.53761062</v>
      </c>
      <c r="AJ1469" s="19">
        <f t="shared" si="422"/>
        <v>6194988.76643031</v>
      </c>
      <c r="AK1469" s="20">
        <f t="shared" si="429"/>
        <v>0.1494810557466355</v>
      </c>
      <c r="AL1469" s="17"/>
      <c r="AM1469" s="17"/>
      <c r="AN1469" s="17"/>
      <c r="AO1469" s="17"/>
      <c r="AP1469" s="28" t="str">
        <f t="shared" si="430"/>
        <v>20217</v>
      </c>
      <c r="AQ1469" s="28" t="str">
        <f t="shared" si="431"/>
        <v>20217JPY</v>
      </c>
      <c r="AR1469" s="206" t="str">
        <f t="shared" si="432"/>
        <v>YAMAHA_Mounter</v>
      </c>
      <c r="AS1469" s="22">
        <f t="shared" si="433"/>
        <v>4</v>
      </c>
      <c r="AT1469" s="24" t="str">
        <f t="shared" si="434"/>
        <v>4-6 months</v>
      </c>
      <c r="AU1469" s="22" t="s">
        <v>3744</v>
      </c>
    </row>
    <row r="1470" spans="1:47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426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435"/>
        <v>9560000</v>
      </c>
      <c r="AA1470" s="13">
        <v>7.17E-2</v>
      </c>
      <c r="AB1470" s="21">
        <f t="shared" si="439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1"/>
        <v>41443303.53761062</v>
      </c>
      <c r="AJ1470" s="19">
        <f t="shared" si="422"/>
        <v>6194988.76643031</v>
      </c>
      <c r="AK1470" s="20">
        <f t="shared" si="429"/>
        <v>0.1494810557466355</v>
      </c>
      <c r="AL1470" s="17"/>
      <c r="AM1470" s="17"/>
      <c r="AN1470" s="17"/>
      <c r="AO1470" s="17"/>
      <c r="AP1470" s="28" t="str">
        <f t="shared" si="430"/>
        <v>20217</v>
      </c>
      <c r="AQ1470" s="28" t="str">
        <f t="shared" si="431"/>
        <v>20217JPY</v>
      </c>
      <c r="AR1470" s="206" t="str">
        <f t="shared" si="432"/>
        <v>YAMAHA_Mounter</v>
      </c>
      <c r="AS1470" s="22">
        <f t="shared" si="433"/>
        <v>4</v>
      </c>
      <c r="AT1470" s="24" t="str">
        <f t="shared" si="434"/>
        <v>4-6 months</v>
      </c>
      <c r="AU1470" s="22" t="s">
        <v>3744</v>
      </c>
    </row>
    <row r="1471" spans="1:47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426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435"/>
        <v>554640</v>
      </c>
      <c r="AA1471" s="13">
        <v>1.23</v>
      </c>
      <c r="AB1471" s="21">
        <f t="shared" si="439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1"/>
        <v>34109166.105589926</v>
      </c>
      <c r="AJ1471" s="19">
        <f t="shared" si="422"/>
        <v>4642032.7199573703</v>
      </c>
      <c r="AK1471" s="20">
        <f t="shared" si="429"/>
        <v>0.13609340977692849</v>
      </c>
      <c r="AL1471" s="17"/>
      <c r="AM1471" s="17"/>
      <c r="AN1471" s="17" t="s">
        <v>487</v>
      </c>
      <c r="AO1471" s="17"/>
      <c r="AP1471" s="28" t="str">
        <f t="shared" si="430"/>
        <v>20185</v>
      </c>
      <c r="AQ1471" s="28" t="str">
        <f t="shared" si="431"/>
        <v>20185RMB</v>
      </c>
      <c r="AR1471" s="206" t="str">
        <f t="shared" si="432"/>
        <v>YAMAHA_Mounter</v>
      </c>
      <c r="AS1471" s="22">
        <f t="shared" si="433"/>
        <v>0</v>
      </c>
      <c r="AT1471" s="24" t="str">
        <f t="shared" si="434"/>
        <v>0-3 months</v>
      </c>
      <c r="AU1471" s="22" t="s">
        <v>3750</v>
      </c>
    </row>
    <row r="1472" spans="1:47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426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435"/>
        <v>6850000</v>
      </c>
      <c r="AA1472" s="13">
        <v>7.6100000000000001E-2</v>
      </c>
      <c r="AB1472" s="21">
        <f t="shared" si="439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1"/>
        <v>44078731.611185849</v>
      </c>
      <c r="AJ1472" s="19">
        <f t="shared" si="422"/>
        <v>5508173.2163771465</v>
      </c>
      <c r="AK1472" s="20">
        <f t="shared" si="429"/>
        <v>0.12496215328889679</v>
      </c>
      <c r="AL1472" s="17"/>
      <c r="AM1472" s="17"/>
      <c r="AN1472" s="17"/>
      <c r="AO1472" s="17"/>
      <c r="AP1472" s="28" t="str">
        <f t="shared" si="430"/>
        <v>202011</v>
      </c>
      <c r="AQ1472" s="28" t="str">
        <f t="shared" si="431"/>
        <v>202011JPY</v>
      </c>
      <c r="AR1472" s="206" t="str">
        <f t="shared" si="432"/>
        <v>YAMAHA_Mounter</v>
      </c>
      <c r="AS1472" s="22">
        <f t="shared" si="433"/>
        <v>3</v>
      </c>
      <c r="AT1472" s="24" t="str">
        <f t="shared" si="434"/>
        <v>0-3 months</v>
      </c>
      <c r="AU1472" s="22" t="s">
        <v>3744</v>
      </c>
    </row>
    <row r="1473" spans="1:47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425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426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435"/>
        <v>7590000</v>
      </c>
      <c r="AA1473" s="13">
        <v>7.17E-2</v>
      </c>
      <c r="AB1473" s="21">
        <f t="shared" si="439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1"/>
        <v>499582152.5142017</v>
      </c>
      <c r="AJ1473" s="19">
        <f t="shared" si="422"/>
        <v>59520528.679470733</v>
      </c>
      <c r="AK1473" s="20">
        <f t="shared" si="429"/>
        <v>0.11914062257814291</v>
      </c>
      <c r="AL1473" s="17"/>
      <c r="AM1473" s="17"/>
      <c r="AN1473" s="17"/>
      <c r="AO1473" s="17"/>
      <c r="AP1473" s="28" t="str">
        <f t="shared" si="430"/>
        <v>CancelCANCEL</v>
      </c>
      <c r="AQ1473" s="28" t="str">
        <f t="shared" si="431"/>
        <v>CancelCANCELJPY</v>
      </c>
      <c r="AR1473" s="206" t="str">
        <f t="shared" si="432"/>
        <v>YAMAHA_Mounter</v>
      </c>
      <c r="AS1473" s="22" t="str">
        <f t="shared" si="433"/>
        <v/>
      </c>
      <c r="AT1473" s="24" t="str">
        <f t="shared" si="434"/>
        <v/>
      </c>
      <c r="AU1473" s="22" t="s">
        <v>3744</v>
      </c>
    </row>
    <row r="1474" spans="1:47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426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435"/>
        <v>335000</v>
      </c>
      <c r="AA1474" s="22">
        <v>1.08</v>
      </c>
      <c r="AB1474" s="197">
        <f t="shared" si="439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ref="AI1474:AI1537" si="440">IF(P1474="C66 SERVICE","",SUMIFS(AB:AB,F:F,F1474,G:G,G1474,E:E,E1474))</f>
        <v>27308925.887079656</v>
      </c>
      <c r="AJ1474" s="200">
        <f t="shared" ref="AJ1474:AJ1537" si="441">IF(P1474="C66 SERVICE","",SUMIFS(AC:AC,F:F,F1474,G:G,G1474,E:E,E1474))</f>
        <v>3319273.860338124</v>
      </c>
      <c r="AK1474" s="201">
        <f t="shared" si="429"/>
        <v>0.12154538314919709</v>
      </c>
      <c r="AL1474" s="24"/>
      <c r="AM1474" s="24"/>
      <c r="AN1474" s="24"/>
      <c r="AO1474" s="24"/>
      <c r="AP1474" s="105" t="str">
        <f t="shared" si="430"/>
        <v>20246</v>
      </c>
      <c r="AQ1474" s="28" t="str">
        <f t="shared" si="431"/>
        <v>20246RMB</v>
      </c>
      <c r="AR1474" s="206" t="str">
        <f t="shared" si="432"/>
        <v>YAMAHA_Non_Mounter</v>
      </c>
      <c r="AS1474" s="22">
        <f t="shared" si="433"/>
        <v>1</v>
      </c>
      <c r="AT1474" s="24" t="str">
        <f t="shared" si="434"/>
        <v>0-3 months</v>
      </c>
      <c r="AU1474" s="22" t="s">
        <v>3240</v>
      </c>
    </row>
    <row r="1475" spans="1:47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426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435"/>
        <v>335000</v>
      </c>
      <c r="AA1475" s="22">
        <v>1.08</v>
      </c>
      <c r="AB1475" s="197">
        <f t="shared" si="439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40"/>
        <v>27308925.887079656</v>
      </c>
      <c r="AJ1475" s="200">
        <f t="shared" si="441"/>
        <v>3319273.860338124</v>
      </c>
      <c r="AK1475" s="201">
        <f t="shared" si="429"/>
        <v>0.12154538314919709</v>
      </c>
      <c r="AL1475" s="24"/>
      <c r="AM1475" s="24"/>
      <c r="AN1475" s="24"/>
      <c r="AO1475" s="24"/>
      <c r="AP1475" s="105" t="str">
        <f t="shared" si="430"/>
        <v>20246</v>
      </c>
      <c r="AQ1475" s="28" t="str">
        <f t="shared" si="431"/>
        <v>20246RMB</v>
      </c>
      <c r="AR1475" s="206" t="str">
        <f t="shared" si="432"/>
        <v>YAMAHA_Non_Mounter</v>
      </c>
      <c r="AS1475" s="22">
        <f t="shared" si="433"/>
        <v>1</v>
      </c>
      <c r="AT1475" s="24" t="str">
        <f t="shared" si="434"/>
        <v>0-3 months</v>
      </c>
      <c r="AU1475" s="22" t="s">
        <v>3240</v>
      </c>
    </row>
    <row r="1476" spans="1:47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426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435"/>
        <v>211988</v>
      </c>
      <c r="AA1476" s="22">
        <v>1.08</v>
      </c>
      <c r="AB1476" s="197">
        <f t="shared" si="439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40"/>
        <v>27308925.887079656</v>
      </c>
      <c r="AJ1476" s="200">
        <f t="shared" si="441"/>
        <v>3319273.860338124</v>
      </c>
      <c r="AK1476" s="201">
        <f t="shared" si="429"/>
        <v>0.12154538314919709</v>
      </c>
      <c r="AL1476" s="24"/>
      <c r="AM1476" s="24"/>
      <c r="AN1476" s="24"/>
      <c r="AO1476" s="24"/>
      <c r="AP1476" s="105" t="str">
        <f t="shared" si="430"/>
        <v>20246</v>
      </c>
      <c r="AQ1476" s="28" t="str">
        <f t="shared" si="431"/>
        <v>20246RMB</v>
      </c>
      <c r="AR1476" s="206" t="str">
        <f t="shared" si="432"/>
        <v>YAMAHA_Non_Mounter</v>
      </c>
      <c r="AS1476" s="22">
        <f t="shared" si="433"/>
        <v>1</v>
      </c>
      <c r="AT1476" s="24" t="str">
        <f t="shared" si="434"/>
        <v>0-3 months</v>
      </c>
      <c r="AU1476" s="22" t="s">
        <v>3750</v>
      </c>
    </row>
    <row r="1477" spans="1:47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426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435"/>
        <v>678000</v>
      </c>
      <c r="AA1477" s="13">
        <v>1.135</v>
      </c>
      <c r="AB1477" s="21">
        <f t="shared" si="439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40"/>
        <v>21386017.707964607</v>
      </c>
      <c r="AJ1477" s="19">
        <f t="shared" si="441"/>
        <v>2238764.3265707968</v>
      </c>
      <c r="AK1477" s="20">
        <f t="shared" si="429"/>
        <v>0.10468355339185161</v>
      </c>
      <c r="AL1477" s="17"/>
      <c r="AM1477" s="17"/>
      <c r="AN1477" s="17"/>
      <c r="AO1477" s="17"/>
      <c r="AP1477" s="28" t="str">
        <f t="shared" si="430"/>
        <v>20198</v>
      </c>
      <c r="AQ1477" s="28" t="str">
        <f t="shared" si="431"/>
        <v>20198RMB</v>
      </c>
      <c r="AR1477" s="206" t="str">
        <f t="shared" si="432"/>
        <v>YAMAHA_Mounter</v>
      </c>
      <c r="AS1477" s="22">
        <f t="shared" si="433"/>
        <v>0</v>
      </c>
      <c r="AT1477" s="24" t="str">
        <f t="shared" si="434"/>
        <v>0-3 months</v>
      </c>
      <c r="AU1477" s="22" t="s">
        <v>3743</v>
      </c>
    </row>
    <row r="1478" spans="1:47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435"/>
        <v>15029975</v>
      </c>
      <c r="AA1478" s="13">
        <v>7.17E-2</v>
      </c>
      <c r="AB1478" s="21">
        <f t="shared" si="439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si="440"/>
        <v>14593788.187146019</v>
      </c>
      <c r="AJ1478" s="19">
        <f t="shared" si="441"/>
        <v>1868647.7321969916</v>
      </c>
      <c r="AK1478" s="20">
        <f t="shared" ref="AK1478:AK1541" si="448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49">IF(F1478="","",F1478&amp;G1478)</f>
        <v>20195</v>
      </c>
      <c r="AQ1478" s="28" t="str">
        <f t="shared" ref="AQ1478:AQ1541" si="450">IF(W1478="","",F1478&amp;G1478&amp;W1478)</f>
        <v>20195JPY</v>
      </c>
      <c r="AR1478" s="206" t="str">
        <f t="shared" ref="AR1478:AR1541" si="451">IFERROR(IF(AND(M1478="YAMAHA", R1478="C28"), "YAMAHA_Non_Mounter", IF(AND(M1478="YAMAHA", R1478="C49"), "YAMAHA_Mounter", M1478)),"")</f>
        <v>YAMAHA_Mounter</v>
      </c>
      <c r="AS1478" s="22">
        <f t="shared" ref="AS1478:AS1541" si="452">IFERROR(IF(OR(G1478="TBA", G1478=""), "", DATEDIF(DATE(B1478, C1478, 1), DATE(F1478, G1478, 1), "M")),"")</f>
        <v>1</v>
      </c>
      <c r="AT1478" s="24" t="str">
        <f t="shared" ref="AT1478:AT1541" si="453">IF(ISNUMBER(AS1478), IF(AS1478&gt;=0, IF(AS1478&lt;=3, "0-3 months", IF(AS1478&lt;=6, "4-6 months", "&gt; 6 months"))), "")</f>
        <v>0-3 months</v>
      </c>
      <c r="AU1478" s="22" t="s">
        <v>3744</v>
      </c>
    </row>
    <row r="1479" spans="1:47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445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435"/>
        <v>11200000</v>
      </c>
      <c r="AA1479" s="13">
        <v>7.3499999999999996E-2</v>
      </c>
      <c r="AB1479" s="21">
        <f t="shared" si="439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0"/>
        <v>26147030.909862842</v>
      </c>
      <c r="AJ1479" s="19">
        <f t="shared" si="441"/>
        <v>2743862.8630715334</v>
      </c>
      <c r="AK1479" s="20">
        <f t="shared" si="448"/>
        <v>0.10493974908778378</v>
      </c>
      <c r="AL1479" s="17"/>
      <c r="AM1479" s="17"/>
      <c r="AN1479" s="17"/>
      <c r="AO1479" s="17"/>
      <c r="AP1479" s="28" t="str">
        <f t="shared" si="449"/>
        <v>201911</v>
      </c>
      <c r="AQ1479" s="28" t="str">
        <f t="shared" si="450"/>
        <v>201911JPY</v>
      </c>
      <c r="AR1479" s="206" t="str">
        <f t="shared" si="451"/>
        <v>YAMAHA_Mounter</v>
      </c>
      <c r="AS1479" s="22">
        <f t="shared" si="452"/>
        <v>0</v>
      </c>
      <c r="AT1479" s="24" t="str">
        <f t="shared" si="453"/>
        <v>0-3 months</v>
      </c>
      <c r="AU1479" s="22" t="s">
        <v>3744</v>
      </c>
    </row>
    <row r="1480" spans="1:47" s="12" customFormat="1">
      <c r="A1480" s="33" t="str">
        <f t="shared" si="442"/>
        <v>cancel</v>
      </c>
      <c r="B1480" s="152"/>
      <c r="C1480" s="152" t="s">
        <v>1616</v>
      </c>
      <c r="D1480" s="33" t="str">
        <f t="shared" si="443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444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445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435"/>
        <v>14642375</v>
      </c>
      <c r="AA1480" s="13">
        <v>7.3400000000000007E-2</v>
      </c>
      <c r="AB1480" s="21">
        <f t="shared" si="439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0"/>
        <v>499582152.5142017</v>
      </c>
      <c r="AJ1480" s="19">
        <f t="shared" si="441"/>
        <v>59520528.679470733</v>
      </c>
      <c r="AK1480" s="20">
        <f t="shared" si="448"/>
        <v>0.11914062257814291</v>
      </c>
      <c r="AL1480" s="17"/>
      <c r="AM1480" s="17"/>
      <c r="AN1480" s="17"/>
      <c r="AO1480" s="17"/>
      <c r="AP1480" s="28" t="str">
        <f t="shared" si="449"/>
        <v>CancelCancel</v>
      </c>
      <c r="AQ1480" s="28" t="str">
        <f t="shared" si="450"/>
        <v>CancelCancelJPY</v>
      </c>
      <c r="AR1480" s="206" t="str">
        <f t="shared" si="451"/>
        <v>YAMAHA_Mounter</v>
      </c>
      <c r="AS1480" s="22" t="str">
        <f t="shared" si="452"/>
        <v/>
      </c>
      <c r="AT1480" s="24" t="str">
        <f t="shared" si="453"/>
        <v/>
      </c>
      <c r="AU1480" s="22" t="s">
        <v>3744</v>
      </c>
    </row>
    <row r="1481" spans="1:47" s="12" customFormat="1">
      <c r="A1481" s="33" t="str">
        <f t="shared" si="442"/>
        <v>cancel</v>
      </c>
      <c r="B1481" s="152"/>
      <c r="C1481" s="152" t="s">
        <v>1616</v>
      </c>
      <c r="D1481" s="33" t="str">
        <f t="shared" si="443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444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445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435"/>
        <v>14642375</v>
      </c>
      <c r="AA1481" s="13">
        <v>7.3400000000000007E-2</v>
      </c>
      <c r="AB1481" s="21">
        <f t="shared" si="439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0"/>
        <v>499582152.5142017</v>
      </c>
      <c r="AJ1481" s="19">
        <f t="shared" si="441"/>
        <v>59520528.679470733</v>
      </c>
      <c r="AK1481" s="20">
        <f t="shared" si="448"/>
        <v>0.11914062257814291</v>
      </c>
      <c r="AL1481" s="17"/>
      <c r="AM1481" s="17"/>
      <c r="AN1481" s="17"/>
      <c r="AO1481" s="17"/>
      <c r="AP1481" s="28" t="str">
        <f t="shared" si="449"/>
        <v>CancelCancel</v>
      </c>
      <c r="AQ1481" s="28" t="str">
        <f t="shared" si="450"/>
        <v>CancelCancelJPY</v>
      </c>
      <c r="AR1481" s="206" t="str">
        <f t="shared" si="451"/>
        <v>YAMAHA_Mounter</v>
      </c>
      <c r="AS1481" s="22" t="str">
        <f t="shared" si="452"/>
        <v/>
      </c>
      <c r="AT1481" s="24" t="str">
        <f t="shared" si="453"/>
        <v/>
      </c>
      <c r="AU1481" s="22" t="s">
        <v>3744</v>
      </c>
    </row>
    <row r="1482" spans="1:47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445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54">IF(X1482="","",X1482*MAX(O1482,N1482))</f>
        <v>66000</v>
      </c>
      <c r="AA1482" s="13">
        <v>1.17</v>
      </c>
      <c r="AB1482" s="21">
        <f t="shared" si="439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0"/>
        <v>36480247.665929198</v>
      </c>
      <c r="AJ1482" s="19">
        <f t="shared" si="441"/>
        <v>5330996.6372757526</v>
      </c>
      <c r="AK1482" s="20">
        <f t="shared" si="448"/>
        <v>0.14613378412599562</v>
      </c>
      <c r="AL1482" s="17"/>
      <c r="AM1482" s="17"/>
      <c r="AN1482" s="17"/>
      <c r="AO1482" s="17"/>
      <c r="AP1482" s="28" t="str">
        <f t="shared" si="449"/>
        <v>20227</v>
      </c>
      <c r="AQ1482" s="28" t="str">
        <f t="shared" si="450"/>
        <v>20227RMB</v>
      </c>
      <c r="AR1482" s="206" t="str">
        <f t="shared" si="451"/>
        <v>LOCAL SUPPLIER</v>
      </c>
      <c r="AS1482" s="22">
        <f t="shared" si="452"/>
        <v>2</v>
      </c>
      <c r="AT1482" s="24" t="str">
        <f t="shared" si="453"/>
        <v>0-3 months</v>
      </c>
      <c r="AU1482" s="22" t="s">
        <v>3240</v>
      </c>
    </row>
    <row r="1483" spans="1:47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445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54"/>
        <v>610000</v>
      </c>
      <c r="AA1483" s="13">
        <v>1.089</v>
      </c>
      <c r="AB1483" s="21">
        <f t="shared" si="439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0"/>
        <v>29183109.05575221</v>
      </c>
      <c r="AJ1483" s="19">
        <f t="shared" si="441"/>
        <v>3741266.5648721238</v>
      </c>
      <c r="AK1483" s="20">
        <f t="shared" si="448"/>
        <v>0.12819972531798121</v>
      </c>
      <c r="AL1483" s="17"/>
      <c r="AM1483" s="17"/>
      <c r="AN1483" s="17"/>
      <c r="AO1483" s="17"/>
      <c r="AP1483" s="28" t="str">
        <f t="shared" si="449"/>
        <v>20206</v>
      </c>
      <c r="AQ1483" s="28" t="str">
        <f t="shared" si="450"/>
        <v>20206RMB</v>
      </c>
      <c r="AR1483" s="206" t="str">
        <f t="shared" si="451"/>
        <v>YAMAHA_Mounter</v>
      </c>
      <c r="AS1483" s="22">
        <f t="shared" si="452"/>
        <v>4</v>
      </c>
      <c r="AT1483" s="24" t="str">
        <f t="shared" si="453"/>
        <v>4-6 months</v>
      </c>
      <c r="AU1483" s="22" t="s">
        <v>3240</v>
      </c>
    </row>
    <row r="1484" spans="1:47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445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54"/>
        <v>697470</v>
      </c>
      <c r="AA1484" s="13">
        <v>1.089</v>
      </c>
      <c r="AB1484" s="21">
        <f t="shared" si="439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0"/>
        <v>29183109.05575221</v>
      </c>
      <c r="AJ1484" s="19">
        <f t="shared" si="441"/>
        <v>3741266.5648721238</v>
      </c>
      <c r="AK1484" s="20">
        <f t="shared" si="448"/>
        <v>0.12819972531798121</v>
      </c>
      <c r="AL1484" s="17"/>
      <c r="AM1484" s="17"/>
      <c r="AN1484" s="17"/>
      <c r="AO1484" s="17"/>
      <c r="AP1484" s="28" t="str">
        <f t="shared" si="449"/>
        <v>20206</v>
      </c>
      <c r="AQ1484" s="28" t="str">
        <f t="shared" si="450"/>
        <v>20206RMB</v>
      </c>
      <c r="AR1484" s="206" t="str">
        <f t="shared" si="451"/>
        <v>LOCAL SUPPLIER</v>
      </c>
      <c r="AS1484" s="22">
        <f t="shared" si="452"/>
        <v>4</v>
      </c>
      <c r="AT1484" s="24" t="str">
        <f t="shared" si="453"/>
        <v>4-6 months</v>
      </c>
      <c r="AU1484" s="22" t="s">
        <v>3240</v>
      </c>
    </row>
    <row r="1485" spans="1:47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445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54"/>
        <v>275000</v>
      </c>
      <c r="AA1485" s="13">
        <v>1.089</v>
      </c>
      <c r="AB1485" s="21">
        <f t="shared" si="439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0"/>
        <v>29183109.05575221</v>
      </c>
      <c r="AJ1485" s="19">
        <f t="shared" si="441"/>
        <v>3741266.5648721238</v>
      </c>
      <c r="AK1485" s="20">
        <f t="shared" si="448"/>
        <v>0.12819972531798121</v>
      </c>
      <c r="AL1485" s="17"/>
      <c r="AM1485" s="17"/>
      <c r="AN1485" s="17"/>
      <c r="AO1485" s="17"/>
      <c r="AP1485" s="28" t="str">
        <f t="shared" si="449"/>
        <v>20206</v>
      </c>
      <c r="AQ1485" s="28" t="str">
        <f t="shared" si="450"/>
        <v>20206RMB</v>
      </c>
      <c r="AR1485" s="206" t="str">
        <f t="shared" si="451"/>
        <v>HELLER</v>
      </c>
      <c r="AS1485" s="22">
        <f t="shared" si="452"/>
        <v>4</v>
      </c>
      <c r="AT1485" s="24" t="str">
        <f t="shared" si="453"/>
        <v>4-6 months</v>
      </c>
      <c r="AU1485" s="22" t="s">
        <v>3240</v>
      </c>
    </row>
    <row r="1486" spans="1:47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445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54"/>
        <v>30000</v>
      </c>
      <c r="AA1486" s="13">
        <v>1.089</v>
      </c>
      <c r="AB1486" s="21">
        <f t="shared" si="439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0"/>
        <v>29183109.05575221</v>
      </c>
      <c r="AJ1486" s="19">
        <f t="shared" si="441"/>
        <v>3741266.5648721238</v>
      </c>
      <c r="AK1486" s="20">
        <f t="shared" si="448"/>
        <v>0.12819972531798121</v>
      </c>
      <c r="AL1486" s="17"/>
      <c r="AM1486" s="17"/>
      <c r="AN1486" s="17"/>
      <c r="AO1486" s="17"/>
      <c r="AP1486" s="28" t="str">
        <f t="shared" si="449"/>
        <v>20206</v>
      </c>
      <c r="AQ1486" s="28" t="str">
        <f t="shared" si="450"/>
        <v>20206RMB</v>
      </c>
      <c r="AR1486" s="206" t="str">
        <f t="shared" si="451"/>
        <v>SOLDERSTAR</v>
      </c>
      <c r="AS1486" s="22">
        <f t="shared" si="452"/>
        <v>4</v>
      </c>
      <c r="AT1486" s="24" t="str">
        <f t="shared" si="453"/>
        <v>4-6 months</v>
      </c>
      <c r="AU1486" s="22" t="s">
        <v>3240</v>
      </c>
    </row>
    <row r="1487" spans="1:47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445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54"/>
        <v>601936</v>
      </c>
      <c r="AA1487" s="13">
        <v>1.135</v>
      </c>
      <c r="AB1487" s="21">
        <f t="shared" si="439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0"/>
        <v>28177779.013274338</v>
      </c>
      <c r="AJ1487" s="19">
        <f t="shared" si="441"/>
        <v>4727216.6376190251</v>
      </c>
      <c r="AK1487" s="20">
        <f t="shared" si="448"/>
        <v>0.1677639900359808</v>
      </c>
      <c r="AL1487" s="17"/>
      <c r="AM1487" s="17"/>
      <c r="AN1487" s="17"/>
      <c r="AO1487" s="17"/>
      <c r="AP1487" s="28" t="str">
        <f t="shared" si="449"/>
        <v>20235</v>
      </c>
      <c r="AQ1487" s="28" t="str">
        <f t="shared" si="450"/>
        <v>20235RMB</v>
      </c>
      <c r="AR1487" s="206" t="str">
        <f t="shared" si="451"/>
        <v>YAMAHA_Mounter</v>
      </c>
      <c r="AS1487" s="22">
        <f t="shared" si="452"/>
        <v>1</v>
      </c>
      <c r="AT1487" s="24" t="str">
        <f t="shared" si="453"/>
        <v>0-3 months</v>
      </c>
      <c r="AU1487" s="22" t="s">
        <v>3240</v>
      </c>
    </row>
    <row r="1488" spans="1:47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445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54"/>
        <v>300000</v>
      </c>
      <c r="AA1488" s="13">
        <v>1.135</v>
      </c>
      <c r="AB1488" s="21">
        <f t="shared" si="439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0"/>
        <v>28177779.013274338</v>
      </c>
      <c r="AJ1488" s="19">
        <f t="shared" si="441"/>
        <v>4727216.6376190251</v>
      </c>
      <c r="AK1488" s="20">
        <f t="shared" si="448"/>
        <v>0.1677639900359808</v>
      </c>
      <c r="AL1488" s="17"/>
      <c r="AM1488" s="17"/>
      <c r="AN1488" s="17"/>
      <c r="AO1488" s="17"/>
      <c r="AP1488" s="28" t="str">
        <f t="shared" si="449"/>
        <v>20235</v>
      </c>
      <c r="AQ1488" s="28" t="str">
        <f t="shared" si="450"/>
        <v>20235RMB</v>
      </c>
      <c r="AR1488" s="206" t="str">
        <f t="shared" si="451"/>
        <v>LOCAL SUPPLIER</v>
      </c>
      <c r="AS1488" s="22">
        <f t="shared" si="452"/>
        <v>1</v>
      </c>
      <c r="AT1488" s="24" t="str">
        <f t="shared" si="453"/>
        <v>0-3 months</v>
      </c>
      <c r="AU1488" s="22" t="s">
        <v>3240</v>
      </c>
    </row>
    <row r="1489" spans="1:47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54"/>
        <v>4500</v>
      </c>
      <c r="AA1489" s="13">
        <v>1.105</v>
      </c>
      <c r="AB1489" s="21">
        <f t="shared" si="439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0"/>
        <v>28177779.013274338</v>
      </c>
      <c r="AJ1489" s="19">
        <f t="shared" si="441"/>
        <v>4727216.6376190251</v>
      </c>
      <c r="AK1489" s="20">
        <f t="shared" si="448"/>
        <v>0.1677639900359808</v>
      </c>
      <c r="AL1489" s="17"/>
      <c r="AM1489" s="17"/>
      <c r="AN1489" s="17"/>
      <c r="AO1489" s="17"/>
      <c r="AP1489" s="28" t="str">
        <f t="shared" si="449"/>
        <v>20235</v>
      </c>
      <c r="AQ1489" s="28" t="str">
        <f t="shared" si="450"/>
        <v>20235RMB</v>
      </c>
      <c r="AR1489" s="206" t="str">
        <f t="shared" si="451"/>
        <v>LOCAL SUPPLIER</v>
      </c>
      <c r="AS1489" s="22">
        <f t="shared" si="452"/>
        <v>1</v>
      </c>
      <c r="AT1489" s="24" t="str">
        <f t="shared" si="453"/>
        <v>0-3 months</v>
      </c>
      <c r="AU1489" s="22" t="s">
        <v>3240</v>
      </c>
    </row>
    <row r="1490" spans="1:47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445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54"/>
        <v>506850</v>
      </c>
      <c r="AA1490" s="13">
        <v>1.105</v>
      </c>
      <c r="AB1490" s="21">
        <f t="shared" si="439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0"/>
        <v>37969334.083628319</v>
      </c>
      <c r="AJ1490" s="19">
        <f t="shared" si="441"/>
        <v>5097226.4551657084</v>
      </c>
      <c r="AK1490" s="20">
        <f t="shared" si="448"/>
        <v>0.13424587441904964</v>
      </c>
      <c r="AL1490" s="17"/>
      <c r="AM1490" s="17"/>
      <c r="AN1490" s="17"/>
      <c r="AO1490" s="17"/>
      <c r="AP1490" s="28" t="str">
        <f t="shared" si="449"/>
        <v>20208</v>
      </c>
      <c r="AQ1490" s="28" t="str">
        <f t="shared" si="450"/>
        <v>20208RMB</v>
      </c>
      <c r="AR1490" s="206" t="str">
        <f t="shared" si="451"/>
        <v>YAMAHA_Mounter</v>
      </c>
      <c r="AS1490" s="22">
        <f t="shared" si="452"/>
        <v>2</v>
      </c>
      <c r="AT1490" s="24" t="str">
        <f t="shared" si="453"/>
        <v>0-3 months</v>
      </c>
      <c r="AU1490" s="22" t="s">
        <v>3240</v>
      </c>
    </row>
    <row r="1491" spans="1:47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445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54"/>
        <v>800000</v>
      </c>
      <c r="AA1491" s="13">
        <v>1.17</v>
      </c>
      <c r="AB1491" s="21">
        <f t="shared" si="439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0"/>
        <v>36480247.665929198</v>
      </c>
      <c r="AJ1491" s="19">
        <f t="shared" si="441"/>
        <v>5330996.6372757526</v>
      </c>
      <c r="AK1491" s="20">
        <f t="shared" si="448"/>
        <v>0.14613378412599562</v>
      </c>
      <c r="AL1491" s="17"/>
      <c r="AM1491" s="17"/>
      <c r="AN1491" s="17"/>
      <c r="AO1491" s="17"/>
      <c r="AP1491" s="28" t="str">
        <f t="shared" si="449"/>
        <v>20227</v>
      </c>
      <c r="AQ1491" s="28" t="str">
        <f t="shared" si="450"/>
        <v>20227RMB</v>
      </c>
      <c r="AR1491" s="206" t="str">
        <f t="shared" si="451"/>
        <v>YAMAHA_Mounter</v>
      </c>
      <c r="AS1491" s="22">
        <f t="shared" si="452"/>
        <v>4</v>
      </c>
      <c r="AT1491" s="24" t="str">
        <f t="shared" si="453"/>
        <v>4-6 months</v>
      </c>
      <c r="AU1491" s="22" t="s">
        <v>3240</v>
      </c>
    </row>
    <row r="1492" spans="1:47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445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54"/>
        <v>894000</v>
      </c>
      <c r="AA1492" s="13">
        <v>1.17</v>
      </c>
      <c r="AB1492" s="21">
        <f t="shared" si="439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0"/>
        <v>36480247.665929198</v>
      </c>
      <c r="AJ1492" s="19">
        <f t="shared" si="441"/>
        <v>5330996.6372757526</v>
      </c>
      <c r="AK1492" s="20">
        <f t="shared" si="448"/>
        <v>0.14613378412599562</v>
      </c>
      <c r="AL1492" s="17"/>
      <c r="AM1492" s="17"/>
      <c r="AN1492" s="17"/>
      <c r="AO1492" s="17"/>
      <c r="AP1492" s="28" t="str">
        <f t="shared" si="449"/>
        <v>20227</v>
      </c>
      <c r="AQ1492" s="28" t="str">
        <f t="shared" si="450"/>
        <v>20227RMB</v>
      </c>
      <c r="AR1492" s="206" t="str">
        <f t="shared" si="451"/>
        <v>YAMAHA_Mounter</v>
      </c>
      <c r="AS1492" s="22">
        <f t="shared" si="452"/>
        <v>4</v>
      </c>
      <c r="AT1492" s="24" t="str">
        <f t="shared" si="453"/>
        <v>4-6 months</v>
      </c>
      <c r="AU1492" s="22" t="s">
        <v>3240</v>
      </c>
    </row>
    <row r="1493" spans="1:47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445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54"/>
        <v>365000</v>
      </c>
      <c r="AA1493" s="22">
        <v>1.0900000000000001</v>
      </c>
      <c r="AB1493" s="21">
        <f t="shared" si="439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0"/>
        <v>21241742.157380536</v>
      </c>
      <c r="AJ1493" s="27">
        <f t="shared" si="441"/>
        <v>2987081.1613773629</v>
      </c>
      <c r="AK1493" s="28">
        <f t="shared" si="448"/>
        <v>0.14062317201884914</v>
      </c>
      <c r="AL1493" s="24"/>
      <c r="AM1493" s="24"/>
      <c r="AN1493" s="24"/>
      <c r="AO1493" s="24"/>
      <c r="AP1493" s="28" t="str">
        <f t="shared" si="449"/>
        <v>20243</v>
      </c>
      <c r="AQ1493" s="28" t="str">
        <f t="shared" si="450"/>
        <v>20243RMB</v>
      </c>
      <c r="AR1493" s="206" t="str">
        <f t="shared" si="451"/>
        <v>YAMAHA_Non_Mounter</v>
      </c>
      <c r="AS1493" s="22">
        <f t="shared" si="452"/>
        <v>1</v>
      </c>
      <c r="AT1493" s="24" t="str">
        <f t="shared" si="453"/>
        <v>0-3 months</v>
      </c>
      <c r="AU1493" s="22" t="s">
        <v>3240</v>
      </c>
    </row>
    <row r="1494" spans="1:47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445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54"/>
        <v>505000</v>
      </c>
      <c r="AA1494" s="13">
        <v>1.2</v>
      </c>
      <c r="AB1494" s="21">
        <f t="shared" si="439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0"/>
        <v>31097187.02948761</v>
      </c>
      <c r="AJ1494" s="19">
        <f t="shared" si="441"/>
        <v>3892353.6644401965</v>
      </c>
      <c r="AK1494" s="20">
        <f t="shared" si="448"/>
        <v>0.12516738767237401</v>
      </c>
      <c r="AL1494" s="17"/>
      <c r="AM1494" s="17"/>
      <c r="AN1494" s="17"/>
      <c r="AO1494" s="17"/>
      <c r="AP1494" s="28" t="str">
        <f t="shared" si="449"/>
        <v>20212</v>
      </c>
      <c r="AQ1494" s="28" t="str">
        <f t="shared" si="450"/>
        <v>20212RMB</v>
      </c>
      <c r="AR1494" s="206" t="str">
        <f t="shared" si="451"/>
        <v>YAMAHA_Mounter</v>
      </c>
      <c r="AS1494" s="22">
        <f t="shared" si="452"/>
        <v>0</v>
      </c>
      <c r="AT1494" s="24" t="str">
        <f t="shared" si="453"/>
        <v>0-3 months</v>
      </c>
      <c r="AU1494" s="22" t="s">
        <v>3240</v>
      </c>
    </row>
    <row r="1495" spans="1:47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445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54"/>
        <v>647000</v>
      </c>
      <c r="AA1495" s="13">
        <v>1.095</v>
      </c>
      <c r="AB1495" s="21">
        <f t="shared" si="439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0"/>
        <v>37599388.802345134</v>
      </c>
      <c r="AJ1495" s="19">
        <f t="shared" si="441"/>
        <v>4866784.3630338367</v>
      </c>
      <c r="AK1495" s="20">
        <f t="shared" si="448"/>
        <v>0.12943785838163113</v>
      </c>
      <c r="AL1495" s="17"/>
      <c r="AM1495" s="17"/>
      <c r="AN1495" s="17"/>
      <c r="AO1495" s="17"/>
      <c r="AP1495" s="28" t="str">
        <f t="shared" si="449"/>
        <v>20199</v>
      </c>
      <c r="AQ1495" s="28" t="str">
        <f t="shared" si="450"/>
        <v>20199RMB</v>
      </c>
      <c r="AR1495" s="206" t="str">
        <f t="shared" si="451"/>
        <v>YAMAHA_Mounter</v>
      </c>
      <c r="AS1495" s="22">
        <f t="shared" si="452"/>
        <v>1</v>
      </c>
      <c r="AT1495" s="24" t="str">
        <f t="shared" si="453"/>
        <v>0-3 months</v>
      </c>
      <c r="AU1495" s="22" t="s">
        <v>3240</v>
      </c>
    </row>
    <row r="1496" spans="1:47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445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54"/>
        <v>611500</v>
      </c>
      <c r="AA1496" s="13">
        <v>1.1299999999999999</v>
      </c>
      <c r="AB1496" s="21">
        <f t="shared" si="439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0"/>
        <v>47907808.356810622</v>
      </c>
      <c r="AJ1496" s="19">
        <f t="shared" si="441"/>
        <v>6027384.8806384448</v>
      </c>
      <c r="AK1496" s="20">
        <f t="shared" si="448"/>
        <v>0.12581216063459488</v>
      </c>
      <c r="AL1496" s="17"/>
      <c r="AM1496" s="17"/>
      <c r="AN1496" s="17"/>
      <c r="AO1496" s="17"/>
      <c r="AP1496" s="28" t="str">
        <f t="shared" si="449"/>
        <v>20209</v>
      </c>
      <c r="AQ1496" s="28" t="str">
        <f t="shared" si="450"/>
        <v>20209RMB</v>
      </c>
      <c r="AR1496" s="206" t="str">
        <f t="shared" si="451"/>
        <v>YAMAHA_Mounter</v>
      </c>
      <c r="AS1496" s="22">
        <f t="shared" si="452"/>
        <v>1</v>
      </c>
      <c r="AT1496" s="24" t="str">
        <f t="shared" si="453"/>
        <v>0-3 months</v>
      </c>
      <c r="AU1496" s="22" t="s">
        <v>3743</v>
      </c>
    </row>
    <row r="1497" spans="1:47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445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54"/>
        <v>611500</v>
      </c>
      <c r="AA1497" s="13">
        <v>1.1299999999999999</v>
      </c>
      <c r="AB1497" s="21">
        <f t="shared" si="439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0"/>
        <v>47907808.356810622</v>
      </c>
      <c r="AJ1497" s="19">
        <f t="shared" si="441"/>
        <v>6027384.8806384448</v>
      </c>
      <c r="AK1497" s="20">
        <f t="shared" si="448"/>
        <v>0.12581216063459488</v>
      </c>
      <c r="AL1497" s="17"/>
      <c r="AM1497" s="17"/>
      <c r="AN1497" s="17"/>
      <c r="AO1497" s="17"/>
      <c r="AP1497" s="28" t="str">
        <f t="shared" si="449"/>
        <v>20209</v>
      </c>
      <c r="AQ1497" s="28" t="str">
        <f t="shared" si="450"/>
        <v>20209RMB</v>
      </c>
      <c r="AR1497" s="206" t="str">
        <f t="shared" si="451"/>
        <v>YAMAHA_Mounter</v>
      </c>
      <c r="AS1497" s="22">
        <f t="shared" si="452"/>
        <v>1</v>
      </c>
      <c r="AT1497" s="24" t="str">
        <f t="shared" si="453"/>
        <v>0-3 months</v>
      </c>
      <c r="AU1497" s="22" t="s">
        <v>3743</v>
      </c>
    </row>
    <row r="1498" spans="1:47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445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55">IF(W1498="RMB","1.13", "1")</f>
        <v>1.13</v>
      </c>
      <c r="Z1498" s="18">
        <f t="shared" si="454"/>
        <v>1120000</v>
      </c>
      <c r="AA1498" s="13">
        <v>1.135</v>
      </c>
      <c r="AB1498" s="21">
        <f t="shared" si="439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0"/>
        <v>28011162.254106201</v>
      </c>
      <c r="AJ1498" s="19">
        <f t="shared" si="441"/>
        <v>3401347.1124888416</v>
      </c>
      <c r="AK1498" s="20">
        <f t="shared" si="448"/>
        <v>0.12142827497242578</v>
      </c>
      <c r="AL1498" s="17"/>
      <c r="AM1498" s="17"/>
      <c r="AN1498" s="17"/>
      <c r="AO1498" s="17"/>
      <c r="AP1498" s="28" t="str">
        <f t="shared" si="449"/>
        <v>202010</v>
      </c>
      <c r="AQ1498" s="28" t="str">
        <f t="shared" si="450"/>
        <v>202010RMB</v>
      </c>
      <c r="AR1498" s="206" t="str">
        <f t="shared" si="451"/>
        <v>YAMAHA_Mounter</v>
      </c>
      <c r="AS1498" s="22">
        <f t="shared" si="452"/>
        <v>1</v>
      </c>
      <c r="AT1498" s="24" t="str">
        <f t="shared" si="453"/>
        <v>0-3 months</v>
      </c>
      <c r="AU1498" s="22" t="s">
        <v>3240</v>
      </c>
    </row>
    <row r="1499" spans="1:47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445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55"/>
        <v>1</v>
      </c>
      <c r="Z1499" s="18">
        <f t="shared" si="454"/>
        <v>13700000</v>
      </c>
      <c r="AA1499" s="13">
        <v>7.2800000000000004E-2</v>
      </c>
      <c r="AB1499" s="21">
        <f t="shared" si="439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0"/>
        <v>63006605.696460173</v>
      </c>
      <c r="AJ1499" s="19">
        <f t="shared" si="441"/>
        <v>8897485.660753984</v>
      </c>
      <c r="AK1499" s="20">
        <f t="shared" si="448"/>
        <v>0.141215124388995</v>
      </c>
      <c r="AL1499" s="17"/>
      <c r="AM1499" s="17"/>
      <c r="AN1499" s="17"/>
      <c r="AO1499" s="17"/>
      <c r="AP1499" s="28" t="str">
        <f t="shared" si="449"/>
        <v>20215</v>
      </c>
      <c r="AQ1499" s="28" t="str">
        <f t="shared" si="450"/>
        <v>20215JPY</v>
      </c>
      <c r="AR1499" s="206" t="str">
        <f t="shared" si="451"/>
        <v>YAMAHA_Mounter</v>
      </c>
      <c r="AS1499" s="22">
        <f t="shared" si="452"/>
        <v>3</v>
      </c>
      <c r="AT1499" s="24" t="str">
        <f t="shared" si="453"/>
        <v>0-3 months</v>
      </c>
      <c r="AU1499" s="22" t="s">
        <v>3744</v>
      </c>
    </row>
    <row r="1500" spans="1:47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445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55"/>
        <v>1.13</v>
      </c>
      <c r="Z1500" s="18">
        <f t="shared" si="454"/>
        <v>450000</v>
      </c>
      <c r="AA1500" s="13">
        <v>1.175</v>
      </c>
      <c r="AB1500" s="21">
        <f t="shared" si="439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0"/>
        <v>35682787.057522126</v>
      </c>
      <c r="AJ1500" s="19">
        <f t="shared" si="441"/>
        <v>5833368.3789623892</v>
      </c>
      <c r="AK1500" s="20">
        <f t="shared" si="448"/>
        <v>0.16347849649632912</v>
      </c>
      <c r="AL1500" s="17"/>
      <c r="AM1500" s="17"/>
      <c r="AN1500" s="17"/>
      <c r="AO1500" s="17"/>
      <c r="AP1500" s="28" t="str">
        <f t="shared" si="449"/>
        <v>20226</v>
      </c>
      <c r="AQ1500" s="28" t="str">
        <f t="shared" si="450"/>
        <v>20226RMB</v>
      </c>
      <c r="AR1500" s="206" t="str">
        <f t="shared" si="451"/>
        <v>YAMAHA_Mounter</v>
      </c>
      <c r="AS1500" s="22">
        <f t="shared" si="452"/>
        <v>0</v>
      </c>
      <c r="AT1500" s="24" t="str">
        <f t="shared" si="453"/>
        <v>0-3 months</v>
      </c>
      <c r="AU1500" s="22" t="s">
        <v>3750</v>
      </c>
    </row>
    <row r="1501" spans="1:47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445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55"/>
        <v>1.13</v>
      </c>
      <c r="Z1501" s="18">
        <f t="shared" si="454"/>
        <v>450000</v>
      </c>
      <c r="AA1501" s="13">
        <v>1.175</v>
      </c>
      <c r="AB1501" s="21">
        <f t="shared" si="439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0"/>
        <v>35682787.057522126</v>
      </c>
      <c r="AJ1501" s="19">
        <f t="shared" si="441"/>
        <v>5833368.3789623892</v>
      </c>
      <c r="AK1501" s="20">
        <f t="shared" si="448"/>
        <v>0.16347849649632912</v>
      </c>
      <c r="AL1501" s="17"/>
      <c r="AM1501" s="17"/>
      <c r="AN1501" s="17"/>
      <c r="AO1501" s="17"/>
      <c r="AP1501" s="28" t="str">
        <f t="shared" si="449"/>
        <v>20226</v>
      </c>
      <c r="AQ1501" s="28" t="str">
        <f t="shared" si="450"/>
        <v>20226RMB</v>
      </c>
      <c r="AR1501" s="206" t="str">
        <f t="shared" si="451"/>
        <v>YAMAHA_Mounter</v>
      </c>
      <c r="AS1501" s="22">
        <f t="shared" si="452"/>
        <v>0</v>
      </c>
      <c r="AT1501" s="24" t="str">
        <f t="shared" si="453"/>
        <v>0-3 months</v>
      </c>
      <c r="AU1501" s="22" t="s">
        <v>3750</v>
      </c>
    </row>
    <row r="1502" spans="1:47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445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55"/>
        <v>1</v>
      </c>
      <c r="Z1502" s="18">
        <f t="shared" si="454"/>
        <v>11530000</v>
      </c>
      <c r="AA1502" s="13">
        <v>7.4499999999999997E-2</v>
      </c>
      <c r="AB1502" s="21">
        <f t="shared" si="439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0"/>
        <v>57778307.282035396</v>
      </c>
      <c r="AJ1502" s="19">
        <f t="shared" si="441"/>
        <v>7259860.7225420559</v>
      </c>
      <c r="AK1502" s="20">
        <f t="shared" si="448"/>
        <v>0.12565028406083667</v>
      </c>
      <c r="AL1502" s="17"/>
      <c r="AM1502" s="17"/>
      <c r="AN1502" s="17"/>
      <c r="AO1502" s="17"/>
      <c r="AP1502" s="28" t="str">
        <f t="shared" si="449"/>
        <v>20213</v>
      </c>
      <c r="AQ1502" s="28" t="str">
        <f t="shared" si="450"/>
        <v>20213JPY</v>
      </c>
      <c r="AR1502" s="206" t="str">
        <f t="shared" si="451"/>
        <v>YAMAHA_Mounter</v>
      </c>
      <c r="AS1502" s="22">
        <f t="shared" si="452"/>
        <v>0</v>
      </c>
      <c r="AT1502" s="24" t="str">
        <f t="shared" si="453"/>
        <v>0-3 months</v>
      </c>
      <c r="AU1502" s="22" t="s">
        <v>3745</v>
      </c>
    </row>
    <row r="1503" spans="1:47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445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55"/>
        <v>1</v>
      </c>
      <c r="Z1503" s="18">
        <f t="shared" si="454"/>
        <v>11530000</v>
      </c>
      <c r="AA1503" s="13">
        <v>7.4499999999999997E-2</v>
      </c>
      <c r="AB1503" s="21">
        <f t="shared" si="439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0"/>
        <v>57778307.282035396</v>
      </c>
      <c r="AJ1503" s="19">
        <f t="shared" si="441"/>
        <v>7259860.7225420559</v>
      </c>
      <c r="AK1503" s="20">
        <f t="shared" si="448"/>
        <v>0.12565028406083667</v>
      </c>
      <c r="AL1503" s="17"/>
      <c r="AM1503" s="17"/>
      <c r="AN1503" s="17"/>
      <c r="AO1503" s="17"/>
      <c r="AP1503" s="28" t="str">
        <f t="shared" si="449"/>
        <v>20213</v>
      </c>
      <c r="AQ1503" s="28" t="str">
        <f t="shared" si="450"/>
        <v>20213JPY</v>
      </c>
      <c r="AR1503" s="206" t="str">
        <f t="shared" si="451"/>
        <v>YAMAHA_Mounter</v>
      </c>
      <c r="AS1503" s="22">
        <f t="shared" si="452"/>
        <v>0</v>
      </c>
      <c r="AT1503" s="24" t="str">
        <f t="shared" si="453"/>
        <v>0-3 months</v>
      </c>
      <c r="AU1503" s="22" t="s">
        <v>3745</v>
      </c>
    </row>
    <row r="1504" spans="1:47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445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55"/>
        <v>1</v>
      </c>
      <c r="Z1504" s="18">
        <f t="shared" si="454"/>
        <v>7500000</v>
      </c>
      <c r="AA1504" s="13">
        <v>7.4499999999999997E-2</v>
      </c>
      <c r="AB1504" s="21">
        <f t="shared" si="439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0"/>
        <v>57778307.282035396</v>
      </c>
      <c r="AJ1504" s="19">
        <f t="shared" si="441"/>
        <v>7259860.7225420559</v>
      </c>
      <c r="AK1504" s="20">
        <f t="shared" si="448"/>
        <v>0.12565028406083667</v>
      </c>
      <c r="AL1504" s="17"/>
      <c r="AM1504" s="17"/>
      <c r="AN1504" s="17"/>
      <c r="AO1504" s="17"/>
      <c r="AP1504" s="28" t="str">
        <f t="shared" si="449"/>
        <v>20213</v>
      </c>
      <c r="AQ1504" s="28" t="str">
        <f t="shared" si="450"/>
        <v>20213JPY</v>
      </c>
      <c r="AR1504" s="206" t="str">
        <f t="shared" si="451"/>
        <v>YAMAHA_Mounter</v>
      </c>
      <c r="AS1504" s="22">
        <f t="shared" si="452"/>
        <v>0</v>
      </c>
      <c r="AT1504" s="24" t="str">
        <f t="shared" si="453"/>
        <v>0-3 months</v>
      </c>
      <c r="AU1504" s="22" t="s">
        <v>3745</v>
      </c>
    </row>
    <row r="1505" spans="1:47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445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55"/>
        <v>1</v>
      </c>
      <c r="Z1505" s="18">
        <f t="shared" si="454"/>
        <v>7500000</v>
      </c>
      <c r="AA1505" s="13">
        <v>7.4499999999999997E-2</v>
      </c>
      <c r="AB1505" s="21">
        <f t="shared" si="439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0"/>
        <v>57778307.282035396</v>
      </c>
      <c r="AJ1505" s="19">
        <f t="shared" si="441"/>
        <v>7259860.7225420559</v>
      </c>
      <c r="AK1505" s="20">
        <f t="shared" si="448"/>
        <v>0.12565028406083667</v>
      </c>
      <c r="AL1505" s="17"/>
      <c r="AM1505" s="17"/>
      <c r="AN1505" s="17"/>
      <c r="AO1505" s="17"/>
      <c r="AP1505" s="28" t="str">
        <f t="shared" si="449"/>
        <v>20213</v>
      </c>
      <c r="AQ1505" s="28" t="str">
        <f t="shared" si="450"/>
        <v>20213JPY</v>
      </c>
      <c r="AR1505" s="206" t="str">
        <f t="shared" si="451"/>
        <v>YAMAHA_Mounter</v>
      </c>
      <c r="AS1505" s="22">
        <f t="shared" si="452"/>
        <v>0</v>
      </c>
      <c r="AT1505" s="24" t="str">
        <f t="shared" si="453"/>
        <v>0-3 months</v>
      </c>
      <c r="AU1505" s="22" t="s">
        <v>3745</v>
      </c>
    </row>
    <row r="1506" spans="1:47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445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55"/>
        <v>1</v>
      </c>
      <c r="Z1506" s="18">
        <f t="shared" si="454"/>
        <v>11530000</v>
      </c>
      <c r="AA1506" s="13">
        <v>7.4499999999999997E-2</v>
      </c>
      <c r="AB1506" s="21">
        <f t="shared" si="439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0"/>
        <v>57778307.282035396</v>
      </c>
      <c r="AJ1506" s="19">
        <f t="shared" si="441"/>
        <v>7259860.7225420559</v>
      </c>
      <c r="AK1506" s="20">
        <f t="shared" si="448"/>
        <v>0.12565028406083667</v>
      </c>
      <c r="AL1506" s="17"/>
      <c r="AM1506" s="17"/>
      <c r="AN1506" s="17"/>
      <c r="AO1506" s="17"/>
      <c r="AP1506" s="28" t="str">
        <f t="shared" si="449"/>
        <v>20213</v>
      </c>
      <c r="AQ1506" s="28" t="str">
        <f t="shared" si="450"/>
        <v>20213JPY</v>
      </c>
      <c r="AR1506" s="206" t="str">
        <f t="shared" si="451"/>
        <v>YAMAHA_Mounter</v>
      </c>
      <c r="AS1506" s="22">
        <f t="shared" si="452"/>
        <v>0</v>
      </c>
      <c r="AT1506" s="24" t="str">
        <f t="shared" si="453"/>
        <v>0-3 months</v>
      </c>
      <c r="AU1506" s="22" t="s">
        <v>3745</v>
      </c>
    </row>
    <row r="1507" spans="1:47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445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55"/>
        <v>1</v>
      </c>
      <c r="Z1507" s="18">
        <f t="shared" si="454"/>
        <v>11530000</v>
      </c>
      <c r="AA1507" s="13">
        <v>7.4499999999999997E-2</v>
      </c>
      <c r="AB1507" s="21">
        <f t="shared" si="439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0"/>
        <v>57778307.282035396</v>
      </c>
      <c r="AJ1507" s="19">
        <f t="shared" si="441"/>
        <v>7259860.7225420559</v>
      </c>
      <c r="AK1507" s="20">
        <f t="shared" si="448"/>
        <v>0.12565028406083667</v>
      </c>
      <c r="AL1507" s="17"/>
      <c r="AM1507" s="17"/>
      <c r="AN1507" s="17"/>
      <c r="AO1507" s="17"/>
      <c r="AP1507" s="28" t="str">
        <f t="shared" si="449"/>
        <v>20213</v>
      </c>
      <c r="AQ1507" s="28" t="str">
        <f t="shared" si="450"/>
        <v>20213JPY</v>
      </c>
      <c r="AR1507" s="206" t="str">
        <f t="shared" si="451"/>
        <v>YAMAHA_Mounter</v>
      </c>
      <c r="AS1507" s="22">
        <f t="shared" si="452"/>
        <v>0</v>
      </c>
      <c r="AT1507" s="24" t="str">
        <f t="shared" si="453"/>
        <v>0-3 months</v>
      </c>
      <c r="AU1507" s="22" t="s">
        <v>3745</v>
      </c>
    </row>
    <row r="1508" spans="1:47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445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55"/>
        <v>1</v>
      </c>
      <c r="Z1508" s="18">
        <f t="shared" si="454"/>
        <v>7500000</v>
      </c>
      <c r="AA1508" s="13">
        <v>7.4499999999999997E-2</v>
      </c>
      <c r="AB1508" s="21">
        <f t="shared" si="439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0"/>
        <v>57778307.282035396</v>
      </c>
      <c r="AJ1508" s="19">
        <f t="shared" si="441"/>
        <v>7259860.7225420559</v>
      </c>
      <c r="AK1508" s="20">
        <f t="shared" si="448"/>
        <v>0.12565028406083667</v>
      </c>
      <c r="AL1508" s="17"/>
      <c r="AM1508" s="17"/>
      <c r="AN1508" s="17"/>
      <c r="AO1508" s="17"/>
      <c r="AP1508" s="28" t="str">
        <f t="shared" si="449"/>
        <v>20213</v>
      </c>
      <c r="AQ1508" s="28" t="str">
        <f t="shared" si="450"/>
        <v>20213JPY</v>
      </c>
      <c r="AR1508" s="206" t="str">
        <f t="shared" si="451"/>
        <v>YAMAHA_Mounter</v>
      </c>
      <c r="AS1508" s="22">
        <f t="shared" si="452"/>
        <v>0</v>
      </c>
      <c r="AT1508" s="24" t="str">
        <f t="shared" si="453"/>
        <v>0-3 months</v>
      </c>
      <c r="AU1508" s="22" t="s">
        <v>3745</v>
      </c>
    </row>
    <row r="1509" spans="1:47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445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55"/>
        <v>1</v>
      </c>
      <c r="Z1509" s="18">
        <f t="shared" si="454"/>
        <v>7500000</v>
      </c>
      <c r="AA1509" s="13">
        <v>7.4499999999999997E-2</v>
      </c>
      <c r="AB1509" s="21">
        <f t="shared" si="439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0"/>
        <v>57778307.282035396</v>
      </c>
      <c r="AJ1509" s="19">
        <f t="shared" si="441"/>
        <v>7259860.7225420559</v>
      </c>
      <c r="AK1509" s="20">
        <f t="shared" si="448"/>
        <v>0.12565028406083667</v>
      </c>
      <c r="AL1509" s="17"/>
      <c r="AM1509" s="17"/>
      <c r="AN1509" s="17"/>
      <c r="AO1509" s="17"/>
      <c r="AP1509" s="28" t="str">
        <f t="shared" si="449"/>
        <v>20213</v>
      </c>
      <c r="AQ1509" s="28" t="str">
        <f t="shared" si="450"/>
        <v>20213JPY</v>
      </c>
      <c r="AR1509" s="206" t="str">
        <f t="shared" si="451"/>
        <v>YAMAHA_Mounter</v>
      </c>
      <c r="AS1509" s="22">
        <f t="shared" si="452"/>
        <v>0</v>
      </c>
      <c r="AT1509" s="24" t="str">
        <f t="shared" si="453"/>
        <v>0-3 months</v>
      </c>
      <c r="AU1509" s="22" t="s">
        <v>3745</v>
      </c>
    </row>
    <row r="1510" spans="1:47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444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445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54"/>
        <v>8500000</v>
      </c>
      <c r="AA1510" s="13">
        <v>5.0999999999999997E-2</v>
      </c>
      <c r="AB1510" s="21">
        <f t="shared" si="439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0"/>
        <v>499582152.5142017</v>
      </c>
      <c r="AJ1510" s="27">
        <f t="shared" si="441"/>
        <v>59520528.679470733</v>
      </c>
      <c r="AK1510" s="28">
        <f t="shared" si="448"/>
        <v>0.11914062257814291</v>
      </c>
      <c r="AL1510" s="24"/>
      <c r="AM1510" s="24"/>
      <c r="AN1510" s="24"/>
      <c r="AO1510" s="24"/>
      <c r="AP1510" s="28" t="str">
        <f t="shared" si="449"/>
        <v>CancelCancel</v>
      </c>
      <c r="AQ1510" s="28" t="str">
        <f t="shared" si="450"/>
        <v>CancelCancelJPY</v>
      </c>
      <c r="AR1510" s="206" t="str">
        <f t="shared" si="451"/>
        <v>YAMAHA_Non_Mounter</v>
      </c>
      <c r="AS1510" s="22" t="str">
        <f t="shared" si="452"/>
        <v/>
      </c>
      <c r="AT1510" s="24" t="str">
        <f t="shared" si="453"/>
        <v/>
      </c>
      <c r="AU1510" s="22" t="s">
        <v>3745</v>
      </c>
    </row>
    <row r="1511" spans="1:47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445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54"/>
        <v>897999.7</v>
      </c>
      <c r="AA1511" s="22">
        <v>1.08</v>
      </c>
      <c r="AB1511" s="197">
        <f t="shared" si="439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0"/>
        <v>27308925.887079656</v>
      </c>
      <c r="AJ1511" s="200">
        <f t="shared" si="441"/>
        <v>3319273.860338124</v>
      </c>
      <c r="AK1511" s="201">
        <f t="shared" si="448"/>
        <v>0.12154538314919709</v>
      </c>
      <c r="AL1511" s="24"/>
      <c r="AM1511" s="24"/>
      <c r="AN1511" s="24"/>
      <c r="AO1511" s="24"/>
      <c r="AP1511" s="105" t="str">
        <f t="shared" si="449"/>
        <v>20246</v>
      </c>
      <c r="AQ1511" s="28" t="str">
        <f t="shared" si="450"/>
        <v>20246RMB</v>
      </c>
      <c r="AR1511" s="206" t="str">
        <f t="shared" si="451"/>
        <v>YAMAHA_Mounter</v>
      </c>
      <c r="AS1511" s="22">
        <f t="shared" si="452"/>
        <v>1</v>
      </c>
      <c r="AT1511" s="24" t="str">
        <f t="shared" si="453"/>
        <v>0-3 months</v>
      </c>
      <c r="AU1511" s="22" t="s">
        <v>3750</v>
      </c>
    </row>
    <row r="1512" spans="1:47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445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54"/>
        <v>507000</v>
      </c>
      <c r="AA1512" s="13">
        <v>1.123</v>
      </c>
      <c r="AB1512" s="21">
        <f t="shared" si="439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0"/>
        <v>13250187.062905986</v>
      </c>
      <c r="AJ1512" s="19">
        <f t="shared" si="441"/>
        <v>1545643.7555487182</v>
      </c>
      <c r="AK1512" s="20">
        <f t="shared" si="448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49"/>
        <v>20183</v>
      </c>
      <c r="AQ1512" s="28" t="str">
        <f t="shared" si="450"/>
        <v>20183RMB</v>
      </c>
      <c r="AR1512" s="206" t="str">
        <f t="shared" si="451"/>
        <v>YAMAHA_Mounter</v>
      </c>
      <c r="AS1512" s="22">
        <f t="shared" si="452"/>
        <v>4</v>
      </c>
      <c r="AT1512" s="24" t="str">
        <f t="shared" si="453"/>
        <v>4-6 months</v>
      </c>
      <c r="AU1512" s="22" t="s">
        <v>3240</v>
      </c>
    </row>
    <row r="1513" spans="1:47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445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54"/>
        <v>70000</v>
      </c>
      <c r="AA1513" s="13">
        <v>1.0900000000000001</v>
      </c>
      <c r="AB1513" s="21">
        <f t="shared" si="439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0"/>
        <v>17329060.066371687</v>
      </c>
      <c r="AJ1513" s="19">
        <f t="shared" si="441"/>
        <v>2472600.2142256643</v>
      </c>
      <c r="AK1513" s="20">
        <f t="shared" si="448"/>
        <v>0.14268518919984163</v>
      </c>
      <c r="AL1513" s="17"/>
      <c r="AM1513" s="17"/>
      <c r="AN1513" s="17"/>
      <c r="AO1513" s="17"/>
      <c r="AP1513" s="28" t="str">
        <f t="shared" si="449"/>
        <v>202212</v>
      </c>
      <c r="AQ1513" s="28" t="str">
        <f t="shared" si="450"/>
        <v>202212RMB</v>
      </c>
      <c r="AR1513" s="206" t="str">
        <f t="shared" si="451"/>
        <v>SOLDERSTAR</v>
      </c>
      <c r="AS1513" s="22">
        <f t="shared" si="452"/>
        <v>1</v>
      </c>
      <c r="AT1513" s="24" t="str">
        <f t="shared" si="453"/>
        <v>0-3 months</v>
      </c>
      <c r="AU1513" s="22" t="s">
        <v>3240</v>
      </c>
    </row>
    <row r="1514" spans="1:47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445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54"/>
        <v>740000</v>
      </c>
      <c r="AA1514" s="13">
        <v>1.1599999999999999</v>
      </c>
      <c r="AB1514" s="21">
        <f t="shared" si="439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0"/>
        <v>47416008.333399981</v>
      </c>
      <c r="AJ1514" s="19">
        <f t="shared" si="441"/>
        <v>6981738.4465290187</v>
      </c>
      <c r="AK1514" s="20">
        <f t="shared" si="448"/>
        <v>0.14724433143839863</v>
      </c>
      <c r="AL1514" s="17"/>
      <c r="AM1514" s="17"/>
      <c r="AN1514" s="17"/>
      <c r="AO1514" s="17"/>
      <c r="AP1514" s="28" t="str">
        <f t="shared" si="449"/>
        <v>20193</v>
      </c>
      <c r="AQ1514" s="28" t="str">
        <f t="shared" si="450"/>
        <v>20193RMB</v>
      </c>
      <c r="AR1514" s="206" t="str">
        <f t="shared" si="451"/>
        <v>YAMAHA_Mounter</v>
      </c>
      <c r="AS1514" s="22">
        <f t="shared" si="452"/>
        <v>3</v>
      </c>
      <c r="AT1514" s="24" t="str">
        <f t="shared" si="453"/>
        <v>0-3 months</v>
      </c>
      <c r="AU1514" s="22" t="s">
        <v>3240</v>
      </c>
    </row>
    <row r="1515" spans="1:47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444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445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54"/>
        <v>440000</v>
      </c>
      <c r="AA1515" s="13">
        <v>1.23</v>
      </c>
      <c r="AB1515" s="21">
        <f t="shared" si="439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0"/>
        <v>499582152.5142017</v>
      </c>
      <c r="AJ1515" s="19">
        <f t="shared" si="441"/>
        <v>59520528.679470733</v>
      </c>
      <c r="AK1515" s="20">
        <f t="shared" si="448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49"/>
        <v>CancelCancel</v>
      </c>
      <c r="AQ1515" s="28" t="str">
        <f t="shared" si="450"/>
        <v>CancelCancelRMB</v>
      </c>
      <c r="AR1515" s="206" t="str">
        <f t="shared" si="451"/>
        <v>YAMAHA_Mounter</v>
      </c>
      <c r="AS1515" s="22" t="str">
        <f t="shared" si="452"/>
        <v/>
      </c>
      <c r="AT1515" s="24" t="str">
        <f t="shared" si="453"/>
        <v/>
      </c>
      <c r="AU1515" s="22" t="s">
        <v>3240</v>
      </c>
    </row>
    <row r="1516" spans="1:47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445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54"/>
        <v>696000</v>
      </c>
      <c r="AA1516" s="13">
        <v>1.125</v>
      </c>
      <c r="AB1516" s="21">
        <f t="shared" si="439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0"/>
        <v>10785027.603448275</v>
      </c>
      <c r="AJ1516" s="19">
        <f t="shared" si="441"/>
        <v>1540894.1297982759</v>
      </c>
      <c r="AK1516" s="20">
        <f t="shared" si="448"/>
        <v>0.1428734525728621</v>
      </c>
      <c r="AL1516" s="17"/>
      <c r="AM1516" s="17"/>
      <c r="AN1516" s="17"/>
      <c r="AO1516" s="17"/>
      <c r="AP1516" s="28" t="str">
        <f t="shared" si="449"/>
        <v>201811</v>
      </c>
      <c r="AQ1516" s="28" t="str">
        <f t="shared" si="450"/>
        <v>201811RMB</v>
      </c>
      <c r="AR1516" s="206" t="str">
        <f t="shared" si="451"/>
        <v>YAMAHA_Mounter</v>
      </c>
      <c r="AS1516" s="22">
        <f t="shared" si="452"/>
        <v>1</v>
      </c>
      <c r="AT1516" s="24" t="str">
        <f t="shared" si="453"/>
        <v>0-3 months</v>
      </c>
      <c r="AU1516" s="22" t="s">
        <v>3240</v>
      </c>
    </row>
    <row r="1517" spans="1:47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445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54"/>
        <v>570624</v>
      </c>
      <c r="AA1517" s="13">
        <v>1.125</v>
      </c>
      <c r="AB1517" s="21">
        <f t="shared" si="439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0"/>
        <v>23237072.69172414</v>
      </c>
      <c r="AJ1517" s="19">
        <f t="shared" si="441"/>
        <v>2402195.7372206897</v>
      </c>
      <c r="AK1517" s="20">
        <f t="shared" si="448"/>
        <v>0.10337772614862238</v>
      </c>
      <c r="AL1517" s="17"/>
      <c r="AM1517" s="17"/>
      <c r="AN1517" s="17"/>
      <c r="AO1517" s="17"/>
      <c r="AP1517" s="28" t="str">
        <f t="shared" si="449"/>
        <v>20191</v>
      </c>
      <c r="AQ1517" s="28" t="str">
        <f t="shared" si="450"/>
        <v>20191RMB</v>
      </c>
      <c r="AR1517" s="206" t="str">
        <f t="shared" si="451"/>
        <v>YAMAHA_Non_Mounter</v>
      </c>
      <c r="AS1517" s="22">
        <f t="shared" si="452"/>
        <v>2</v>
      </c>
      <c r="AT1517" s="24" t="str">
        <f t="shared" si="453"/>
        <v>0-3 months</v>
      </c>
      <c r="AU1517" s="22" t="s">
        <v>3240</v>
      </c>
    </row>
    <row r="1518" spans="1:47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445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54"/>
        <v>487000</v>
      </c>
      <c r="AA1518" s="13">
        <v>1.105</v>
      </c>
      <c r="AB1518" s="21">
        <f t="shared" si="439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0"/>
        <v>37969334.083628319</v>
      </c>
      <c r="AJ1518" s="19">
        <f t="shared" si="441"/>
        <v>5097226.4551657084</v>
      </c>
      <c r="AK1518" s="20">
        <f t="shared" si="448"/>
        <v>0.13424587441904964</v>
      </c>
      <c r="AL1518" s="17"/>
      <c r="AM1518" s="17"/>
      <c r="AN1518" s="17"/>
      <c r="AO1518" s="17"/>
      <c r="AP1518" s="28" t="str">
        <f t="shared" si="449"/>
        <v>20208</v>
      </c>
      <c r="AQ1518" s="28" t="str">
        <f t="shared" si="450"/>
        <v>20208RMB</v>
      </c>
      <c r="AR1518" s="206" t="str">
        <f t="shared" si="451"/>
        <v>YAMAHA_Mounter</v>
      </c>
      <c r="AS1518" s="22">
        <f t="shared" si="452"/>
        <v>0</v>
      </c>
      <c r="AT1518" s="24" t="str">
        <f t="shared" si="453"/>
        <v>0-3 months</v>
      </c>
      <c r="AU1518" s="22" t="s">
        <v>3240</v>
      </c>
    </row>
    <row r="1519" spans="1:47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445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54"/>
        <v>11380000</v>
      </c>
      <c r="AA1519" s="13">
        <v>7.2099999999999997E-2</v>
      </c>
      <c r="AB1519" s="21">
        <f t="shared" si="439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0"/>
        <v>26754147.763010349</v>
      </c>
      <c r="AJ1519" s="19">
        <f t="shared" si="441"/>
        <v>3429137.9965357962</v>
      </c>
      <c r="AK1519" s="20">
        <f t="shared" si="448"/>
        <v>0.12817220069617921</v>
      </c>
      <c r="AL1519" s="17"/>
      <c r="AM1519" s="17"/>
      <c r="AN1519" s="17"/>
      <c r="AO1519" s="17"/>
      <c r="AP1519" s="28" t="str">
        <f t="shared" si="449"/>
        <v>20188</v>
      </c>
      <c r="AQ1519" s="28" t="str">
        <f t="shared" si="450"/>
        <v>20188JPY</v>
      </c>
      <c r="AR1519" s="206" t="str">
        <f t="shared" si="451"/>
        <v>YAMAHA_Mounter</v>
      </c>
      <c r="AS1519" s="22" t="str">
        <f t="shared" si="452"/>
        <v/>
      </c>
      <c r="AT1519" s="24" t="str">
        <f t="shared" si="453"/>
        <v/>
      </c>
      <c r="AU1519" s="22" t="s">
        <v>3744</v>
      </c>
    </row>
    <row r="1520" spans="1:47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445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54"/>
        <v>12465000</v>
      </c>
      <c r="AA1520" s="13">
        <v>7.6100000000000001E-2</v>
      </c>
      <c r="AB1520" s="21">
        <f t="shared" si="439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0"/>
        <v>44078731.611185849</v>
      </c>
      <c r="AJ1520" s="19">
        <f t="shared" si="441"/>
        <v>5508173.2163771465</v>
      </c>
      <c r="AK1520" s="20">
        <f t="shared" si="448"/>
        <v>0.12496215328889679</v>
      </c>
      <c r="AL1520" s="17"/>
      <c r="AM1520" s="17"/>
      <c r="AN1520" s="17"/>
      <c r="AO1520" s="17"/>
      <c r="AP1520" s="28" t="str">
        <f t="shared" si="449"/>
        <v>202011</v>
      </c>
      <c r="AQ1520" s="28" t="str">
        <f t="shared" si="450"/>
        <v>202011JPY</v>
      </c>
      <c r="AR1520" s="206" t="str">
        <f t="shared" si="451"/>
        <v>YAMAHA_Mounter</v>
      </c>
      <c r="AS1520" s="22">
        <f t="shared" si="452"/>
        <v>4</v>
      </c>
      <c r="AT1520" s="24" t="str">
        <f t="shared" si="453"/>
        <v>4-6 months</v>
      </c>
      <c r="AU1520" s="22" t="s">
        <v>3744</v>
      </c>
    </row>
    <row r="1521" spans="1:47" s="12" customFormat="1">
      <c r="A1521" s="33" t="str">
        <f t="shared" si="442"/>
        <v>cancel</v>
      </c>
      <c r="B1521" s="152"/>
      <c r="C1521" s="152" t="s">
        <v>185</v>
      </c>
      <c r="D1521" s="33" t="str">
        <f t="shared" si="443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444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445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54"/>
        <v>12725000</v>
      </c>
      <c r="AA1521" s="13">
        <v>7.3400000000000007E-2</v>
      </c>
      <c r="AB1521" s="21">
        <f t="shared" si="439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0"/>
        <v>499582152.5142017</v>
      </c>
      <c r="AJ1521" s="19">
        <f t="shared" si="441"/>
        <v>59520528.679470733</v>
      </c>
      <c r="AK1521" s="20">
        <f t="shared" si="448"/>
        <v>0.11914062257814291</v>
      </c>
      <c r="AL1521" s="17"/>
      <c r="AM1521" s="17"/>
      <c r="AN1521" s="17"/>
      <c r="AO1521" s="17"/>
      <c r="AP1521" s="28" t="str">
        <f t="shared" si="449"/>
        <v>CancelCancel</v>
      </c>
      <c r="AQ1521" s="28" t="str">
        <f t="shared" si="450"/>
        <v>CancelCancelJPY</v>
      </c>
      <c r="AR1521" s="206" t="str">
        <f t="shared" si="451"/>
        <v>YAMAHA_Mounter</v>
      </c>
      <c r="AS1521" s="22" t="str">
        <f t="shared" si="452"/>
        <v/>
      </c>
      <c r="AT1521" s="24" t="str">
        <f t="shared" si="453"/>
        <v/>
      </c>
      <c r="AU1521" s="22" t="s">
        <v>3744</v>
      </c>
    </row>
    <row r="1522" spans="1:47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445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54"/>
        <v>600000</v>
      </c>
      <c r="AA1522" s="13">
        <v>1.089</v>
      </c>
      <c r="AB1522" s="21">
        <f t="shared" si="439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0"/>
        <v>29183109.05575221</v>
      </c>
      <c r="AJ1522" s="19">
        <f t="shared" si="441"/>
        <v>3741266.5648721238</v>
      </c>
      <c r="AK1522" s="20">
        <f t="shared" si="448"/>
        <v>0.12819972531798121</v>
      </c>
      <c r="AL1522" s="17"/>
      <c r="AM1522" s="17"/>
      <c r="AN1522" s="17"/>
      <c r="AO1522" s="17"/>
      <c r="AP1522" s="28" t="str">
        <f t="shared" si="449"/>
        <v>20206</v>
      </c>
      <c r="AQ1522" s="28" t="str">
        <f t="shared" si="450"/>
        <v>20206RMB</v>
      </c>
      <c r="AR1522" s="206" t="str">
        <f t="shared" si="451"/>
        <v>YAMAHA_Mounter</v>
      </c>
      <c r="AS1522" s="22">
        <f t="shared" si="452"/>
        <v>3</v>
      </c>
      <c r="AT1522" s="24" t="str">
        <f t="shared" si="453"/>
        <v>0-3 months</v>
      </c>
      <c r="AU1522" s="22" t="s">
        <v>3743</v>
      </c>
    </row>
    <row r="1523" spans="1:47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445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54"/>
        <v>900000</v>
      </c>
      <c r="AA1523" s="13">
        <v>1.089</v>
      </c>
      <c r="AB1523" s="21">
        <f t="shared" si="439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0"/>
        <v>29183109.05575221</v>
      </c>
      <c r="AJ1523" s="19">
        <f t="shared" si="441"/>
        <v>3741266.5648721238</v>
      </c>
      <c r="AK1523" s="20">
        <f t="shared" si="448"/>
        <v>0.12819972531798121</v>
      </c>
      <c r="AL1523" s="17"/>
      <c r="AM1523" s="17"/>
      <c r="AN1523" s="17"/>
      <c r="AO1523" s="17"/>
      <c r="AP1523" s="28" t="str">
        <f t="shared" si="449"/>
        <v>20206</v>
      </c>
      <c r="AQ1523" s="28" t="str">
        <f t="shared" si="450"/>
        <v>20206RMB</v>
      </c>
      <c r="AR1523" s="206" t="str">
        <f t="shared" si="451"/>
        <v>YAMAHA_Mounter</v>
      </c>
      <c r="AS1523" s="22">
        <f t="shared" si="452"/>
        <v>3</v>
      </c>
      <c r="AT1523" s="24" t="str">
        <f t="shared" si="453"/>
        <v>0-3 months</v>
      </c>
      <c r="AU1523" s="22" t="s">
        <v>3743</v>
      </c>
    </row>
    <row r="1524" spans="1:47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445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54"/>
        <v>10800000</v>
      </c>
      <c r="AA1524" s="13">
        <v>7.4899999999999994E-2</v>
      </c>
      <c r="AB1524" s="21">
        <f t="shared" si="439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0"/>
        <v>47907808.356810622</v>
      </c>
      <c r="AJ1524" s="19">
        <f t="shared" si="441"/>
        <v>6027384.8806384448</v>
      </c>
      <c r="AK1524" s="20">
        <f t="shared" si="448"/>
        <v>0.12581216063459488</v>
      </c>
      <c r="AL1524" s="17"/>
      <c r="AM1524" s="17"/>
      <c r="AN1524" s="17"/>
      <c r="AO1524" s="17"/>
      <c r="AP1524" s="28" t="str">
        <f t="shared" si="449"/>
        <v>20209</v>
      </c>
      <c r="AQ1524" s="28" t="str">
        <f t="shared" si="450"/>
        <v>20209JPY</v>
      </c>
      <c r="AR1524" s="206" t="str">
        <f t="shared" si="451"/>
        <v>YAMAHA_Mounter</v>
      </c>
      <c r="AS1524" s="22">
        <f t="shared" si="452"/>
        <v>2</v>
      </c>
      <c r="AT1524" s="24" t="str">
        <f t="shared" si="453"/>
        <v>0-3 months</v>
      </c>
      <c r="AU1524" s="22" t="s">
        <v>3240</v>
      </c>
    </row>
    <row r="1525" spans="1:47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445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54"/>
        <v>10800000</v>
      </c>
      <c r="AA1525" s="13">
        <v>7.4899999999999994E-2</v>
      </c>
      <c r="AB1525" s="21">
        <f t="shared" si="439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0"/>
        <v>47907808.356810622</v>
      </c>
      <c r="AJ1525" s="19">
        <f t="shared" si="441"/>
        <v>6027384.8806384448</v>
      </c>
      <c r="AK1525" s="20">
        <f t="shared" si="448"/>
        <v>0.12581216063459488</v>
      </c>
      <c r="AL1525" s="17"/>
      <c r="AM1525" s="17"/>
      <c r="AN1525" s="17"/>
      <c r="AO1525" s="17"/>
      <c r="AP1525" s="28" t="str">
        <f t="shared" si="449"/>
        <v>20209</v>
      </c>
      <c r="AQ1525" s="28" t="str">
        <f t="shared" si="450"/>
        <v>20209JPY</v>
      </c>
      <c r="AR1525" s="206" t="str">
        <f t="shared" si="451"/>
        <v>YAMAHA_Mounter</v>
      </c>
      <c r="AS1525" s="22">
        <f t="shared" si="452"/>
        <v>2</v>
      </c>
      <c r="AT1525" s="24" t="str">
        <f t="shared" si="453"/>
        <v>0-3 months</v>
      </c>
      <c r="AU1525" s="22" t="s">
        <v>3240</v>
      </c>
    </row>
    <row r="1526" spans="1:47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445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54"/>
        <v>6896000</v>
      </c>
      <c r="AA1526" s="13">
        <v>7.4899999999999994E-2</v>
      </c>
      <c r="AB1526" s="21">
        <f t="shared" ref="AB1526:AB1589" si="456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0"/>
        <v>47907808.356810622</v>
      </c>
      <c r="AJ1526" s="19">
        <f t="shared" si="441"/>
        <v>6027384.8806384448</v>
      </c>
      <c r="AK1526" s="20">
        <f t="shared" si="448"/>
        <v>0.12581216063459488</v>
      </c>
      <c r="AL1526" s="17"/>
      <c r="AM1526" s="17"/>
      <c r="AN1526" s="17"/>
      <c r="AO1526" s="17"/>
      <c r="AP1526" s="28" t="str">
        <f t="shared" si="449"/>
        <v>20209</v>
      </c>
      <c r="AQ1526" s="28" t="str">
        <f t="shared" si="450"/>
        <v>20209JPY</v>
      </c>
      <c r="AR1526" s="206" t="str">
        <f t="shared" si="451"/>
        <v>YAMAHA_Mounter</v>
      </c>
      <c r="AS1526" s="22">
        <f t="shared" si="452"/>
        <v>2</v>
      </c>
      <c r="AT1526" s="24" t="str">
        <f t="shared" si="453"/>
        <v>0-3 months</v>
      </c>
      <c r="AU1526" s="22" t="s">
        <v>3240</v>
      </c>
    </row>
    <row r="1527" spans="1:47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445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54"/>
        <v>6896000</v>
      </c>
      <c r="AA1527" s="13">
        <v>7.4899999999999994E-2</v>
      </c>
      <c r="AB1527" s="21">
        <f t="shared" si="456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0"/>
        <v>47907808.356810622</v>
      </c>
      <c r="AJ1527" s="19">
        <f t="shared" si="441"/>
        <v>6027384.8806384448</v>
      </c>
      <c r="AK1527" s="20">
        <f t="shared" si="448"/>
        <v>0.12581216063459488</v>
      </c>
      <c r="AL1527" s="17"/>
      <c r="AM1527" s="17"/>
      <c r="AN1527" s="17"/>
      <c r="AO1527" s="17"/>
      <c r="AP1527" s="28" t="str">
        <f t="shared" si="449"/>
        <v>20209</v>
      </c>
      <c r="AQ1527" s="28" t="str">
        <f t="shared" si="450"/>
        <v>20209JPY</v>
      </c>
      <c r="AR1527" s="206" t="str">
        <f t="shared" si="451"/>
        <v>YAMAHA_Mounter</v>
      </c>
      <c r="AS1527" s="22">
        <f t="shared" si="452"/>
        <v>2</v>
      </c>
      <c r="AT1527" s="24" t="str">
        <f t="shared" si="453"/>
        <v>0-3 months</v>
      </c>
      <c r="AU1527" s="22" t="s">
        <v>3240</v>
      </c>
    </row>
    <row r="1528" spans="1:47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444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445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57">IF(W1528="RMB","1.13", "1")</f>
        <v>1</v>
      </c>
      <c r="Z1528" s="18">
        <f t="shared" si="454"/>
        <v>11530000</v>
      </c>
      <c r="AA1528" s="13">
        <v>5.96E-2</v>
      </c>
      <c r="AB1528" s="21">
        <f t="shared" si="456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0"/>
        <v>499582152.5142017</v>
      </c>
      <c r="AJ1528" s="19">
        <f t="shared" si="441"/>
        <v>59520528.679470733</v>
      </c>
      <c r="AK1528" s="20">
        <f t="shared" si="448"/>
        <v>0.11914062257814291</v>
      </c>
      <c r="AL1528" s="17"/>
      <c r="AM1528" s="17"/>
      <c r="AN1528" s="17"/>
      <c r="AO1528" s="17"/>
      <c r="AP1528" s="28" t="str">
        <f t="shared" si="449"/>
        <v>CancelCancel</v>
      </c>
      <c r="AQ1528" s="28" t="str">
        <f t="shared" si="450"/>
        <v>CancelCancelJPY</v>
      </c>
      <c r="AR1528" s="206" t="str">
        <f t="shared" si="451"/>
        <v>YAMAHA_Mounter</v>
      </c>
      <c r="AS1528" s="22" t="str">
        <f t="shared" si="452"/>
        <v/>
      </c>
      <c r="AT1528" s="24" t="str">
        <f t="shared" si="453"/>
        <v/>
      </c>
      <c r="AU1528" s="22" t="s">
        <v>3745</v>
      </c>
    </row>
    <row r="1529" spans="1:47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444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445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57"/>
        <v>1</v>
      </c>
      <c r="Z1529" s="18">
        <f t="shared" si="454"/>
        <v>11530000</v>
      </c>
      <c r="AA1529" s="13">
        <v>5.96E-2</v>
      </c>
      <c r="AB1529" s="21">
        <f t="shared" si="456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0"/>
        <v>499582152.5142017</v>
      </c>
      <c r="AJ1529" s="19">
        <f t="shared" si="441"/>
        <v>59520528.679470733</v>
      </c>
      <c r="AK1529" s="20">
        <f t="shared" si="448"/>
        <v>0.11914062257814291</v>
      </c>
      <c r="AL1529" s="17"/>
      <c r="AM1529" s="17"/>
      <c r="AN1529" s="17"/>
      <c r="AO1529" s="17"/>
      <c r="AP1529" s="28" t="str">
        <f t="shared" si="449"/>
        <v>CancelCancel</v>
      </c>
      <c r="AQ1529" s="28" t="str">
        <f t="shared" si="450"/>
        <v>CancelCancelJPY</v>
      </c>
      <c r="AR1529" s="206" t="str">
        <f t="shared" si="451"/>
        <v>YAMAHA_Mounter</v>
      </c>
      <c r="AS1529" s="22" t="str">
        <f t="shared" si="452"/>
        <v/>
      </c>
      <c r="AT1529" s="24" t="str">
        <f t="shared" si="453"/>
        <v/>
      </c>
      <c r="AU1529" s="22" t="s">
        <v>3745</v>
      </c>
    </row>
    <row r="1530" spans="1:47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444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445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57"/>
        <v>1</v>
      </c>
      <c r="Z1530" s="18">
        <f t="shared" si="454"/>
        <v>7500000</v>
      </c>
      <c r="AA1530" s="13">
        <v>5.96E-2</v>
      </c>
      <c r="AB1530" s="21">
        <f t="shared" si="456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0"/>
        <v>499582152.5142017</v>
      </c>
      <c r="AJ1530" s="19">
        <f t="shared" si="441"/>
        <v>59520528.679470733</v>
      </c>
      <c r="AK1530" s="20">
        <f t="shared" si="448"/>
        <v>0.11914062257814291</v>
      </c>
      <c r="AL1530" s="17"/>
      <c r="AM1530" s="17"/>
      <c r="AN1530" s="17"/>
      <c r="AO1530" s="17"/>
      <c r="AP1530" s="28" t="str">
        <f t="shared" si="449"/>
        <v>CancelCancel</v>
      </c>
      <c r="AQ1530" s="28" t="str">
        <f t="shared" si="450"/>
        <v>CancelCancelJPY</v>
      </c>
      <c r="AR1530" s="206" t="str">
        <f t="shared" si="451"/>
        <v>YAMAHA_Mounter</v>
      </c>
      <c r="AS1530" s="22" t="str">
        <f t="shared" si="452"/>
        <v/>
      </c>
      <c r="AT1530" s="24" t="str">
        <f t="shared" si="453"/>
        <v/>
      </c>
      <c r="AU1530" s="22" t="s">
        <v>3745</v>
      </c>
    </row>
    <row r="1531" spans="1:47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444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445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57"/>
        <v>1</v>
      </c>
      <c r="Z1531" s="18">
        <f t="shared" si="454"/>
        <v>7500000</v>
      </c>
      <c r="AA1531" s="13">
        <v>5.96E-2</v>
      </c>
      <c r="AB1531" s="21">
        <f t="shared" si="456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0"/>
        <v>499582152.5142017</v>
      </c>
      <c r="AJ1531" s="19">
        <f t="shared" si="441"/>
        <v>59520528.679470733</v>
      </c>
      <c r="AK1531" s="20">
        <f t="shared" si="448"/>
        <v>0.11914062257814291</v>
      </c>
      <c r="AL1531" s="17"/>
      <c r="AM1531" s="17"/>
      <c r="AN1531" s="17"/>
      <c r="AO1531" s="17"/>
      <c r="AP1531" s="28" t="str">
        <f t="shared" si="449"/>
        <v>CancelCancel</v>
      </c>
      <c r="AQ1531" s="28" t="str">
        <f t="shared" si="450"/>
        <v>CancelCancelJPY</v>
      </c>
      <c r="AR1531" s="206" t="str">
        <f t="shared" si="451"/>
        <v>YAMAHA_Mounter</v>
      </c>
      <c r="AS1531" s="22" t="str">
        <f t="shared" si="452"/>
        <v/>
      </c>
      <c r="AT1531" s="24" t="str">
        <f t="shared" si="453"/>
        <v/>
      </c>
      <c r="AU1531" s="22" t="s">
        <v>3745</v>
      </c>
    </row>
    <row r="1532" spans="1:47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445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57"/>
        <v>1</v>
      </c>
      <c r="Z1532" s="18">
        <f t="shared" si="454"/>
        <v>10500000</v>
      </c>
      <c r="AA1532" s="13">
        <v>0.06</v>
      </c>
      <c r="AB1532" s="21">
        <f t="shared" si="456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0"/>
        <v>7502645.9971681423</v>
      </c>
      <c r="AJ1532" s="19">
        <f t="shared" si="441"/>
        <v>664841.72044240718</v>
      </c>
      <c r="AK1532" s="20">
        <f t="shared" si="448"/>
        <v>8.861429963420242E-2</v>
      </c>
      <c r="AL1532" s="17"/>
      <c r="AM1532" s="17"/>
      <c r="AN1532" s="17"/>
      <c r="AO1532" s="17" t="s">
        <v>2116</v>
      </c>
      <c r="AP1532" s="28" t="str">
        <f t="shared" si="449"/>
        <v>20231</v>
      </c>
      <c r="AQ1532" s="28" t="str">
        <f t="shared" si="450"/>
        <v>20231JPY</v>
      </c>
      <c r="AR1532" s="206" t="str">
        <f t="shared" si="451"/>
        <v>YAMAHA_Mounter</v>
      </c>
      <c r="AS1532" s="22">
        <f t="shared" si="452"/>
        <v>9</v>
      </c>
      <c r="AT1532" s="24" t="str">
        <f t="shared" si="453"/>
        <v>&gt; 6 months</v>
      </c>
      <c r="AU1532" s="22" t="s">
        <v>3745</v>
      </c>
    </row>
    <row r="1533" spans="1:47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445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57"/>
        <v>1</v>
      </c>
      <c r="Z1533" s="18">
        <f t="shared" si="454"/>
        <v>6400000</v>
      </c>
      <c r="AA1533" s="13">
        <v>0.06</v>
      </c>
      <c r="AB1533" s="21">
        <f t="shared" si="456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0"/>
        <v>7502645.9971681423</v>
      </c>
      <c r="AJ1533" s="19">
        <f t="shared" si="441"/>
        <v>664841.72044240718</v>
      </c>
      <c r="AK1533" s="20">
        <f t="shared" si="448"/>
        <v>8.861429963420242E-2</v>
      </c>
      <c r="AL1533" s="17"/>
      <c r="AM1533" s="17"/>
      <c r="AN1533" s="17"/>
      <c r="AO1533" s="17" t="s">
        <v>2116</v>
      </c>
      <c r="AP1533" s="28" t="str">
        <f t="shared" si="449"/>
        <v>20231</v>
      </c>
      <c r="AQ1533" s="28" t="str">
        <f t="shared" si="450"/>
        <v>20231JPY</v>
      </c>
      <c r="AR1533" s="206" t="str">
        <f t="shared" si="451"/>
        <v>YAMAHA_Mounter</v>
      </c>
      <c r="AS1533" s="22">
        <f t="shared" si="452"/>
        <v>9</v>
      </c>
      <c r="AT1533" s="24" t="str">
        <f t="shared" si="453"/>
        <v>&gt; 6 months</v>
      </c>
      <c r="AU1533" s="22" t="s">
        <v>3745</v>
      </c>
    </row>
    <row r="1534" spans="1:47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444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445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57"/>
        <v>1</v>
      </c>
      <c r="Z1534" s="18">
        <f t="shared" si="454"/>
        <v>11920000</v>
      </c>
      <c r="AA1534" s="13">
        <v>5.8700000000000002E-2</v>
      </c>
      <c r="AB1534" s="21">
        <f t="shared" si="456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0"/>
        <v>499582152.5142017</v>
      </c>
      <c r="AJ1534" s="19">
        <f t="shared" si="441"/>
        <v>59520528.679470733</v>
      </c>
      <c r="AK1534" s="20">
        <f t="shared" si="448"/>
        <v>0.11914062257814291</v>
      </c>
      <c r="AL1534" s="17"/>
      <c r="AM1534" s="17"/>
      <c r="AN1534" s="17"/>
      <c r="AO1534" s="17"/>
      <c r="AP1534" s="28" t="str">
        <f t="shared" si="449"/>
        <v>CancelCancel</v>
      </c>
      <c r="AQ1534" s="28" t="str">
        <f t="shared" si="450"/>
        <v>CancelCancelJPY</v>
      </c>
      <c r="AR1534" s="206" t="str">
        <f t="shared" si="451"/>
        <v>YAMAHA_Mounter</v>
      </c>
      <c r="AS1534" s="22" t="str">
        <f t="shared" si="452"/>
        <v/>
      </c>
      <c r="AT1534" s="24" t="str">
        <f t="shared" si="453"/>
        <v/>
      </c>
      <c r="AU1534" s="22" t="s">
        <v>3745</v>
      </c>
    </row>
    <row r="1535" spans="1:47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444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445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57"/>
        <v>1</v>
      </c>
      <c r="Z1535" s="18">
        <f t="shared" si="454"/>
        <v>11920000</v>
      </c>
      <c r="AA1535" s="13">
        <v>5.8700000000000002E-2</v>
      </c>
      <c r="AB1535" s="21">
        <f t="shared" si="456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0"/>
        <v>499582152.5142017</v>
      </c>
      <c r="AJ1535" s="19">
        <f t="shared" si="441"/>
        <v>59520528.679470733</v>
      </c>
      <c r="AK1535" s="20">
        <f t="shared" si="448"/>
        <v>0.11914062257814291</v>
      </c>
      <c r="AL1535" s="17"/>
      <c r="AM1535" s="17"/>
      <c r="AN1535" s="17"/>
      <c r="AO1535" s="17"/>
      <c r="AP1535" s="28" t="str">
        <f t="shared" si="449"/>
        <v>CancelCancel</v>
      </c>
      <c r="AQ1535" s="28" t="str">
        <f t="shared" si="450"/>
        <v>CancelCancelJPY</v>
      </c>
      <c r="AR1535" s="206" t="str">
        <f t="shared" si="451"/>
        <v>YAMAHA_Mounter</v>
      </c>
      <c r="AS1535" s="22" t="str">
        <f t="shared" si="452"/>
        <v/>
      </c>
      <c r="AT1535" s="24" t="str">
        <f t="shared" si="453"/>
        <v/>
      </c>
      <c r="AU1535" s="22" t="s">
        <v>3745</v>
      </c>
    </row>
    <row r="1536" spans="1:47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444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445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57"/>
        <v>1</v>
      </c>
      <c r="Z1536" s="18">
        <f t="shared" si="454"/>
        <v>7920000</v>
      </c>
      <c r="AA1536" s="13">
        <v>5.8700000000000002E-2</v>
      </c>
      <c r="AB1536" s="21">
        <f t="shared" si="456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0"/>
        <v>499582152.5142017</v>
      </c>
      <c r="AJ1536" s="19">
        <f t="shared" si="441"/>
        <v>59520528.679470733</v>
      </c>
      <c r="AK1536" s="20">
        <f t="shared" si="448"/>
        <v>0.11914062257814291</v>
      </c>
      <c r="AL1536" s="17"/>
      <c r="AM1536" s="17"/>
      <c r="AN1536" s="17"/>
      <c r="AO1536" s="17"/>
      <c r="AP1536" s="28" t="str">
        <f t="shared" si="449"/>
        <v>CancelCancel</v>
      </c>
      <c r="AQ1536" s="28" t="str">
        <f t="shared" si="450"/>
        <v>CancelCancelJPY</v>
      </c>
      <c r="AR1536" s="206" t="str">
        <f t="shared" si="451"/>
        <v>YAMAHA_Mounter</v>
      </c>
      <c r="AS1536" s="22" t="str">
        <f t="shared" si="452"/>
        <v/>
      </c>
      <c r="AT1536" s="24" t="str">
        <f t="shared" si="453"/>
        <v/>
      </c>
      <c r="AU1536" s="22" t="s">
        <v>3745</v>
      </c>
    </row>
    <row r="1537" spans="1:47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444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445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57"/>
        <v>1</v>
      </c>
      <c r="Z1537" s="18">
        <f t="shared" si="454"/>
        <v>7920000</v>
      </c>
      <c r="AA1537" s="13">
        <v>5.8700000000000002E-2</v>
      </c>
      <c r="AB1537" s="21">
        <f t="shared" si="456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0"/>
        <v>499582152.5142017</v>
      </c>
      <c r="AJ1537" s="19">
        <f t="shared" si="441"/>
        <v>59520528.679470733</v>
      </c>
      <c r="AK1537" s="20">
        <f t="shared" si="448"/>
        <v>0.11914062257814291</v>
      </c>
      <c r="AL1537" s="17"/>
      <c r="AM1537" s="17"/>
      <c r="AN1537" s="17"/>
      <c r="AO1537" s="17"/>
      <c r="AP1537" s="28" t="str">
        <f t="shared" si="449"/>
        <v>CancelCancel</v>
      </c>
      <c r="AQ1537" s="28" t="str">
        <f t="shared" si="450"/>
        <v>CancelCancelJPY</v>
      </c>
      <c r="AR1537" s="206" t="str">
        <f t="shared" si="451"/>
        <v>YAMAHA_Mounter</v>
      </c>
      <c r="AS1537" s="22" t="str">
        <f t="shared" si="452"/>
        <v/>
      </c>
      <c r="AT1537" s="24" t="str">
        <f t="shared" si="453"/>
        <v/>
      </c>
      <c r="AU1537" s="22" t="s">
        <v>3745</v>
      </c>
    </row>
    <row r="1538" spans="1:47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444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445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57"/>
        <v>1</v>
      </c>
      <c r="Z1538" s="18">
        <f t="shared" si="454"/>
        <v>11920000</v>
      </c>
      <c r="AA1538" s="13">
        <v>5.4100000000000002E-2</v>
      </c>
      <c r="AB1538" s="21">
        <f t="shared" si="456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ref="AI1538:AI1601" si="458">IF(P1538="C66 SERVICE","",SUMIFS(AB:AB,F:F,F1538,G:G,G1538,E:E,E1538))</f>
        <v>499582152.5142017</v>
      </c>
      <c r="AJ1538" s="19">
        <f t="shared" ref="AJ1538:AJ1601" si="459">IF(P1538="C66 SERVICE","",SUMIFS(AC:AC,F:F,F1538,G:G,G1538,E:E,E1538))</f>
        <v>59520528.679470733</v>
      </c>
      <c r="AK1538" s="20">
        <f t="shared" si="448"/>
        <v>0.11914062257814291</v>
      </c>
      <c r="AL1538" s="17"/>
      <c r="AM1538" s="17"/>
      <c r="AN1538" s="17"/>
      <c r="AO1538" s="17"/>
      <c r="AP1538" s="28" t="str">
        <f t="shared" si="449"/>
        <v>CancelCancel</v>
      </c>
      <c r="AQ1538" s="28" t="str">
        <f t="shared" si="450"/>
        <v>CancelCancelJPY</v>
      </c>
      <c r="AR1538" s="206" t="str">
        <f t="shared" si="451"/>
        <v>YAMAHA_Mounter</v>
      </c>
      <c r="AS1538" s="22" t="str">
        <f t="shared" si="452"/>
        <v/>
      </c>
      <c r="AT1538" s="24" t="str">
        <f t="shared" si="453"/>
        <v/>
      </c>
      <c r="AU1538" s="22" t="s">
        <v>3745</v>
      </c>
    </row>
    <row r="1539" spans="1:47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444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445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57"/>
        <v>1</v>
      </c>
      <c r="Z1539" s="18">
        <f t="shared" si="454"/>
        <v>7920000</v>
      </c>
      <c r="AA1539" s="13">
        <v>5.4100000000000002E-2</v>
      </c>
      <c r="AB1539" s="21">
        <f t="shared" si="456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58"/>
        <v>499582152.5142017</v>
      </c>
      <c r="AJ1539" s="19">
        <f t="shared" si="459"/>
        <v>59520528.679470733</v>
      </c>
      <c r="AK1539" s="20">
        <f t="shared" si="448"/>
        <v>0.11914062257814291</v>
      </c>
      <c r="AL1539" s="17"/>
      <c r="AM1539" s="17"/>
      <c r="AN1539" s="17"/>
      <c r="AO1539" s="17"/>
      <c r="AP1539" s="28" t="str">
        <f t="shared" si="449"/>
        <v>CancelCancel</v>
      </c>
      <c r="AQ1539" s="28" t="str">
        <f t="shared" si="450"/>
        <v>CancelCancelJPY</v>
      </c>
      <c r="AR1539" s="206" t="str">
        <f t="shared" si="451"/>
        <v>YAMAHA_Mounter</v>
      </c>
      <c r="AS1539" s="22" t="str">
        <f t="shared" si="452"/>
        <v/>
      </c>
      <c r="AT1539" s="24" t="str">
        <f t="shared" si="453"/>
        <v/>
      </c>
      <c r="AU1539" s="22" t="s">
        <v>3745</v>
      </c>
    </row>
    <row r="1540" spans="1:47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445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57"/>
        <v>1</v>
      </c>
      <c r="Z1540" s="18">
        <f t="shared" si="454"/>
        <v>11500000</v>
      </c>
      <c r="AA1540" s="13">
        <v>7.5700000000000003E-2</v>
      </c>
      <c r="AB1540" s="21">
        <f t="shared" si="456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58"/>
        <v>31097187.02948761</v>
      </c>
      <c r="AJ1540" s="19">
        <f t="shared" si="459"/>
        <v>3892353.6644401965</v>
      </c>
      <c r="AK1540" s="20">
        <f t="shared" si="448"/>
        <v>0.12516738767237401</v>
      </c>
      <c r="AL1540" s="17"/>
      <c r="AM1540" s="17"/>
      <c r="AN1540" s="17"/>
      <c r="AO1540" s="17"/>
      <c r="AP1540" s="28" t="str">
        <f t="shared" si="449"/>
        <v>20212</v>
      </c>
      <c r="AQ1540" s="28" t="str">
        <f t="shared" si="450"/>
        <v>20212JPY</v>
      </c>
      <c r="AR1540" s="206" t="str">
        <f t="shared" si="451"/>
        <v>YAMAHA_Mounter</v>
      </c>
      <c r="AS1540" s="22">
        <f t="shared" si="452"/>
        <v>4</v>
      </c>
      <c r="AT1540" s="24" t="str">
        <f t="shared" si="453"/>
        <v>4-6 months</v>
      </c>
      <c r="AU1540" s="22" t="s">
        <v>3744</v>
      </c>
    </row>
    <row r="1541" spans="1:47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445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57"/>
        <v>1</v>
      </c>
      <c r="Z1541" s="18">
        <f t="shared" si="454"/>
        <v>11500000</v>
      </c>
      <c r="AA1541" s="13">
        <v>7.5700000000000003E-2</v>
      </c>
      <c r="AB1541" s="21">
        <f t="shared" si="456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58"/>
        <v>31097187.02948761</v>
      </c>
      <c r="AJ1541" s="19">
        <f t="shared" si="459"/>
        <v>3892353.6644401965</v>
      </c>
      <c r="AK1541" s="20">
        <f t="shared" si="448"/>
        <v>0.12516738767237401</v>
      </c>
      <c r="AL1541" s="17"/>
      <c r="AM1541" s="17"/>
      <c r="AN1541" s="17"/>
      <c r="AO1541" s="17"/>
      <c r="AP1541" s="28" t="str">
        <f t="shared" si="449"/>
        <v>20212</v>
      </c>
      <c r="AQ1541" s="28" t="str">
        <f t="shared" si="450"/>
        <v>20212JPY</v>
      </c>
      <c r="AR1541" s="206" t="str">
        <f t="shared" si="451"/>
        <v>YAMAHA_Mounter</v>
      </c>
      <c r="AS1541" s="22">
        <f t="shared" si="452"/>
        <v>4</v>
      </c>
      <c r="AT1541" s="24" t="str">
        <f t="shared" si="453"/>
        <v>4-6 months</v>
      </c>
      <c r="AU1541" s="22" t="s">
        <v>3744</v>
      </c>
    </row>
    <row r="1542" spans="1:47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57"/>
        <v>1.13</v>
      </c>
      <c r="Z1542" s="18">
        <f t="shared" si="454"/>
        <v>740000</v>
      </c>
      <c r="AA1542" s="13">
        <v>1.163</v>
      </c>
      <c r="AB1542" s="21">
        <f t="shared" si="456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si="458"/>
        <v>35073581.838938057</v>
      </c>
      <c r="AJ1542" s="19">
        <f t="shared" si="459"/>
        <v>5034113.9728989396</v>
      </c>
      <c r="AK1542" s="20">
        <f t="shared" ref="AK1542:AK1605" si="466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7">IF(F1542="","",F1542&amp;G1542)</f>
        <v>20228</v>
      </c>
      <c r="AQ1542" s="28" t="str">
        <f t="shared" ref="AQ1542:AQ1605" si="468">IF(W1542="","",F1542&amp;G1542&amp;W1542)</f>
        <v>20228RMB</v>
      </c>
      <c r="AR1542" s="206" t="str">
        <f t="shared" ref="AR1542:AR1605" si="469">IFERROR(IF(AND(M1542="YAMAHA", R1542="C28"), "YAMAHA_Non_Mounter", IF(AND(M1542="YAMAHA", R1542="C49"), "YAMAHA_Mounter", M1542)),"")</f>
        <v>YAMAHA_Mounter</v>
      </c>
      <c r="AS1542" s="22">
        <f t="shared" ref="AS1542:AS1605" si="470">IFERROR(IF(OR(G1542="TBA", G1542=""), "", DATEDIF(DATE(B1542, C1542, 1), DATE(F1542, G1542, 1), "M")),"")</f>
        <v>1</v>
      </c>
      <c r="AT1542" s="24" t="str">
        <f t="shared" ref="AT1542:AT1605" si="471">IF(ISNUMBER(AS1542), IF(AS1542&gt;=0, IF(AS1542&lt;=3, "0-3 months", IF(AS1542&lt;=6, "4-6 months", "&gt; 6 months"))), "")</f>
        <v>0-3 months</v>
      </c>
      <c r="AU1542" s="22" t="s">
        <v>3750</v>
      </c>
    </row>
    <row r="1543" spans="1:47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6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57"/>
        <v>1.13</v>
      </c>
      <c r="Z1543" s="18">
        <f t="shared" si="454"/>
        <v>435000</v>
      </c>
      <c r="AA1543" s="13">
        <v>1.163</v>
      </c>
      <c r="AB1543" s="21">
        <f t="shared" si="456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58"/>
        <v>35073581.838938057</v>
      </c>
      <c r="AJ1543" s="19">
        <f t="shared" si="459"/>
        <v>5034113.9728989396</v>
      </c>
      <c r="AK1543" s="20">
        <f t="shared" si="466"/>
        <v>0.14353007902118958</v>
      </c>
      <c r="AL1543" s="17"/>
      <c r="AM1543" s="17"/>
      <c r="AN1543" s="17"/>
      <c r="AO1543" s="17"/>
      <c r="AP1543" s="28" t="str">
        <f t="shared" si="467"/>
        <v>20228</v>
      </c>
      <c r="AQ1543" s="28" t="str">
        <f t="shared" si="468"/>
        <v>20228RMB</v>
      </c>
      <c r="AR1543" s="206" t="str">
        <f t="shared" si="469"/>
        <v>YAMAHA_Mounter</v>
      </c>
      <c r="AS1543" s="22">
        <f t="shared" si="470"/>
        <v>1</v>
      </c>
      <c r="AT1543" s="24" t="str">
        <f t="shared" si="471"/>
        <v>0-3 months</v>
      </c>
      <c r="AU1543" s="22" t="s">
        <v>3750</v>
      </c>
    </row>
    <row r="1544" spans="1:47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6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57"/>
        <v>1.13</v>
      </c>
      <c r="Z1544" s="18">
        <f t="shared" si="454"/>
        <v>720000</v>
      </c>
      <c r="AA1544" s="13">
        <v>1.1299999999999999</v>
      </c>
      <c r="AB1544" s="21">
        <f t="shared" si="456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58"/>
        <v>33543315.897345133</v>
      </c>
      <c r="AJ1544" s="19">
        <f t="shared" si="459"/>
        <v>4706169.3252984071</v>
      </c>
      <c r="AK1544" s="20">
        <f t="shared" si="466"/>
        <v>0.14030125523967318</v>
      </c>
      <c r="AL1544" s="17"/>
      <c r="AM1544" s="17"/>
      <c r="AN1544" s="17"/>
      <c r="AO1544" s="17"/>
      <c r="AP1544" s="28" t="str">
        <f t="shared" si="467"/>
        <v>20233</v>
      </c>
      <c r="AQ1544" s="28" t="str">
        <f t="shared" si="468"/>
        <v>20233RMB</v>
      </c>
      <c r="AR1544" s="206" t="str">
        <f t="shared" si="469"/>
        <v>YAMAHA_Mounter</v>
      </c>
      <c r="AS1544" s="22">
        <f t="shared" si="470"/>
        <v>0</v>
      </c>
      <c r="AT1544" s="24" t="str">
        <f t="shared" si="471"/>
        <v>0-3 months</v>
      </c>
      <c r="AU1544" s="22" t="s">
        <v>3240</v>
      </c>
    </row>
    <row r="1545" spans="1:47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6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6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57"/>
        <v>1.13</v>
      </c>
      <c r="Z1545" s="18">
        <f t="shared" si="454"/>
        <v>1300000</v>
      </c>
      <c r="AA1545" s="13">
        <v>1.175</v>
      </c>
      <c r="AB1545" s="21">
        <f t="shared" si="456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58"/>
        <v>499582152.5142017</v>
      </c>
      <c r="AJ1545" s="19">
        <f t="shared" si="459"/>
        <v>59520528.679470733</v>
      </c>
      <c r="AK1545" s="20">
        <f t="shared" si="466"/>
        <v>0.11914062257814291</v>
      </c>
      <c r="AL1545" s="17"/>
      <c r="AM1545" s="17"/>
      <c r="AN1545" s="17"/>
      <c r="AO1545" s="17"/>
      <c r="AP1545" s="28" t="str">
        <f t="shared" si="467"/>
        <v>CancelCancel</v>
      </c>
      <c r="AQ1545" s="28" t="str">
        <f t="shared" si="468"/>
        <v>CancelCancelRMB</v>
      </c>
      <c r="AR1545" s="206" t="str">
        <f t="shared" si="469"/>
        <v>YAMAHA_Mounter</v>
      </c>
      <c r="AS1545" s="22" t="str">
        <f t="shared" si="470"/>
        <v/>
      </c>
      <c r="AT1545" s="24" t="str">
        <f t="shared" si="471"/>
        <v/>
      </c>
      <c r="AU1545" s="22" t="s">
        <v>3750</v>
      </c>
    </row>
    <row r="1546" spans="1:47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6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6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57"/>
        <v>1.13</v>
      </c>
      <c r="Z1546" s="18">
        <f t="shared" ref="Z1546:Z1609" si="472">IF(X1546="","",X1546*MAX(O1546,N1546))</f>
        <v>1300000</v>
      </c>
      <c r="AA1546" s="13">
        <v>1.175</v>
      </c>
      <c r="AB1546" s="21">
        <f t="shared" si="456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58"/>
        <v>499582152.5142017</v>
      </c>
      <c r="AJ1546" s="19">
        <f t="shared" si="459"/>
        <v>59520528.679470733</v>
      </c>
      <c r="AK1546" s="20">
        <f t="shared" si="466"/>
        <v>0.11914062257814291</v>
      </c>
      <c r="AL1546" s="17"/>
      <c r="AM1546" s="17"/>
      <c r="AN1546" s="17"/>
      <c r="AO1546" s="17"/>
      <c r="AP1546" s="28" t="str">
        <f t="shared" si="467"/>
        <v>CancelCancel</v>
      </c>
      <c r="AQ1546" s="28" t="str">
        <f t="shared" si="468"/>
        <v>CancelCancelRMB</v>
      </c>
      <c r="AR1546" s="206" t="str">
        <f t="shared" si="469"/>
        <v>YAMAHA_Mounter</v>
      </c>
      <c r="AS1546" s="22" t="str">
        <f t="shared" si="470"/>
        <v/>
      </c>
      <c r="AT1546" s="24" t="str">
        <f t="shared" si="471"/>
        <v/>
      </c>
      <c r="AU1546" s="22" t="s">
        <v>3750</v>
      </c>
    </row>
    <row r="1547" spans="1:47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6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72"/>
        <v>1000000</v>
      </c>
      <c r="AA1547" s="13">
        <v>1.095</v>
      </c>
      <c r="AB1547" s="21">
        <f t="shared" si="456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58"/>
        <v>33477255.428389374</v>
      </c>
      <c r="AJ1547" s="19">
        <f t="shared" si="459"/>
        <v>4578663.362915583</v>
      </c>
      <c r="AK1547" s="20">
        <f t="shared" si="466"/>
        <v>0.13676937682988152</v>
      </c>
      <c r="AL1547" s="17"/>
      <c r="AM1547" s="17"/>
      <c r="AN1547" s="17"/>
      <c r="AO1547" s="17"/>
      <c r="AP1547" s="28" t="str">
        <f t="shared" si="467"/>
        <v>20204</v>
      </c>
      <c r="AQ1547" s="28" t="str">
        <f t="shared" si="468"/>
        <v>20204RMB</v>
      </c>
      <c r="AR1547" s="206" t="str">
        <f t="shared" si="469"/>
        <v>YAMAHA_Mounter</v>
      </c>
      <c r="AS1547" s="22">
        <f t="shared" si="470"/>
        <v>3</v>
      </c>
      <c r="AT1547" s="24" t="str">
        <f t="shared" si="471"/>
        <v>0-3 months</v>
      </c>
      <c r="AU1547" s="22" t="s">
        <v>3240</v>
      </c>
    </row>
    <row r="1548" spans="1:47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6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72"/>
        <v>1431600</v>
      </c>
      <c r="AA1548" s="13">
        <v>1.095</v>
      </c>
      <c r="AB1548" s="21">
        <f t="shared" si="456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58"/>
        <v>33477255.428389374</v>
      </c>
      <c r="AJ1548" s="19">
        <f t="shared" si="459"/>
        <v>4578663.362915583</v>
      </c>
      <c r="AK1548" s="20">
        <f t="shared" si="466"/>
        <v>0.13676937682988152</v>
      </c>
      <c r="AL1548" s="17"/>
      <c r="AM1548" s="17"/>
      <c r="AN1548" s="17"/>
      <c r="AO1548" s="17"/>
      <c r="AP1548" s="28" t="str">
        <f t="shared" si="467"/>
        <v>20204</v>
      </c>
      <c r="AQ1548" s="28" t="str">
        <f t="shared" si="468"/>
        <v>20204RMB</v>
      </c>
      <c r="AR1548" s="206" t="str">
        <f t="shared" si="469"/>
        <v>YAMAHA_Mounter</v>
      </c>
      <c r="AS1548" s="22">
        <f t="shared" si="470"/>
        <v>3</v>
      </c>
      <c r="AT1548" s="24" t="str">
        <f t="shared" si="471"/>
        <v>0-3 months</v>
      </c>
      <c r="AU1548" s="22" t="s">
        <v>3240</v>
      </c>
    </row>
    <row r="1549" spans="1:47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6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6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72"/>
        <v>541700</v>
      </c>
      <c r="AA1549" s="13">
        <v>1.105</v>
      </c>
      <c r="AB1549" s="21">
        <f t="shared" si="456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58"/>
        <v>499582152.5142017</v>
      </c>
      <c r="AJ1549" s="19">
        <f t="shared" si="459"/>
        <v>59520528.679470733</v>
      </c>
      <c r="AK1549" s="20">
        <f t="shared" si="466"/>
        <v>0.11914062257814291</v>
      </c>
      <c r="AL1549" s="17"/>
      <c r="AM1549" s="17"/>
      <c r="AN1549" s="17"/>
      <c r="AO1549" s="17"/>
      <c r="AP1549" s="28" t="str">
        <f t="shared" si="467"/>
        <v>CancelCANCEL</v>
      </c>
      <c r="AQ1549" s="28" t="str">
        <f t="shared" si="468"/>
        <v>CancelCANCELRMB</v>
      </c>
      <c r="AR1549" s="206" t="str">
        <f t="shared" si="469"/>
        <v>YAMAHA_Mounter</v>
      </c>
      <c r="AS1549" s="22" t="str">
        <f t="shared" si="470"/>
        <v/>
      </c>
      <c r="AT1549" s="24" t="str">
        <f t="shared" si="471"/>
        <v/>
      </c>
      <c r="AU1549" s="22" t="s">
        <v>3240</v>
      </c>
    </row>
    <row r="1550" spans="1:47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6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72"/>
        <v>1281500</v>
      </c>
      <c r="AA1550" s="13">
        <v>1.1100000000000001</v>
      </c>
      <c r="AB1550" s="21">
        <f t="shared" si="456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58"/>
        <v>26147030.909862842</v>
      </c>
      <c r="AJ1550" s="19">
        <f t="shared" si="459"/>
        <v>2743862.8630715334</v>
      </c>
      <c r="AK1550" s="20">
        <f t="shared" si="466"/>
        <v>0.10493974908778378</v>
      </c>
      <c r="AL1550" s="17"/>
      <c r="AM1550" s="17"/>
      <c r="AN1550" s="17"/>
      <c r="AO1550" s="17" t="s">
        <v>916</v>
      </c>
      <c r="AP1550" s="28" t="str">
        <f t="shared" si="467"/>
        <v>201911</v>
      </c>
      <c r="AQ1550" s="28" t="str">
        <f t="shared" si="468"/>
        <v>201911RMB</v>
      </c>
      <c r="AR1550" s="206" t="str">
        <f t="shared" si="469"/>
        <v>YAMAHA_Mounter</v>
      </c>
      <c r="AS1550" s="22">
        <f t="shared" si="470"/>
        <v>2</v>
      </c>
      <c r="AT1550" s="24" t="str">
        <f t="shared" si="471"/>
        <v>0-3 months</v>
      </c>
      <c r="AU1550" s="22" t="s">
        <v>3240</v>
      </c>
    </row>
    <row r="1551" spans="1:47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6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72"/>
        <v>441196</v>
      </c>
      <c r="AA1551" s="13">
        <v>1.125</v>
      </c>
      <c r="AB1551" s="21">
        <f t="shared" si="456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58"/>
        <v>29840797.698275864</v>
      </c>
      <c r="AJ1551" s="19">
        <f t="shared" si="459"/>
        <v>3940167.6555448272</v>
      </c>
      <c r="AK1551" s="20">
        <f t="shared" si="466"/>
        <v>0.13203962224416277</v>
      </c>
      <c r="AL1551" s="17"/>
      <c r="AM1551" s="17"/>
      <c r="AN1551" s="17"/>
      <c r="AO1551" s="17"/>
      <c r="AP1551" s="28" t="str">
        <f t="shared" si="467"/>
        <v>201812</v>
      </c>
      <c r="AQ1551" s="28" t="str">
        <f t="shared" si="468"/>
        <v>201812RMB</v>
      </c>
      <c r="AR1551" s="206" t="str">
        <f t="shared" si="469"/>
        <v>HELLER</v>
      </c>
      <c r="AS1551" s="22">
        <f t="shared" si="470"/>
        <v>1</v>
      </c>
      <c r="AT1551" s="24" t="str">
        <f t="shared" si="471"/>
        <v>0-3 months</v>
      </c>
      <c r="AU1551" s="22" t="s">
        <v>3240</v>
      </c>
    </row>
    <row r="1552" spans="1:47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6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72"/>
        <v>1000000</v>
      </c>
      <c r="AA1552" s="13">
        <v>1.105</v>
      </c>
      <c r="AB1552" s="21">
        <f t="shared" si="456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58"/>
        <v>37969334.083628319</v>
      </c>
      <c r="AJ1552" s="19">
        <f t="shared" si="459"/>
        <v>5097226.4551657084</v>
      </c>
      <c r="AK1552" s="20">
        <f t="shared" si="466"/>
        <v>0.13424587441904964</v>
      </c>
      <c r="AL1552" s="17"/>
      <c r="AM1552" s="17"/>
      <c r="AN1552" s="17"/>
      <c r="AO1552" s="17"/>
      <c r="AP1552" s="28" t="str">
        <f t="shared" si="467"/>
        <v>20208</v>
      </c>
      <c r="AQ1552" s="28" t="str">
        <f t="shared" si="468"/>
        <v>20208RMB</v>
      </c>
      <c r="AR1552" s="206" t="str">
        <f t="shared" si="469"/>
        <v>YAMAHA_Mounter</v>
      </c>
      <c r="AS1552" s="22">
        <f t="shared" si="470"/>
        <v>0</v>
      </c>
      <c r="AT1552" s="24" t="str">
        <f t="shared" si="471"/>
        <v>0-3 months</v>
      </c>
      <c r="AU1552" s="22" t="s">
        <v>3240</v>
      </c>
    </row>
    <row r="1553" spans="1:47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6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72"/>
        <v>738700</v>
      </c>
      <c r="AA1553" s="13">
        <v>1.105</v>
      </c>
      <c r="AB1553" s="21">
        <f t="shared" si="456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58"/>
        <v>37969334.083628319</v>
      </c>
      <c r="AJ1553" s="19">
        <f t="shared" si="459"/>
        <v>5097226.4551657084</v>
      </c>
      <c r="AK1553" s="20">
        <f t="shared" si="466"/>
        <v>0.13424587441904964</v>
      </c>
      <c r="AL1553" s="17"/>
      <c r="AM1553" s="17"/>
      <c r="AN1553" s="17"/>
      <c r="AO1553" s="17"/>
      <c r="AP1553" s="28" t="str">
        <f t="shared" si="467"/>
        <v>20208</v>
      </c>
      <c r="AQ1553" s="28" t="str">
        <f t="shared" si="468"/>
        <v>20208RMB</v>
      </c>
      <c r="AR1553" s="206" t="str">
        <f t="shared" si="469"/>
        <v>YAMAHA_Mounter</v>
      </c>
      <c r="AS1553" s="22">
        <f t="shared" si="470"/>
        <v>0</v>
      </c>
      <c r="AT1553" s="24" t="str">
        <f t="shared" si="471"/>
        <v>0-3 months</v>
      </c>
      <c r="AU1553" s="22" t="s">
        <v>3240</v>
      </c>
    </row>
    <row r="1554" spans="1:47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6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72"/>
        <v>1015900</v>
      </c>
      <c r="AA1554" s="13">
        <v>1.1000000000000001</v>
      </c>
      <c r="AB1554" s="21">
        <f t="shared" si="456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58"/>
        <v>22717528.991150443</v>
      </c>
      <c r="AJ1554" s="19">
        <f t="shared" si="459"/>
        <v>3947747.192555753</v>
      </c>
      <c r="AK1554" s="20">
        <f t="shared" si="466"/>
        <v>0.1737753782153679</v>
      </c>
      <c r="AL1554" s="17"/>
      <c r="AM1554" s="17"/>
      <c r="AN1554" s="17"/>
      <c r="AO1554" s="17"/>
      <c r="AP1554" s="28" t="str">
        <f t="shared" si="467"/>
        <v>202210</v>
      </c>
      <c r="AQ1554" s="28" t="str">
        <f t="shared" si="468"/>
        <v>202210RMB</v>
      </c>
      <c r="AR1554" s="206" t="str">
        <f t="shared" si="469"/>
        <v>YAMAHA_Mounter</v>
      </c>
      <c r="AS1554" s="22">
        <f t="shared" si="470"/>
        <v>3</v>
      </c>
      <c r="AT1554" s="24" t="str">
        <f t="shared" si="471"/>
        <v>0-3 months</v>
      </c>
      <c r="AU1554" s="22" t="s">
        <v>3240</v>
      </c>
    </row>
    <row r="1555" spans="1:47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6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72"/>
        <v>704000</v>
      </c>
      <c r="AA1555" s="13">
        <v>1.08</v>
      </c>
      <c r="AB1555" s="21">
        <f t="shared" si="456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58"/>
        <v>31017966.201968137</v>
      </c>
      <c r="AJ1555" s="19">
        <f t="shared" si="459"/>
        <v>4704250.3347305888</v>
      </c>
      <c r="AK1555" s="20">
        <f t="shared" si="466"/>
        <v>0.15166211427595458</v>
      </c>
      <c r="AL1555" s="17"/>
      <c r="AM1555" s="17"/>
      <c r="AN1555" s="17"/>
      <c r="AO1555" s="17"/>
      <c r="AP1555" s="28" t="str">
        <f t="shared" si="467"/>
        <v>202211</v>
      </c>
      <c r="AQ1555" s="28" t="str">
        <f t="shared" si="468"/>
        <v>202211RMB</v>
      </c>
      <c r="AR1555" s="206" t="str">
        <f t="shared" si="469"/>
        <v>YAMAHA_Mounter</v>
      </c>
      <c r="AS1555" s="22">
        <f t="shared" si="470"/>
        <v>0</v>
      </c>
      <c r="AT1555" s="24" t="str">
        <f t="shared" si="471"/>
        <v>0-3 months</v>
      </c>
      <c r="AU1555" s="22" t="s">
        <v>3240</v>
      </c>
    </row>
    <row r="1556" spans="1:47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6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72"/>
        <v>1300000</v>
      </c>
      <c r="AA1556" s="13">
        <v>1.135</v>
      </c>
      <c r="AB1556" s="21">
        <f t="shared" si="456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58"/>
        <v>21386017.707964607</v>
      </c>
      <c r="AJ1556" s="19">
        <f t="shared" si="459"/>
        <v>2238764.3265707968</v>
      </c>
      <c r="AK1556" s="20">
        <f t="shared" si="466"/>
        <v>0.10468355339185161</v>
      </c>
      <c r="AL1556" s="17"/>
      <c r="AM1556" s="17"/>
      <c r="AN1556" s="17"/>
      <c r="AO1556" s="17"/>
      <c r="AP1556" s="28" t="str">
        <f t="shared" si="467"/>
        <v>20198</v>
      </c>
      <c r="AQ1556" s="28" t="str">
        <f t="shared" si="468"/>
        <v>20198RMB</v>
      </c>
      <c r="AR1556" s="206" t="str">
        <f t="shared" si="469"/>
        <v>YAMAHA_Mounter</v>
      </c>
      <c r="AS1556" s="22">
        <f t="shared" si="470"/>
        <v>3</v>
      </c>
      <c r="AT1556" s="24" t="str">
        <f t="shared" si="471"/>
        <v>0-3 months</v>
      </c>
      <c r="AU1556" s="22" t="s">
        <v>3240</v>
      </c>
    </row>
    <row r="1557" spans="1:47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6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72"/>
        <v>779310.34</v>
      </c>
      <c r="AA1557" s="13">
        <v>1.1599999999999999</v>
      </c>
      <c r="AB1557" s="21">
        <f t="shared" si="456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58"/>
        <v>32843736.557277881</v>
      </c>
      <c r="AJ1557" s="19">
        <f t="shared" si="459"/>
        <v>3921470.6822663117</v>
      </c>
      <c r="AK1557" s="20">
        <f t="shared" si="466"/>
        <v>0.11939782416131177</v>
      </c>
      <c r="AL1557" s="17"/>
      <c r="AM1557" s="17"/>
      <c r="AN1557" s="17"/>
      <c r="AO1557" s="17"/>
      <c r="AP1557" s="28" t="str">
        <f t="shared" si="467"/>
        <v>20194</v>
      </c>
      <c r="AQ1557" s="28" t="str">
        <f t="shared" si="468"/>
        <v>20194RMB</v>
      </c>
      <c r="AR1557" s="206" t="str">
        <f t="shared" si="469"/>
        <v>YAMAHA_Mounter</v>
      </c>
      <c r="AS1557" s="22">
        <f t="shared" si="470"/>
        <v>10</v>
      </c>
      <c r="AT1557" s="24" t="str">
        <f t="shared" si="471"/>
        <v>&gt; 6 months</v>
      </c>
      <c r="AU1557" s="22" t="s">
        <v>3240</v>
      </c>
    </row>
    <row r="1558" spans="1:47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6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72"/>
        <v>584482.76</v>
      </c>
      <c r="AA1558" s="13">
        <v>1.1599999999999999</v>
      </c>
      <c r="AB1558" s="21">
        <f t="shared" si="456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58"/>
        <v>32843736.557277881</v>
      </c>
      <c r="AJ1558" s="19">
        <f t="shared" si="459"/>
        <v>3921470.6822663117</v>
      </c>
      <c r="AK1558" s="20">
        <f t="shared" si="466"/>
        <v>0.11939782416131177</v>
      </c>
      <c r="AL1558" s="17"/>
      <c r="AM1558" s="17"/>
      <c r="AN1558" s="17"/>
      <c r="AO1558" s="17"/>
      <c r="AP1558" s="28" t="str">
        <f t="shared" si="467"/>
        <v>20194</v>
      </c>
      <c r="AQ1558" s="28" t="str">
        <f t="shared" si="468"/>
        <v>20194RMB</v>
      </c>
      <c r="AR1558" s="206" t="str">
        <f t="shared" si="469"/>
        <v>YAMAHA_Mounter</v>
      </c>
      <c r="AS1558" s="22">
        <f t="shared" si="470"/>
        <v>10</v>
      </c>
      <c r="AT1558" s="24" t="str">
        <f t="shared" si="471"/>
        <v>&gt; 6 months</v>
      </c>
      <c r="AU1558" s="22" t="s">
        <v>3240</v>
      </c>
    </row>
    <row r="1559" spans="1:47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6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72"/>
        <v>800000</v>
      </c>
      <c r="AA1559" s="13">
        <v>1.1499999999999999</v>
      </c>
      <c r="AB1559" s="21">
        <f t="shared" si="456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58"/>
        <v>26492741.106427077</v>
      </c>
      <c r="AJ1559" s="19">
        <f t="shared" si="459"/>
        <v>3348032.1325698122</v>
      </c>
      <c r="AK1559" s="20">
        <f t="shared" si="466"/>
        <v>0.12637545201985867</v>
      </c>
      <c r="AL1559" s="17"/>
      <c r="AM1559" s="17"/>
      <c r="AN1559" s="17" t="s">
        <v>151</v>
      </c>
      <c r="AO1559" s="17"/>
      <c r="AP1559" s="28" t="str">
        <f t="shared" si="467"/>
        <v>20189</v>
      </c>
      <c r="AQ1559" s="28" t="str">
        <f t="shared" si="468"/>
        <v>20189RMB</v>
      </c>
      <c r="AR1559" s="206" t="str">
        <f t="shared" si="469"/>
        <v>YAMAHA_Mounter</v>
      </c>
      <c r="AS1559" s="22">
        <f t="shared" si="470"/>
        <v>18</v>
      </c>
      <c r="AT1559" s="24" t="str">
        <f t="shared" si="471"/>
        <v>&gt; 6 months</v>
      </c>
      <c r="AU1559" s="22" t="s">
        <v>3240</v>
      </c>
    </row>
    <row r="1560" spans="1:47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6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72"/>
        <v>450000</v>
      </c>
      <c r="AA1560" s="13">
        <v>1.1499999999999999</v>
      </c>
      <c r="AB1560" s="21">
        <f t="shared" si="456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58"/>
        <v>26492741.106427077</v>
      </c>
      <c r="AJ1560" s="19">
        <f t="shared" si="459"/>
        <v>3348032.1325698122</v>
      </c>
      <c r="AK1560" s="20">
        <f t="shared" si="466"/>
        <v>0.12637545201985867</v>
      </c>
      <c r="AL1560" s="17"/>
      <c r="AM1560" s="17"/>
      <c r="AN1560" s="17" t="s">
        <v>155</v>
      </c>
      <c r="AO1560" s="17"/>
      <c r="AP1560" s="28" t="str">
        <f t="shared" si="467"/>
        <v>20189</v>
      </c>
      <c r="AQ1560" s="28" t="str">
        <f t="shared" si="468"/>
        <v>20189RMB</v>
      </c>
      <c r="AR1560" s="206" t="str">
        <f t="shared" si="469"/>
        <v>YAMAHA_Mounter</v>
      </c>
      <c r="AS1560" s="22">
        <f t="shared" si="470"/>
        <v>18</v>
      </c>
      <c r="AT1560" s="24" t="str">
        <f t="shared" si="471"/>
        <v>&gt; 6 months</v>
      </c>
      <c r="AU1560" s="22" t="s">
        <v>3240</v>
      </c>
    </row>
    <row r="1561" spans="1:47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6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72"/>
        <v>673419</v>
      </c>
      <c r="AA1561" s="13">
        <v>1.1499999999999999</v>
      </c>
      <c r="AB1561" s="21">
        <f t="shared" si="456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58"/>
        <v>26492741.106427077</v>
      </c>
      <c r="AJ1561" s="19">
        <f t="shared" si="459"/>
        <v>3348032.1325698122</v>
      </c>
      <c r="AK1561" s="20">
        <f t="shared" si="466"/>
        <v>0.12637545201985867</v>
      </c>
      <c r="AL1561" s="17"/>
      <c r="AM1561" s="17"/>
      <c r="AN1561" s="17" t="s">
        <v>156</v>
      </c>
      <c r="AO1561" s="17"/>
      <c r="AP1561" s="28" t="str">
        <f t="shared" si="467"/>
        <v>20189</v>
      </c>
      <c r="AQ1561" s="28" t="str">
        <f t="shared" si="468"/>
        <v>20189RMB</v>
      </c>
      <c r="AR1561" s="206" t="str">
        <f t="shared" si="469"/>
        <v>YAMAHA_Mounter</v>
      </c>
      <c r="AS1561" s="22">
        <f t="shared" si="470"/>
        <v>18</v>
      </c>
      <c r="AT1561" s="24" t="str">
        <f t="shared" si="471"/>
        <v>&gt; 6 months</v>
      </c>
      <c r="AU1561" s="22" t="s">
        <v>3240</v>
      </c>
    </row>
    <row r="1562" spans="1:47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6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72"/>
        <v>930000</v>
      </c>
      <c r="AA1562" s="13">
        <v>1.163</v>
      </c>
      <c r="AB1562" s="21">
        <f t="shared" si="456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58"/>
        <v>35073581.838938057</v>
      </c>
      <c r="AJ1562" s="19">
        <f t="shared" si="459"/>
        <v>5034113.9728989396</v>
      </c>
      <c r="AK1562" s="20">
        <f t="shared" si="466"/>
        <v>0.14353007902118958</v>
      </c>
      <c r="AL1562" s="17"/>
      <c r="AM1562" s="17"/>
      <c r="AN1562" s="17"/>
      <c r="AO1562" s="17"/>
      <c r="AP1562" s="28" t="str">
        <f t="shared" si="467"/>
        <v>20228</v>
      </c>
      <c r="AQ1562" s="28" t="str">
        <f t="shared" si="468"/>
        <v>20228RMB</v>
      </c>
      <c r="AR1562" s="206" t="str">
        <f t="shared" si="469"/>
        <v>PEMTRON</v>
      </c>
      <c r="AS1562" s="22">
        <f t="shared" si="470"/>
        <v>2</v>
      </c>
      <c r="AT1562" s="24" t="str">
        <f t="shared" si="471"/>
        <v>0-3 months</v>
      </c>
      <c r="AU1562" s="22" t="s">
        <v>3240</v>
      </c>
    </row>
    <row r="1563" spans="1:47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6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72"/>
        <v>449000</v>
      </c>
      <c r="AA1563" s="13">
        <v>1.125</v>
      </c>
      <c r="AB1563" s="21">
        <f t="shared" si="456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58"/>
        <v>10785027.603448275</v>
      </c>
      <c r="AJ1563" s="19">
        <f t="shared" si="459"/>
        <v>1540894.1297982759</v>
      </c>
      <c r="AK1563" s="20">
        <f t="shared" si="466"/>
        <v>0.1428734525728621</v>
      </c>
      <c r="AL1563" s="17"/>
      <c r="AM1563" s="17"/>
      <c r="AN1563" s="17"/>
      <c r="AO1563" s="17"/>
      <c r="AP1563" s="28" t="str">
        <f t="shared" si="467"/>
        <v>201811</v>
      </c>
      <c r="AQ1563" s="28" t="str">
        <f t="shared" si="468"/>
        <v>201811RMB</v>
      </c>
      <c r="AR1563" s="206" t="str">
        <f t="shared" si="469"/>
        <v>PEMTRON</v>
      </c>
      <c r="AS1563" s="22">
        <f t="shared" si="470"/>
        <v>2</v>
      </c>
      <c r="AT1563" s="24" t="str">
        <f t="shared" si="471"/>
        <v>0-3 months</v>
      </c>
      <c r="AU1563" s="22" t="s">
        <v>3240</v>
      </c>
    </row>
    <row r="1564" spans="1:47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6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72"/>
        <v>449000</v>
      </c>
      <c r="AA1564" s="13">
        <v>1.1499999999999999</v>
      </c>
      <c r="AB1564" s="21">
        <f t="shared" si="456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58"/>
        <v>26492741.106427077</v>
      </c>
      <c r="AJ1564" s="19">
        <f t="shared" si="459"/>
        <v>3348032.1325698122</v>
      </c>
      <c r="AK1564" s="20">
        <f t="shared" si="466"/>
        <v>0.12637545201985867</v>
      </c>
      <c r="AL1564" s="17"/>
      <c r="AM1564" s="17"/>
      <c r="AN1564" s="17"/>
      <c r="AO1564" s="17"/>
      <c r="AP1564" s="28" t="str">
        <f t="shared" si="467"/>
        <v>20189</v>
      </c>
      <c r="AQ1564" s="28" t="str">
        <f t="shared" si="468"/>
        <v>20189RMB</v>
      </c>
      <c r="AR1564" s="206" t="str">
        <f t="shared" si="469"/>
        <v>PEMTRON</v>
      </c>
      <c r="AS1564" s="22">
        <f t="shared" si="470"/>
        <v>0</v>
      </c>
      <c r="AT1564" s="24" t="str">
        <f t="shared" si="471"/>
        <v>0-3 months</v>
      </c>
      <c r="AU1564" s="22" t="s">
        <v>3240</v>
      </c>
    </row>
    <row r="1565" spans="1:47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6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72"/>
        <v>221600</v>
      </c>
      <c r="AA1565" s="13">
        <v>7.8</v>
      </c>
      <c r="AB1565" s="21">
        <f t="shared" si="456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58"/>
        <v>25380121.402654871</v>
      </c>
      <c r="AJ1565" s="19">
        <f t="shared" si="459"/>
        <v>3850343.1237796471</v>
      </c>
      <c r="AK1565" s="20">
        <f t="shared" si="466"/>
        <v>0.1517070412191521</v>
      </c>
      <c r="AL1565" s="17"/>
      <c r="AM1565" s="17"/>
      <c r="AN1565" s="17"/>
      <c r="AO1565" s="17"/>
      <c r="AP1565" s="28" t="str">
        <f t="shared" si="467"/>
        <v>202112</v>
      </c>
      <c r="AQ1565" s="28" t="str">
        <f t="shared" si="468"/>
        <v>202112USD</v>
      </c>
      <c r="AR1565" s="206" t="str">
        <f t="shared" si="469"/>
        <v>HELLER</v>
      </c>
      <c r="AS1565" s="22">
        <f t="shared" si="470"/>
        <v>4</v>
      </c>
      <c r="AT1565" s="24" t="str">
        <f t="shared" si="471"/>
        <v>4-6 months</v>
      </c>
      <c r="AU1565" s="22" t="s">
        <v>3240</v>
      </c>
    </row>
    <row r="1566" spans="1:47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6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72"/>
        <v>119800</v>
      </c>
      <c r="AA1566" s="13">
        <v>7.8</v>
      </c>
      <c r="AB1566" s="21">
        <f t="shared" si="456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58"/>
        <v>25380121.402654871</v>
      </c>
      <c r="AJ1566" s="19">
        <f t="shared" si="459"/>
        <v>3850343.1237796471</v>
      </c>
      <c r="AK1566" s="20">
        <f t="shared" si="466"/>
        <v>0.1517070412191521</v>
      </c>
      <c r="AL1566" s="17"/>
      <c r="AM1566" s="17"/>
      <c r="AN1566" s="17"/>
      <c r="AO1566" s="17"/>
      <c r="AP1566" s="28" t="str">
        <f t="shared" si="467"/>
        <v>202112</v>
      </c>
      <c r="AQ1566" s="28" t="str">
        <f t="shared" si="468"/>
        <v>202112USD</v>
      </c>
      <c r="AR1566" s="206" t="str">
        <f t="shared" si="469"/>
        <v>HELLER</v>
      </c>
      <c r="AS1566" s="22">
        <f t="shared" si="470"/>
        <v>4</v>
      </c>
      <c r="AT1566" s="24" t="str">
        <f t="shared" si="471"/>
        <v>4-6 months</v>
      </c>
      <c r="AU1566" s="22" t="s">
        <v>3240</v>
      </c>
    </row>
    <row r="1567" spans="1:47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6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72"/>
        <v>221600</v>
      </c>
      <c r="AA1567" s="13">
        <v>7.8</v>
      </c>
      <c r="AB1567" s="21">
        <f t="shared" si="456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58"/>
        <v>25380121.402654871</v>
      </c>
      <c r="AJ1567" s="19">
        <f t="shared" si="459"/>
        <v>3850343.1237796471</v>
      </c>
      <c r="AK1567" s="20">
        <f t="shared" si="466"/>
        <v>0.1517070412191521</v>
      </c>
      <c r="AL1567" s="17"/>
      <c r="AM1567" s="17"/>
      <c r="AN1567" s="17"/>
      <c r="AO1567" s="17"/>
      <c r="AP1567" s="28" t="str">
        <f t="shared" si="467"/>
        <v>202112</v>
      </c>
      <c r="AQ1567" s="28" t="str">
        <f t="shared" si="468"/>
        <v>202112USD</v>
      </c>
      <c r="AR1567" s="206" t="str">
        <f t="shared" si="469"/>
        <v>HELLER</v>
      </c>
      <c r="AS1567" s="22">
        <f t="shared" si="470"/>
        <v>3</v>
      </c>
      <c r="AT1567" s="24" t="str">
        <f t="shared" si="471"/>
        <v>0-3 months</v>
      </c>
      <c r="AU1567" s="22" t="s">
        <v>3240</v>
      </c>
    </row>
    <row r="1568" spans="1:47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6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72"/>
        <v>119800</v>
      </c>
      <c r="AA1568" s="13">
        <v>7.8</v>
      </c>
      <c r="AB1568" s="21">
        <f t="shared" si="456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58"/>
        <v>25380121.402654871</v>
      </c>
      <c r="AJ1568" s="19">
        <f t="shared" si="459"/>
        <v>3850343.1237796471</v>
      </c>
      <c r="AK1568" s="20">
        <f t="shared" si="466"/>
        <v>0.1517070412191521</v>
      </c>
      <c r="AL1568" s="17"/>
      <c r="AM1568" s="17"/>
      <c r="AN1568" s="17"/>
      <c r="AO1568" s="17"/>
      <c r="AP1568" s="28" t="str">
        <f t="shared" si="467"/>
        <v>202112</v>
      </c>
      <c r="AQ1568" s="28" t="str">
        <f t="shared" si="468"/>
        <v>202112USD</v>
      </c>
      <c r="AR1568" s="206" t="str">
        <f t="shared" si="469"/>
        <v>HELLER</v>
      </c>
      <c r="AS1568" s="22">
        <f t="shared" si="470"/>
        <v>3</v>
      </c>
      <c r="AT1568" s="24" t="str">
        <f t="shared" si="471"/>
        <v>0-3 months</v>
      </c>
      <c r="AU1568" s="22" t="s">
        <v>3240</v>
      </c>
    </row>
    <row r="1569" spans="1:47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6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72"/>
        <v>328000</v>
      </c>
      <c r="AA1569" s="13">
        <v>1.1599999999999999</v>
      </c>
      <c r="AB1569" s="21">
        <f t="shared" si="456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58"/>
        <v>14593788.187146019</v>
      </c>
      <c r="AJ1569" s="19">
        <f t="shared" si="459"/>
        <v>1868647.7321969916</v>
      </c>
      <c r="AK1569" s="20">
        <f t="shared" si="466"/>
        <v>0.12804404916900652</v>
      </c>
      <c r="AL1569" s="17"/>
      <c r="AM1569" s="17"/>
      <c r="AN1569" s="17"/>
      <c r="AO1569" s="17"/>
      <c r="AP1569" s="28" t="str">
        <f t="shared" si="467"/>
        <v>20195</v>
      </c>
      <c r="AQ1569" s="28" t="str">
        <f t="shared" si="468"/>
        <v>20195RMB</v>
      </c>
      <c r="AR1569" s="206" t="str">
        <f t="shared" si="469"/>
        <v>HELLER</v>
      </c>
      <c r="AS1569" s="22">
        <f t="shared" si="470"/>
        <v>1</v>
      </c>
      <c r="AT1569" s="24" t="str">
        <f t="shared" si="471"/>
        <v>0-3 months</v>
      </c>
      <c r="AU1569" s="22" t="s">
        <v>3743</v>
      </c>
    </row>
    <row r="1570" spans="1:47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6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72"/>
        <v>342700</v>
      </c>
      <c r="AA1570" s="13">
        <v>1.1100000000000001</v>
      </c>
      <c r="AB1570" s="21">
        <f t="shared" si="456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58"/>
        <v>23168285.927433632</v>
      </c>
      <c r="AJ1570" s="19">
        <f t="shared" si="459"/>
        <v>2764878.916878053</v>
      </c>
      <c r="AK1570" s="20">
        <f t="shared" si="466"/>
        <v>0.11933895004309111</v>
      </c>
      <c r="AL1570" s="17"/>
      <c r="AM1570" s="17"/>
      <c r="AN1570" s="17"/>
      <c r="AO1570" s="17"/>
      <c r="AP1570" s="28" t="str">
        <f t="shared" si="467"/>
        <v>20203</v>
      </c>
      <c r="AQ1570" s="28" t="str">
        <f t="shared" si="468"/>
        <v>20203RMB</v>
      </c>
      <c r="AR1570" s="206" t="str">
        <f t="shared" si="469"/>
        <v>HELLER</v>
      </c>
      <c r="AS1570" s="22">
        <f t="shared" si="470"/>
        <v>2</v>
      </c>
      <c r="AT1570" s="24" t="str">
        <f t="shared" si="471"/>
        <v>0-3 months</v>
      </c>
      <c r="AU1570" s="22" t="s">
        <v>3240</v>
      </c>
    </row>
    <row r="1571" spans="1:47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6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72"/>
        <v>320000</v>
      </c>
      <c r="AA1571" s="13">
        <v>1.18</v>
      </c>
      <c r="AB1571" s="21">
        <f t="shared" si="456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58"/>
        <v>43684091.636631854</v>
      </c>
      <c r="AJ1571" s="19">
        <f t="shared" si="459"/>
        <v>6483951.8242071122</v>
      </c>
      <c r="AK1571" s="20">
        <f t="shared" si="466"/>
        <v>0.14842821680123736</v>
      </c>
      <c r="AL1571" s="17"/>
      <c r="AM1571" s="17"/>
      <c r="AN1571" s="17"/>
      <c r="AO1571" s="17"/>
      <c r="AP1571" s="28" t="str">
        <f t="shared" si="467"/>
        <v>20214</v>
      </c>
      <c r="AQ1571" s="28" t="str">
        <f t="shared" si="468"/>
        <v>20214RMB</v>
      </c>
      <c r="AR1571" s="206" t="str">
        <f t="shared" si="469"/>
        <v>HELLER</v>
      </c>
      <c r="AS1571" s="22">
        <f t="shared" si="470"/>
        <v>3</v>
      </c>
      <c r="AT1571" s="24" t="str">
        <f t="shared" si="471"/>
        <v>0-3 months</v>
      </c>
      <c r="AU1571" s="22" t="s">
        <v>3240</v>
      </c>
    </row>
    <row r="1572" spans="1:47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6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72"/>
        <v>1225156</v>
      </c>
      <c r="AA1572" s="13">
        <v>1.175</v>
      </c>
      <c r="AB1572" s="21">
        <f t="shared" si="456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58"/>
        <v>48763143.537654862</v>
      </c>
      <c r="AJ1572" s="19">
        <f t="shared" si="459"/>
        <v>5924029.9702154724</v>
      </c>
      <c r="AK1572" s="20">
        <f t="shared" si="466"/>
        <v>0.1214858095774925</v>
      </c>
      <c r="AL1572" s="17"/>
      <c r="AM1572" s="17"/>
      <c r="AN1572" s="17"/>
      <c r="AO1572" s="17"/>
      <c r="AP1572" s="28" t="str">
        <f t="shared" si="467"/>
        <v>202012</v>
      </c>
      <c r="AQ1572" s="28" t="str">
        <f t="shared" si="468"/>
        <v>202012RMB</v>
      </c>
      <c r="AR1572" s="206" t="str">
        <f t="shared" si="469"/>
        <v>YAMAHA_Mounter</v>
      </c>
      <c r="AS1572" s="22">
        <f t="shared" si="470"/>
        <v>3</v>
      </c>
      <c r="AT1572" s="24" t="str">
        <f t="shared" si="471"/>
        <v>0-3 months</v>
      </c>
      <c r="AU1572" s="22" t="s">
        <v>3240</v>
      </c>
    </row>
    <row r="1573" spans="1:47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6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72"/>
        <v>736000</v>
      </c>
      <c r="AA1573" s="13">
        <v>1.23</v>
      </c>
      <c r="AB1573" s="21">
        <f t="shared" si="456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58"/>
        <v>29288201.603076916</v>
      </c>
      <c r="AJ1573" s="19">
        <f t="shared" si="459"/>
        <v>3870159.1769246152</v>
      </c>
      <c r="AK1573" s="20">
        <f t="shared" si="466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7"/>
        <v>20184</v>
      </c>
      <c r="AQ1573" s="28" t="str">
        <f t="shared" si="468"/>
        <v>20184RMB</v>
      </c>
      <c r="AR1573" s="206" t="str">
        <f t="shared" si="469"/>
        <v>YAMAHA_Mounter</v>
      </c>
      <c r="AS1573" s="22">
        <f t="shared" si="470"/>
        <v>1</v>
      </c>
      <c r="AT1573" s="24" t="str">
        <f t="shared" si="471"/>
        <v>0-3 months</v>
      </c>
      <c r="AU1573" s="22" t="s">
        <v>3743</v>
      </c>
    </row>
    <row r="1574" spans="1:47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6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72"/>
        <v>560000</v>
      </c>
      <c r="AA1574" s="13">
        <v>1.2150000000000001</v>
      </c>
      <c r="AB1574" s="21">
        <f t="shared" si="456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58"/>
        <v>54700260.692079648</v>
      </c>
      <c r="AJ1574" s="19">
        <f t="shared" si="459"/>
        <v>7482899.5749188727</v>
      </c>
      <c r="AK1574" s="20">
        <f t="shared" si="466"/>
        <v>0.13679824337660537</v>
      </c>
      <c r="AL1574" s="17"/>
      <c r="AM1574" s="17"/>
      <c r="AN1574" s="17"/>
      <c r="AO1574" s="17"/>
      <c r="AP1574" s="28" t="str">
        <f t="shared" si="467"/>
        <v>20216</v>
      </c>
      <c r="AQ1574" s="28" t="str">
        <f t="shared" si="468"/>
        <v>20216RMB</v>
      </c>
      <c r="AR1574" s="206" t="str">
        <f t="shared" si="469"/>
        <v>YAMAHA_Mounter</v>
      </c>
      <c r="AS1574" s="22">
        <f t="shared" si="470"/>
        <v>2</v>
      </c>
      <c r="AT1574" s="24" t="str">
        <f t="shared" si="471"/>
        <v>0-3 months</v>
      </c>
      <c r="AU1574" s="22" t="s">
        <v>3750</v>
      </c>
    </row>
    <row r="1575" spans="1:47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6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72"/>
        <v>628000</v>
      </c>
      <c r="AA1575" s="13">
        <v>1.2</v>
      </c>
      <c r="AB1575" s="21">
        <f t="shared" si="456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58"/>
        <v>41443303.53761062</v>
      </c>
      <c r="AJ1575" s="19">
        <f t="shared" si="459"/>
        <v>6194988.76643031</v>
      </c>
      <c r="AK1575" s="20">
        <f t="shared" si="466"/>
        <v>0.1494810557466355</v>
      </c>
      <c r="AL1575" s="17"/>
      <c r="AM1575" s="17"/>
      <c r="AN1575" s="17"/>
      <c r="AO1575" s="17"/>
      <c r="AP1575" s="28" t="str">
        <f t="shared" si="467"/>
        <v>20217</v>
      </c>
      <c r="AQ1575" s="28" t="str">
        <f t="shared" si="468"/>
        <v>20217RMB</v>
      </c>
      <c r="AR1575" s="206" t="str">
        <f t="shared" si="469"/>
        <v>YAMAHA_Mounter</v>
      </c>
      <c r="AS1575" s="22">
        <f t="shared" si="470"/>
        <v>6</v>
      </c>
      <c r="AT1575" s="24" t="str">
        <f t="shared" si="471"/>
        <v>4-6 months</v>
      </c>
      <c r="AU1575" s="22" t="s">
        <v>3743</v>
      </c>
    </row>
    <row r="1576" spans="1:47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6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72"/>
        <v>13506107</v>
      </c>
      <c r="AA1576" s="13">
        <v>7.3499999999999996E-2</v>
      </c>
      <c r="AB1576" s="21">
        <f t="shared" si="456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58"/>
        <v>26147030.909862842</v>
      </c>
      <c r="AJ1576" s="19">
        <f t="shared" si="459"/>
        <v>2743862.8630715334</v>
      </c>
      <c r="AK1576" s="20">
        <f t="shared" si="466"/>
        <v>0.10493974908778378</v>
      </c>
      <c r="AL1576" s="17"/>
      <c r="AM1576" s="17"/>
      <c r="AN1576" s="17"/>
      <c r="AO1576" s="17"/>
      <c r="AP1576" s="28" t="str">
        <f t="shared" si="467"/>
        <v>201911</v>
      </c>
      <c r="AQ1576" s="28" t="str">
        <f t="shared" si="468"/>
        <v>201911JPY</v>
      </c>
      <c r="AR1576" s="206" t="str">
        <f t="shared" si="469"/>
        <v>YAMAHA_Mounter</v>
      </c>
      <c r="AS1576" s="22">
        <f t="shared" si="470"/>
        <v>1</v>
      </c>
      <c r="AT1576" s="24" t="str">
        <f t="shared" si="471"/>
        <v>0-3 months</v>
      </c>
      <c r="AU1576" s="22" t="s">
        <v>3240</v>
      </c>
    </row>
    <row r="1577" spans="1:47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6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72"/>
        <v>18593732</v>
      </c>
      <c r="AA1577" s="13">
        <v>7.3499999999999996E-2</v>
      </c>
      <c r="AB1577" s="21">
        <f t="shared" si="456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58"/>
        <v>26147030.909862842</v>
      </c>
      <c r="AJ1577" s="19">
        <f t="shared" si="459"/>
        <v>2743862.8630715334</v>
      </c>
      <c r="AK1577" s="20">
        <f t="shared" si="466"/>
        <v>0.10493974908778378</v>
      </c>
      <c r="AL1577" s="17"/>
      <c r="AM1577" s="17"/>
      <c r="AN1577" s="17"/>
      <c r="AO1577" s="17"/>
      <c r="AP1577" s="28" t="str">
        <f t="shared" si="467"/>
        <v>201911</v>
      </c>
      <c r="AQ1577" s="28" t="str">
        <f t="shared" si="468"/>
        <v>201911JPY</v>
      </c>
      <c r="AR1577" s="206" t="str">
        <f t="shared" si="469"/>
        <v>YAMAHA_Mounter</v>
      </c>
      <c r="AS1577" s="22">
        <f t="shared" si="470"/>
        <v>1</v>
      </c>
      <c r="AT1577" s="24" t="str">
        <f t="shared" si="471"/>
        <v>0-3 months</v>
      </c>
      <c r="AU1577" s="22" t="s">
        <v>3240</v>
      </c>
    </row>
    <row r="1578" spans="1:47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6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72"/>
        <v>897999.7</v>
      </c>
      <c r="AA1578" s="22">
        <v>1.08</v>
      </c>
      <c r="AB1578" s="197">
        <f t="shared" si="456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58"/>
        <v>27308925.887079656</v>
      </c>
      <c r="AJ1578" s="200">
        <f t="shared" si="459"/>
        <v>3319273.860338124</v>
      </c>
      <c r="AK1578" s="201">
        <f t="shared" si="466"/>
        <v>0.12154538314919709</v>
      </c>
      <c r="AL1578" s="24"/>
      <c r="AM1578" s="24"/>
      <c r="AN1578" s="24"/>
      <c r="AO1578" s="24"/>
      <c r="AP1578" s="105" t="str">
        <f t="shared" si="467"/>
        <v>20246</v>
      </c>
      <c r="AQ1578" s="28" t="str">
        <f t="shared" si="468"/>
        <v>20246RMB</v>
      </c>
      <c r="AR1578" s="206" t="str">
        <f t="shared" si="469"/>
        <v>YAMAHA_Mounter</v>
      </c>
      <c r="AS1578" s="22">
        <f t="shared" si="470"/>
        <v>1</v>
      </c>
      <c r="AT1578" s="24" t="str">
        <f t="shared" si="471"/>
        <v>0-3 months</v>
      </c>
      <c r="AU1578" s="22" t="s">
        <v>3750</v>
      </c>
    </row>
    <row r="1579" spans="1:47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6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72"/>
        <v>6565000</v>
      </c>
      <c r="AA1579" s="13">
        <v>7.4899999999999994E-2</v>
      </c>
      <c r="AB1579" s="21">
        <f t="shared" si="456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58"/>
        <v>47907808.356810622</v>
      </c>
      <c r="AJ1579" s="19">
        <f t="shared" si="459"/>
        <v>6027384.8806384448</v>
      </c>
      <c r="AK1579" s="20">
        <f t="shared" si="466"/>
        <v>0.12581216063459488</v>
      </c>
      <c r="AL1579" s="17"/>
      <c r="AM1579" s="17"/>
      <c r="AN1579" s="17"/>
      <c r="AO1579" s="17"/>
      <c r="AP1579" s="28" t="str">
        <f t="shared" si="467"/>
        <v>20209</v>
      </c>
      <c r="AQ1579" s="28" t="str">
        <f t="shared" si="468"/>
        <v>20209JPY</v>
      </c>
      <c r="AR1579" s="206" t="str">
        <f t="shared" si="469"/>
        <v>YAMAHA_Mounter</v>
      </c>
      <c r="AS1579" s="22">
        <f t="shared" si="470"/>
        <v>2</v>
      </c>
      <c r="AT1579" s="24" t="str">
        <f t="shared" si="471"/>
        <v>0-3 months</v>
      </c>
      <c r="AU1579" s="22" t="s">
        <v>3744</v>
      </c>
    </row>
    <row r="1580" spans="1:47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6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72"/>
        <v>6565000</v>
      </c>
      <c r="AA1580" s="13">
        <v>7.4899999999999994E-2</v>
      </c>
      <c r="AB1580" s="21">
        <f t="shared" si="456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58"/>
        <v>47907808.356810622</v>
      </c>
      <c r="AJ1580" s="19">
        <f t="shared" si="459"/>
        <v>6027384.8806384448</v>
      </c>
      <c r="AK1580" s="20">
        <f t="shared" si="466"/>
        <v>0.12581216063459488</v>
      </c>
      <c r="AL1580" s="17"/>
      <c r="AM1580" s="17"/>
      <c r="AN1580" s="17"/>
      <c r="AO1580" s="17"/>
      <c r="AP1580" s="28" t="str">
        <f t="shared" si="467"/>
        <v>20209</v>
      </c>
      <c r="AQ1580" s="28" t="str">
        <f t="shared" si="468"/>
        <v>20209JPY</v>
      </c>
      <c r="AR1580" s="206" t="str">
        <f t="shared" si="469"/>
        <v>YAMAHA_Mounter</v>
      </c>
      <c r="AS1580" s="22">
        <f t="shared" si="470"/>
        <v>2</v>
      </c>
      <c r="AT1580" s="24" t="str">
        <f t="shared" si="471"/>
        <v>0-3 months</v>
      </c>
      <c r="AU1580" s="22" t="s">
        <v>3744</v>
      </c>
    </row>
    <row r="1581" spans="1:47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6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73">IF(W1581="RMB","1.13", "1")</f>
        <v>1.13</v>
      </c>
      <c r="Z1581" s="18">
        <f t="shared" si="472"/>
        <v>850000</v>
      </c>
      <c r="AA1581" s="13">
        <v>1.22</v>
      </c>
      <c r="AB1581" s="21">
        <f t="shared" si="456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58"/>
        <v>26407088.359292038</v>
      </c>
      <c r="AJ1581" s="19">
        <f t="shared" si="459"/>
        <v>3424510.6998470789</v>
      </c>
      <c r="AK1581" s="20">
        <f t="shared" si="466"/>
        <v>0.12968149510667554</v>
      </c>
      <c r="AL1581" s="17"/>
      <c r="AM1581" s="17"/>
      <c r="AN1581" s="17"/>
      <c r="AO1581" s="17"/>
      <c r="AP1581" s="28" t="str">
        <f t="shared" si="467"/>
        <v>20221</v>
      </c>
      <c r="AQ1581" s="28" t="str">
        <f t="shared" si="468"/>
        <v>20221RMB</v>
      </c>
      <c r="AR1581" s="206" t="str">
        <f t="shared" si="469"/>
        <v>YAMAHA_Mounter</v>
      </c>
      <c r="AS1581" s="22">
        <f t="shared" si="470"/>
        <v>1</v>
      </c>
      <c r="AT1581" s="24" t="str">
        <f t="shared" si="471"/>
        <v>0-3 months</v>
      </c>
      <c r="AU1581" s="22" t="s">
        <v>3750</v>
      </c>
    </row>
    <row r="1582" spans="1:47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6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73"/>
        <v>1.13</v>
      </c>
      <c r="Z1582" s="18">
        <f t="shared" si="472"/>
        <v>548800</v>
      </c>
      <c r="AA1582" s="13">
        <v>1.22</v>
      </c>
      <c r="AB1582" s="21">
        <f t="shared" si="456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58"/>
        <v>31750699.113741599</v>
      </c>
      <c r="AJ1582" s="19">
        <f t="shared" si="459"/>
        <v>4396077.3195289988</v>
      </c>
      <c r="AK1582" s="20">
        <f t="shared" si="466"/>
        <v>0.13845607946397598</v>
      </c>
      <c r="AL1582" s="17"/>
      <c r="AM1582" s="17"/>
      <c r="AN1582" s="17"/>
      <c r="AO1582" s="17"/>
      <c r="AP1582" s="28" t="str">
        <f t="shared" si="467"/>
        <v>20222</v>
      </c>
      <c r="AQ1582" s="28" t="str">
        <f t="shared" si="468"/>
        <v>20222RMB</v>
      </c>
      <c r="AR1582" s="206" t="str">
        <f t="shared" si="469"/>
        <v>YAMAHA_Mounter</v>
      </c>
      <c r="AS1582" s="22">
        <f t="shared" si="470"/>
        <v>2</v>
      </c>
      <c r="AT1582" s="24" t="str">
        <f t="shared" si="471"/>
        <v>0-3 months</v>
      </c>
      <c r="AU1582" s="22" t="s">
        <v>3750</v>
      </c>
    </row>
    <row r="1583" spans="1:47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6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6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73"/>
        <v>1</v>
      </c>
      <c r="Z1583" s="18">
        <f t="shared" si="472"/>
        <v>13240000</v>
      </c>
      <c r="AA1583" s="13">
        <v>7.0000000000000007E-2</v>
      </c>
      <c r="AB1583" s="21">
        <f t="shared" si="456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58"/>
        <v>499582152.5142017</v>
      </c>
      <c r="AJ1583" s="19">
        <f t="shared" si="459"/>
        <v>59520528.679470733</v>
      </c>
      <c r="AK1583" s="20">
        <f t="shared" si="466"/>
        <v>0.11914062257814291</v>
      </c>
      <c r="AL1583" s="17"/>
      <c r="AM1583" s="17"/>
      <c r="AN1583" s="17"/>
      <c r="AO1583" s="17"/>
      <c r="AP1583" s="28" t="str">
        <f t="shared" si="467"/>
        <v>CancelCancel</v>
      </c>
      <c r="AQ1583" s="28" t="str">
        <f t="shared" si="468"/>
        <v>CancelCancelJPY</v>
      </c>
      <c r="AR1583" s="206" t="str">
        <f t="shared" si="469"/>
        <v>YAMAHA_Mounter</v>
      </c>
      <c r="AS1583" s="22" t="str">
        <f t="shared" si="470"/>
        <v/>
      </c>
      <c r="AT1583" s="24" t="str">
        <f t="shared" si="471"/>
        <v/>
      </c>
      <c r="AU1583" s="22" t="s">
        <v>3750</v>
      </c>
    </row>
    <row r="1584" spans="1:47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6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6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73"/>
        <v>1</v>
      </c>
      <c r="Z1584" s="18">
        <f t="shared" si="472"/>
        <v>8000000</v>
      </c>
      <c r="AA1584" s="13">
        <v>7.0000000000000007E-2</v>
      </c>
      <c r="AB1584" s="21">
        <f t="shared" si="456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58"/>
        <v>499582152.5142017</v>
      </c>
      <c r="AJ1584" s="19">
        <f t="shared" si="459"/>
        <v>59520528.679470733</v>
      </c>
      <c r="AK1584" s="20">
        <f t="shared" si="466"/>
        <v>0.11914062257814291</v>
      </c>
      <c r="AL1584" s="17"/>
      <c r="AM1584" s="17"/>
      <c r="AN1584" s="17"/>
      <c r="AO1584" s="17"/>
      <c r="AP1584" s="28" t="str">
        <f t="shared" si="467"/>
        <v>CancelCancel</v>
      </c>
      <c r="AQ1584" s="28" t="str">
        <f t="shared" si="468"/>
        <v>CancelCancelJPY</v>
      </c>
      <c r="AR1584" s="206" t="str">
        <f t="shared" si="469"/>
        <v>YAMAHA_Mounter</v>
      </c>
      <c r="AS1584" s="22" t="str">
        <f t="shared" si="470"/>
        <v/>
      </c>
      <c r="AT1584" s="24" t="str">
        <f t="shared" si="471"/>
        <v/>
      </c>
      <c r="AU1584" s="22" t="s">
        <v>3744</v>
      </c>
    </row>
    <row r="1585" spans="1:47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6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73"/>
        <v>1.13</v>
      </c>
      <c r="Z1585" s="18">
        <f t="shared" si="472"/>
        <v>285000</v>
      </c>
      <c r="AA1585" s="13">
        <v>1.105</v>
      </c>
      <c r="AB1585" s="21">
        <f t="shared" si="456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58"/>
        <v>13640480.497522123</v>
      </c>
      <c r="AJ1585" s="19">
        <f t="shared" si="459"/>
        <v>1928605.8020906283</v>
      </c>
      <c r="AK1585" s="20">
        <f t="shared" si="466"/>
        <v>0.1413884065477731</v>
      </c>
      <c r="AL1585" s="17"/>
      <c r="AM1585" s="17"/>
      <c r="AN1585" s="17"/>
      <c r="AO1585" s="17"/>
      <c r="AP1585" s="28" t="str">
        <f t="shared" si="467"/>
        <v>20236</v>
      </c>
      <c r="AQ1585" s="28" t="str">
        <f t="shared" si="468"/>
        <v>20236RMB</v>
      </c>
      <c r="AR1585" s="206" t="str">
        <f t="shared" si="469"/>
        <v>YAMAHA_Mounter</v>
      </c>
      <c r="AS1585" s="22">
        <f t="shared" si="470"/>
        <v>1</v>
      </c>
      <c r="AT1585" s="24" t="str">
        <f t="shared" si="471"/>
        <v>0-3 months</v>
      </c>
      <c r="AU1585" s="22" t="s">
        <v>3240</v>
      </c>
    </row>
    <row r="1586" spans="1:47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6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73"/>
        <v>1.13</v>
      </c>
      <c r="Z1586" s="18">
        <f t="shared" si="472"/>
        <v>285000</v>
      </c>
      <c r="AA1586" s="13">
        <v>1.07</v>
      </c>
      <c r="AB1586" s="21">
        <f t="shared" si="456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58"/>
        <v>11730565.00042478</v>
      </c>
      <c r="AJ1586" s="19">
        <f t="shared" si="459"/>
        <v>1439625.5685810833</v>
      </c>
      <c r="AK1586" s="20">
        <f t="shared" si="466"/>
        <v>0.12272431622253084</v>
      </c>
      <c r="AL1586" s="17"/>
      <c r="AM1586" s="17"/>
      <c r="AN1586" s="17"/>
      <c r="AO1586" s="17"/>
      <c r="AP1586" s="28" t="str">
        <f t="shared" si="467"/>
        <v>202311</v>
      </c>
      <c r="AQ1586" s="28" t="str">
        <f t="shared" si="468"/>
        <v>202311RMB</v>
      </c>
      <c r="AR1586" s="206" t="str">
        <f t="shared" si="469"/>
        <v>YAMAHA_Mounter</v>
      </c>
      <c r="AS1586" s="22">
        <f t="shared" si="470"/>
        <v>6</v>
      </c>
      <c r="AT1586" s="24" t="str">
        <f t="shared" si="471"/>
        <v>4-6 months</v>
      </c>
      <c r="AU1586" s="22" t="s">
        <v>3240</v>
      </c>
    </row>
    <row r="1587" spans="1:47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6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72"/>
        <v>601800</v>
      </c>
      <c r="AA1587" s="13">
        <v>1.18</v>
      </c>
      <c r="AB1587" s="21">
        <f t="shared" si="456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58"/>
        <v>29946107.503386207</v>
      </c>
      <c r="AJ1587" s="19">
        <f t="shared" si="459"/>
        <v>3987206.4954923098</v>
      </c>
      <c r="AK1587" s="20">
        <f t="shared" si="466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67"/>
        <v>20187</v>
      </c>
      <c r="AQ1587" s="28" t="str">
        <f t="shared" si="468"/>
        <v>20187RMB</v>
      </c>
      <c r="AR1587" s="206" t="str">
        <f t="shared" si="469"/>
        <v>YAMAHA_Mounter</v>
      </c>
      <c r="AS1587" s="22">
        <f t="shared" si="470"/>
        <v>5</v>
      </c>
      <c r="AT1587" s="24" t="str">
        <f t="shared" si="471"/>
        <v>4-6 months</v>
      </c>
      <c r="AU1587" s="22" t="s">
        <v>3240</v>
      </c>
    </row>
    <row r="1588" spans="1:47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6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72"/>
        <v>1861774</v>
      </c>
      <c r="AA1588" s="13">
        <v>1.18</v>
      </c>
      <c r="AB1588" s="21">
        <f t="shared" si="456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58"/>
        <v>29946107.503386207</v>
      </c>
      <c r="AJ1588" s="19">
        <f t="shared" si="459"/>
        <v>3987206.4954923098</v>
      </c>
      <c r="AK1588" s="20">
        <f t="shared" si="466"/>
        <v>0.13314606898547499</v>
      </c>
      <c r="AL1588" s="17"/>
      <c r="AM1588" s="17"/>
      <c r="AN1588" s="17"/>
      <c r="AO1588" s="17"/>
      <c r="AP1588" s="28" t="str">
        <f t="shared" si="467"/>
        <v>20187</v>
      </c>
      <c r="AQ1588" s="28" t="str">
        <f t="shared" si="468"/>
        <v>20187RMB</v>
      </c>
      <c r="AR1588" s="206" t="str">
        <f t="shared" si="469"/>
        <v>YAMAHA_Mounter</v>
      </c>
      <c r="AS1588" s="22">
        <f t="shared" si="470"/>
        <v>2</v>
      </c>
      <c r="AT1588" s="24" t="str">
        <f t="shared" si="471"/>
        <v>0-3 months</v>
      </c>
      <c r="AU1588" s="22" t="s">
        <v>3240</v>
      </c>
    </row>
    <row r="1589" spans="1:47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6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72"/>
        <v>1907200</v>
      </c>
      <c r="AA1589" s="13">
        <v>1.23</v>
      </c>
      <c r="AB1589" s="21">
        <f t="shared" si="456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58"/>
        <v>29288201.603076916</v>
      </c>
      <c r="AJ1589" s="19">
        <f t="shared" si="459"/>
        <v>3870159.1769246152</v>
      </c>
      <c r="AK1589" s="20">
        <f t="shared" si="466"/>
        <v>0.13214055370740244</v>
      </c>
      <c r="AL1589" s="17"/>
      <c r="AM1589" s="17"/>
      <c r="AN1589" s="17"/>
      <c r="AO1589" s="17"/>
      <c r="AP1589" s="28" t="str">
        <f t="shared" si="467"/>
        <v>20184</v>
      </c>
      <c r="AQ1589" s="28" t="str">
        <f t="shared" si="468"/>
        <v>20184RMB</v>
      </c>
      <c r="AR1589" s="206" t="str">
        <f t="shared" si="469"/>
        <v>YAMAHA_Mounter</v>
      </c>
      <c r="AS1589" s="22" t="str">
        <f t="shared" si="470"/>
        <v/>
      </c>
      <c r="AT1589" s="24" t="str">
        <f t="shared" si="471"/>
        <v/>
      </c>
      <c r="AU1589" s="22" t="s">
        <v>3240</v>
      </c>
    </row>
    <row r="1590" spans="1:47" s="12" customFormat="1">
      <c r="A1590" s="33" t="str">
        <f t="shared" si="460"/>
        <v>cancel</v>
      </c>
      <c r="B1590" s="152"/>
      <c r="C1590" s="152" t="s">
        <v>185</v>
      </c>
      <c r="D1590" s="33" t="str">
        <f t="shared" si="46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6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6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72"/>
        <v>675821.4</v>
      </c>
      <c r="AA1590" s="13">
        <v>1.123</v>
      </c>
      <c r="AB1590" s="21">
        <f t="shared" ref="AB1590:AB1653" si="474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58"/>
        <v>499582152.5142017</v>
      </c>
      <c r="AJ1590" s="19">
        <f t="shared" si="459"/>
        <v>59520528.679470733</v>
      </c>
      <c r="AK1590" s="20">
        <f t="shared" si="466"/>
        <v>0.11914062257814291</v>
      </c>
      <c r="AL1590" s="17"/>
      <c r="AM1590" s="17"/>
      <c r="AN1590" s="17"/>
      <c r="AO1590" s="17"/>
      <c r="AP1590" s="28" t="str">
        <f t="shared" si="467"/>
        <v>CancelCancel</v>
      </c>
      <c r="AQ1590" s="28" t="str">
        <f t="shared" si="468"/>
        <v>CancelCancelRMB</v>
      </c>
      <c r="AR1590" s="206" t="str">
        <f t="shared" si="469"/>
        <v>YAMAHA_Mounter</v>
      </c>
      <c r="AS1590" s="22" t="str">
        <f t="shared" si="470"/>
        <v/>
      </c>
      <c r="AT1590" s="24" t="str">
        <f t="shared" si="471"/>
        <v/>
      </c>
      <c r="AU1590" s="22" t="s">
        <v>3240</v>
      </c>
    </row>
    <row r="1591" spans="1:47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6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72"/>
        <v>1700000</v>
      </c>
      <c r="AA1591" s="13">
        <v>1.1599999999999999</v>
      </c>
      <c r="AB1591" s="21">
        <f t="shared" si="474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58"/>
        <v>14593788.187146019</v>
      </c>
      <c r="AJ1591" s="19">
        <f t="shared" si="459"/>
        <v>1868647.7321969916</v>
      </c>
      <c r="AK1591" s="20">
        <f t="shared" si="466"/>
        <v>0.12804404916900652</v>
      </c>
      <c r="AL1591" s="17"/>
      <c r="AM1591" s="17"/>
      <c r="AN1591" s="17"/>
      <c r="AO1591" s="17" t="s">
        <v>880</v>
      </c>
      <c r="AP1591" s="28" t="str">
        <f t="shared" si="467"/>
        <v>20195</v>
      </c>
      <c r="AQ1591" s="28" t="str">
        <f t="shared" si="468"/>
        <v>20195RMB</v>
      </c>
      <c r="AR1591" s="206" t="str">
        <f t="shared" si="469"/>
        <v>YAMAHA_Mounter</v>
      </c>
      <c r="AS1591" s="22">
        <f t="shared" si="470"/>
        <v>2</v>
      </c>
      <c r="AT1591" s="24" t="str">
        <f t="shared" si="471"/>
        <v>0-3 months</v>
      </c>
      <c r="AU1591" s="22" t="s">
        <v>3240</v>
      </c>
    </row>
    <row r="1592" spans="1:47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6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72"/>
        <v>1410000</v>
      </c>
      <c r="AA1592" s="13">
        <v>1.1599999999999999</v>
      </c>
      <c r="AB1592" s="21">
        <f t="shared" si="474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58"/>
        <v>14593788.187146019</v>
      </c>
      <c r="AJ1592" s="19">
        <f t="shared" si="459"/>
        <v>1868647.7321969916</v>
      </c>
      <c r="AK1592" s="20">
        <f t="shared" si="466"/>
        <v>0.12804404916900652</v>
      </c>
      <c r="AL1592" s="17"/>
      <c r="AM1592" s="17"/>
      <c r="AN1592" s="17"/>
      <c r="AO1592" s="17" t="s">
        <v>880</v>
      </c>
      <c r="AP1592" s="28" t="str">
        <f t="shared" si="467"/>
        <v>20195</v>
      </c>
      <c r="AQ1592" s="28" t="str">
        <f t="shared" si="468"/>
        <v>20195RMB</v>
      </c>
      <c r="AR1592" s="206" t="str">
        <f t="shared" si="469"/>
        <v>YAMAHA_Mounter</v>
      </c>
      <c r="AS1592" s="22">
        <f t="shared" si="470"/>
        <v>2</v>
      </c>
      <c r="AT1592" s="24" t="str">
        <f t="shared" si="471"/>
        <v>0-3 months</v>
      </c>
      <c r="AU1592" s="22" t="s">
        <v>3240</v>
      </c>
    </row>
    <row r="1593" spans="1:47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6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72"/>
        <v>754000</v>
      </c>
      <c r="AA1593" s="13">
        <v>1.135</v>
      </c>
      <c r="AB1593" s="21">
        <f t="shared" si="474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58"/>
        <v>28177779.013274338</v>
      </c>
      <c r="AJ1593" s="19">
        <f t="shared" si="459"/>
        <v>4727216.6376190251</v>
      </c>
      <c r="AK1593" s="20">
        <f t="shared" si="466"/>
        <v>0.1677639900359808</v>
      </c>
      <c r="AL1593" s="17"/>
      <c r="AM1593" s="17"/>
      <c r="AN1593" s="17"/>
      <c r="AO1593" s="17"/>
      <c r="AP1593" s="28" t="str">
        <f t="shared" si="467"/>
        <v>20235</v>
      </c>
      <c r="AQ1593" s="28" t="str">
        <f t="shared" si="468"/>
        <v>20235RMB</v>
      </c>
      <c r="AR1593" s="206" t="str">
        <f t="shared" si="469"/>
        <v>YAMAHA_Mounter</v>
      </c>
      <c r="AS1593" s="22">
        <f t="shared" si="470"/>
        <v>3</v>
      </c>
      <c r="AT1593" s="24" t="str">
        <f t="shared" si="471"/>
        <v>0-3 months</v>
      </c>
      <c r="AU1593" s="22" t="s">
        <v>3240</v>
      </c>
    </row>
    <row r="1594" spans="1:47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6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72"/>
        <v>754000</v>
      </c>
      <c r="AA1594" s="13">
        <v>1.135</v>
      </c>
      <c r="AB1594" s="21">
        <f t="shared" si="474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58"/>
        <v>28177779.013274338</v>
      </c>
      <c r="AJ1594" s="19">
        <f t="shared" si="459"/>
        <v>4727216.6376190251</v>
      </c>
      <c r="AK1594" s="20">
        <f t="shared" si="466"/>
        <v>0.1677639900359808</v>
      </c>
      <c r="AL1594" s="17"/>
      <c r="AM1594" s="17"/>
      <c r="AN1594" s="17"/>
      <c r="AO1594" s="17"/>
      <c r="AP1594" s="28" t="str">
        <f t="shared" si="467"/>
        <v>20235</v>
      </c>
      <c r="AQ1594" s="28" t="str">
        <f t="shared" si="468"/>
        <v>20235RMB</v>
      </c>
      <c r="AR1594" s="206" t="str">
        <f t="shared" si="469"/>
        <v>YAMAHA_Mounter</v>
      </c>
      <c r="AS1594" s="22">
        <f t="shared" si="470"/>
        <v>3</v>
      </c>
      <c r="AT1594" s="24" t="str">
        <f t="shared" si="471"/>
        <v>0-3 months</v>
      </c>
      <c r="AU1594" s="22" t="s">
        <v>3240</v>
      </c>
    </row>
    <row r="1595" spans="1:47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6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72"/>
        <v>800000</v>
      </c>
      <c r="AA1595" s="13">
        <v>1.135</v>
      </c>
      <c r="AB1595" s="21">
        <f t="shared" si="474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58"/>
        <v>28177779.013274338</v>
      </c>
      <c r="AJ1595" s="19">
        <f t="shared" si="459"/>
        <v>4727216.6376190251</v>
      </c>
      <c r="AK1595" s="20">
        <f t="shared" si="466"/>
        <v>0.1677639900359808</v>
      </c>
      <c r="AL1595" s="17"/>
      <c r="AM1595" s="17"/>
      <c r="AN1595" s="17"/>
      <c r="AO1595" s="17"/>
      <c r="AP1595" s="28" t="str">
        <f t="shared" si="467"/>
        <v>20235</v>
      </c>
      <c r="AQ1595" s="28" t="str">
        <f t="shared" si="468"/>
        <v>20235RMB</v>
      </c>
      <c r="AR1595" s="206" t="str">
        <f t="shared" si="469"/>
        <v>YAMAHA_Mounter</v>
      </c>
      <c r="AS1595" s="22">
        <f t="shared" si="470"/>
        <v>3</v>
      </c>
      <c r="AT1595" s="24" t="str">
        <f t="shared" si="471"/>
        <v>0-3 months</v>
      </c>
      <c r="AU1595" s="22" t="s">
        <v>3240</v>
      </c>
    </row>
    <row r="1596" spans="1:47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6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72"/>
        <v>800000</v>
      </c>
      <c r="AA1596" s="13">
        <v>1.135</v>
      </c>
      <c r="AB1596" s="21">
        <f t="shared" si="474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58"/>
        <v>28177779.013274338</v>
      </c>
      <c r="AJ1596" s="19">
        <f t="shared" si="459"/>
        <v>4727216.6376190251</v>
      </c>
      <c r="AK1596" s="20">
        <f t="shared" si="466"/>
        <v>0.1677639900359808</v>
      </c>
      <c r="AL1596" s="17"/>
      <c r="AM1596" s="17"/>
      <c r="AN1596" s="17"/>
      <c r="AO1596" s="17"/>
      <c r="AP1596" s="28" t="str">
        <f t="shared" si="467"/>
        <v>20235</v>
      </c>
      <c r="AQ1596" s="28" t="str">
        <f t="shared" si="468"/>
        <v>20235RMB</v>
      </c>
      <c r="AR1596" s="206" t="str">
        <f t="shared" si="469"/>
        <v>YAMAHA_Mounter</v>
      </c>
      <c r="AS1596" s="22">
        <f t="shared" si="470"/>
        <v>3</v>
      </c>
      <c r="AT1596" s="24" t="str">
        <f t="shared" si="471"/>
        <v>0-3 months</v>
      </c>
      <c r="AU1596" s="22" t="s">
        <v>3240</v>
      </c>
    </row>
    <row r="1597" spans="1:47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6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72"/>
        <v>615000</v>
      </c>
      <c r="AA1597" s="13">
        <v>1.18</v>
      </c>
      <c r="AB1597" s="21">
        <f t="shared" si="474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58"/>
        <v>29946107.503386207</v>
      </c>
      <c r="AJ1597" s="19">
        <f t="shared" si="459"/>
        <v>3987206.4954923098</v>
      </c>
      <c r="AK1597" s="20">
        <f t="shared" si="466"/>
        <v>0.13314606898547499</v>
      </c>
      <c r="AL1597" s="17"/>
      <c r="AM1597" s="17"/>
      <c r="AN1597" s="17"/>
      <c r="AO1597" s="17"/>
      <c r="AP1597" s="28" t="str">
        <f t="shared" si="467"/>
        <v>20187</v>
      </c>
      <c r="AQ1597" s="28" t="str">
        <f t="shared" si="468"/>
        <v>20187RMB</v>
      </c>
      <c r="AR1597" s="206" t="str">
        <f t="shared" si="469"/>
        <v>YAMAHA_Mounter</v>
      </c>
      <c r="AS1597" s="22">
        <f t="shared" si="470"/>
        <v>1</v>
      </c>
      <c r="AT1597" s="24" t="str">
        <f t="shared" si="471"/>
        <v>0-3 months</v>
      </c>
      <c r="AU1597" s="22" t="s">
        <v>3240</v>
      </c>
    </row>
    <row r="1598" spans="1:47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6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72"/>
        <v>1088000</v>
      </c>
      <c r="AA1598" s="13">
        <v>1.18</v>
      </c>
      <c r="AB1598" s="21">
        <f t="shared" si="474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58"/>
        <v>29946107.503386207</v>
      </c>
      <c r="AJ1598" s="19">
        <f t="shared" si="459"/>
        <v>3987206.4954923098</v>
      </c>
      <c r="AK1598" s="20">
        <f t="shared" si="466"/>
        <v>0.13314606898547499</v>
      </c>
      <c r="AL1598" s="17"/>
      <c r="AM1598" s="17"/>
      <c r="AN1598" s="17"/>
      <c r="AO1598" s="17"/>
      <c r="AP1598" s="28" t="str">
        <f t="shared" si="467"/>
        <v>20187</v>
      </c>
      <c r="AQ1598" s="28" t="str">
        <f t="shared" si="468"/>
        <v>20187RMB</v>
      </c>
      <c r="AR1598" s="206" t="str">
        <f t="shared" si="469"/>
        <v>YAMAHA_Mounter</v>
      </c>
      <c r="AS1598" s="22">
        <f t="shared" si="470"/>
        <v>2</v>
      </c>
      <c r="AT1598" s="24" t="str">
        <f t="shared" si="471"/>
        <v>0-3 months</v>
      </c>
      <c r="AU1598" s="22" t="s">
        <v>3240</v>
      </c>
    </row>
    <row r="1599" spans="1:47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6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72"/>
        <v>598000</v>
      </c>
      <c r="AA1599" s="13">
        <v>1.18</v>
      </c>
      <c r="AB1599" s="21">
        <f t="shared" si="474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58"/>
        <v>43684091.636631854</v>
      </c>
      <c r="AJ1599" s="19">
        <f t="shared" si="459"/>
        <v>6483951.8242071122</v>
      </c>
      <c r="AK1599" s="20">
        <f t="shared" si="466"/>
        <v>0.14842821680123736</v>
      </c>
      <c r="AL1599" s="17"/>
      <c r="AM1599" s="17"/>
      <c r="AN1599" s="17"/>
      <c r="AO1599" s="17"/>
      <c r="AP1599" s="28" t="str">
        <f t="shared" si="467"/>
        <v>20214</v>
      </c>
      <c r="AQ1599" s="28" t="str">
        <f t="shared" si="468"/>
        <v>20214RMB</v>
      </c>
      <c r="AR1599" s="206" t="str">
        <f t="shared" si="469"/>
        <v>YAMAHA_Mounter</v>
      </c>
      <c r="AS1599" s="22">
        <f t="shared" si="470"/>
        <v>2</v>
      </c>
      <c r="AT1599" s="24" t="str">
        <f t="shared" si="471"/>
        <v>0-3 months</v>
      </c>
      <c r="AU1599" s="22" t="s">
        <v>3240</v>
      </c>
    </row>
    <row r="1600" spans="1:47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6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72"/>
        <v>800000</v>
      </c>
      <c r="AA1600" s="13">
        <v>1.18</v>
      </c>
      <c r="AB1600" s="21">
        <f t="shared" si="474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58"/>
        <v>43684091.636631854</v>
      </c>
      <c r="AJ1600" s="19">
        <f t="shared" si="459"/>
        <v>6483951.8242071122</v>
      </c>
      <c r="AK1600" s="20">
        <f t="shared" si="466"/>
        <v>0.14842821680123736</v>
      </c>
      <c r="AL1600" s="17"/>
      <c r="AM1600" s="17"/>
      <c r="AN1600" s="17"/>
      <c r="AO1600" s="17"/>
      <c r="AP1600" s="28" t="str">
        <f t="shared" si="467"/>
        <v>20214</v>
      </c>
      <c r="AQ1600" s="28" t="str">
        <f t="shared" si="468"/>
        <v>20214RMB</v>
      </c>
      <c r="AR1600" s="206" t="str">
        <f t="shared" si="469"/>
        <v>YAMAHA_Mounter</v>
      </c>
      <c r="AS1600" s="22">
        <f t="shared" si="470"/>
        <v>2</v>
      </c>
      <c r="AT1600" s="24" t="str">
        <f t="shared" si="471"/>
        <v>0-3 months</v>
      </c>
      <c r="AU1600" s="22" t="s">
        <v>3240</v>
      </c>
    </row>
    <row r="1601" spans="1:47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6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72"/>
        <v>11000000</v>
      </c>
      <c r="AA1601" s="13">
        <v>5.0999999999999997E-2</v>
      </c>
      <c r="AB1601" s="21">
        <f t="shared" si="474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58"/>
        <v>27308925.887079656</v>
      </c>
      <c r="AJ1601" s="27">
        <f t="shared" si="459"/>
        <v>3319273.860338124</v>
      </c>
      <c r="AK1601" s="28">
        <f t="shared" si="466"/>
        <v>0.12154538314919709</v>
      </c>
      <c r="AL1601" s="24"/>
      <c r="AM1601" s="24"/>
      <c r="AN1601" s="24"/>
      <c r="AO1601" s="24"/>
      <c r="AP1601" s="28" t="str">
        <f t="shared" si="467"/>
        <v>20246</v>
      </c>
      <c r="AQ1601" s="28" t="str">
        <f t="shared" si="468"/>
        <v>20246JPY</v>
      </c>
      <c r="AR1601" s="206" t="str">
        <f t="shared" si="469"/>
        <v>YAMAHA_Mounter</v>
      </c>
      <c r="AS1601" s="22">
        <f t="shared" si="470"/>
        <v>3</v>
      </c>
      <c r="AT1601" s="24" t="str">
        <f t="shared" si="471"/>
        <v>0-3 months</v>
      </c>
      <c r="AU1601" s="22" t="s">
        <v>3744</v>
      </c>
    </row>
    <row r="1602" spans="1:47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6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72"/>
        <v>11000000</v>
      </c>
      <c r="AA1602" s="13">
        <v>5.0999999999999997E-2</v>
      </c>
      <c r="AB1602" s="21">
        <f t="shared" si="474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ref="AI1602:AI1665" si="475">IF(P1602="C66 SERVICE","",SUMIFS(AB:AB,F:F,F1602,G:G,G1602,E:E,E1602))</f>
        <v>27308925.887079656</v>
      </c>
      <c r="AJ1602" s="27">
        <f t="shared" ref="AJ1602:AJ1665" si="476">IF(P1602="C66 SERVICE","",SUMIFS(AC:AC,F:F,F1602,G:G,G1602,E:E,E1602))</f>
        <v>3319273.860338124</v>
      </c>
      <c r="AK1602" s="28">
        <f t="shared" si="466"/>
        <v>0.12154538314919709</v>
      </c>
      <c r="AL1602" s="24"/>
      <c r="AM1602" s="24"/>
      <c r="AN1602" s="24"/>
      <c r="AO1602" s="24"/>
      <c r="AP1602" s="28" t="str">
        <f t="shared" si="467"/>
        <v>20246</v>
      </c>
      <c r="AQ1602" s="28" t="str">
        <f t="shared" si="468"/>
        <v>20246JPY</v>
      </c>
      <c r="AR1602" s="206" t="str">
        <f t="shared" si="469"/>
        <v>YAMAHA_Mounter</v>
      </c>
      <c r="AS1602" s="22">
        <f t="shared" si="470"/>
        <v>3</v>
      </c>
      <c r="AT1602" s="24" t="str">
        <f t="shared" si="471"/>
        <v>0-3 months</v>
      </c>
      <c r="AU1602" s="22" t="s">
        <v>3744</v>
      </c>
    </row>
    <row r="1603" spans="1:47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6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25">
        <v>11000000</v>
      </c>
      <c r="Y1603" s="31" t="str">
        <f>IF(W1603="","",IF(W1603="RMB","1.13", "1"))</f>
        <v>1</v>
      </c>
      <c r="Z1603" s="18">
        <f t="shared" si="472"/>
        <v>11000000</v>
      </c>
      <c r="AA1603" s="13">
        <v>5.0999999999999997E-2</v>
      </c>
      <c r="AB1603" s="21">
        <f t="shared" si="474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75"/>
        <v>27308925.887079656</v>
      </c>
      <c r="AJ1603" s="27">
        <f t="shared" si="476"/>
        <v>3319273.860338124</v>
      </c>
      <c r="AK1603" s="28">
        <f t="shared" si="466"/>
        <v>0.12154538314919709</v>
      </c>
      <c r="AL1603" s="24"/>
      <c r="AM1603" s="24"/>
      <c r="AN1603" s="24"/>
      <c r="AO1603" s="24"/>
      <c r="AP1603" s="28" t="str">
        <f t="shared" si="467"/>
        <v>20246</v>
      </c>
      <c r="AQ1603" s="28" t="str">
        <f t="shared" si="468"/>
        <v>20246JPY</v>
      </c>
      <c r="AR1603" s="206" t="str">
        <f t="shared" si="469"/>
        <v>YAMAHA_Mounter</v>
      </c>
      <c r="AS1603" s="22">
        <f t="shared" si="470"/>
        <v>3</v>
      </c>
      <c r="AT1603" s="24" t="str">
        <f t="shared" si="471"/>
        <v>0-3 months</v>
      </c>
      <c r="AU1603" s="22" t="s">
        <v>3744</v>
      </c>
    </row>
    <row r="1604" spans="1:47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6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72"/>
        <v>663000</v>
      </c>
      <c r="AA1604" s="22">
        <v>1.095</v>
      </c>
      <c r="AB1604" s="21">
        <f t="shared" si="474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75"/>
        <v>10271727.486725664</v>
      </c>
      <c r="AJ1604" s="27">
        <f t="shared" si="476"/>
        <v>1227228.7260761063</v>
      </c>
      <c r="AK1604" s="28">
        <f t="shared" si="466"/>
        <v>0.11947637120066472</v>
      </c>
      <c r="AL1604" s="24"/>
      <c r="AM1604" s="24"/>
      <c r="AN1604" s="24"/>
      <c r="AO1604" s="24"/>
      <c r="AP1604" s="28" t="str">
        <f t="shared" si="467"/>
        <v>202312</v>
      </c>
      <c r="AQ1604" s="28" t="str">
        <f t="shared" si="468"/>
        <v>202312RMB</v>
      </c>
      <c r="AR1604" s="206" t="str">
        <f t="shared" si="469"/>
        <v>YAMAHA_Mounter</v>
      </c>
      <c r="AS1604" s="22">
        <f t="shared" si="470"/>
        <v>0</v>
      </c>
      <c r="AT1604" s="24" t="str">
        <f t="shared" si="471"/>
        <v>0-3 months</v>
      </c>
      <c r="AU1604" s="22" t="s">
        <v>3240</v>
      </c>
    </row>
    <row r="1605" spans="1:47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6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72"/>
        <v>760000</v>
      </c>
      <c r="AA1605" s="13">
        <v>1.1499999999999999</v>
      </c>
      <c r="AB1605" s="21">
        <f t="shared" si="474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75"/>
        <v>26492741.106427077</v>
      </c>
      <c r="AJ1605" s="19">
        <f t="shared" si="476"/>
        <v>3348032.1325698122</v>
      </c>
      <c r="AK1605" s="20">
        <f t="shared" si="466"/>
        <v>0.12637545201985867</v>
      </c>
      <c r="AL1605" s="17"/>
      <c r="AM1605" s="17"/>
      <c r="AN1605" s="17"/>
      <c r="AO1605" s="17"/>
      <c r="AP1605" s="28" t="str">
        <f t="shared" si="467"/>
        <v>20189</v>
      </c>
      <c r="AQ1605" s="28" t="str">
        <f t="shared" si="468"/>
        <v>20189RMB</v>
      </c>
      <c r="AR1605" s="206" t="str">
        <f t="shared" si="469"/>
        <v>YAMAHA_Mounter</v>
      </c>
      <c r="AS1605" s="22">
        <f t="shared" si="470"/>
        <v>1</v>
      </c>
      <c r="AT1605" s="24" t="str">
        <f t="shared" si="471"/>
        <v>0-3 months</v>
      </c>
      <c r="AU1605" s="22" t="s">
        <v>3240</v>
      </c>
    </row>
    <row r="1606" spans="1:47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72"/>
        <v>640000</v>
      </c>
      <c r="AA1606" s="13">
        <v>1.1499999999999999</v>
      </c>
      <c r="AB1606" s="21">
        <f t="shared" si="474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si="475"/>
        <v>26492741.106427077</v>
      </c>
      <c r="AJ1606" s="19">
        <f t="shared" si="476"/>
        <v>3348032.1325698122</v>
      </c>
      <c r="AK1606" s="20">
        <f t="shared" ref="AK1606:AK1669" si="483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4">IF(F1606="","",F1606&amp;G1606)</f>
        <v>20189</v>
      </c>
      <c r="AQ1606" s="28" t="str">
        <f t="shared" ref="AQ1606:AQ1669" si="485">IF(W1606="","",F1606&amp;G1606&amp;W1606)</f>
        <v>20189RMB</v>
      </c>
      <c r="AR1606" s="206" t="str">
        <f t="shared" ref="AR1606:AR1669" si="486">IFERROR(IF(AND(M1606="YAMAHA", R1606="C28"), "YAMAHA_Non_Mounter", IF(AND(M1606="YAMAHA", R1606="C49"), "YAMAHA_Mounter", M1606)),"")</f>
        <v>YAMAHA_Mounter</v>
      </c>
      <c r="AS1606" s="22">
        <f t="shared" ref="AS1606:AS1669" si="487">IFERROR(IF(OR(G1606="TBA", G1606=""), "", DATEDIF(DATE(B1606, C1606, 1), DATE(F1606, G1606, 1), "M")),"")</f>
        <v>3</v>
      </c>
      <c r="AT1606" s="24" t="str">
        <f t="shared" ref="AT1606:AT1669" si="488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80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72"/>
        <v>980000</v>
      </c>
      <c r="AA1607" s="13">
        <v>1.095</v>
      </c>
      <c r="AB1607" s="21">
        <f t="shared" si="474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75"/>
        <v>28065694.408805311</v>
      </c>
      <c r="AJ1607" s="19">
        <f t="shared" si="476"/>
        <v>4157433.2906989697</v>
      </c>
      <c r="AK1607" s="20">
        <f t="shared" si="483"/>
        <v>0.14813220831602228</v>
      </c>
      <c r="AL1607" s="17"/>
      <c r="AM1607" s="17"/>
      <c r="AN1607" s="17"/>
      <c r="AO1607" s="17"/>
      <c r="AP1607" s="28" t="str">
        <f t="shared" si="484"/>
        <v>20205</v>
      </c>
      <c r="AQ1607" s="28" t="str">
        <f t="shared" si="485"/>
        <v>20205RMB</v>
      </c>
      <c r="AR1607" s="206" t="str">
        <f t="shared" si="486"/>
        <v>YAMAHA_Mounter</v>
      </c>
      <c r="AS1607" s="22">
        <f t="shared" si="487"/>
        <v>0</v>
      </c>
      <c r="AT1607" s="24" t="str">
        <f t="shared" si="488"/>
        <v>0-3 months</v>
      </c>
      <c r="AU1607" s="22" t="s">
        <v>3240</v>
      </c>
    </row>
    <row r="1608" spans="1:47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80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72"/>
        <v>870600</v>
      </c>
      <c r="AA1608" s="13">
        <v>1.23</v>
      </c>
      <c r="AB1608" s="21">
        <f t="shared" si="474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75"/>
        <v>29288201.603076916</v>
      </c>
      <c r="AJ1608" s="19">
        <f t="shared" si="476"/>
        <v>3870159.1769246152</v>
      </c>
      <c r="AK1608" s="20">
        <f t="shared" si="483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84"/>
        <v>20184</v>
      </c>
      <c r="AQ1608" s="28" t="str">
        <f t="shared" si="485"/>
        <v>20184RMB</v>
      </c>
      <c r="AR1608" s="206" t="str">
        <f t="shared" si="486"/>
        <v>YAMAHA_Mounter</v>
      </c>
      <c r="AS1608" s="22">
        <f t="shared" si="487"/>
        <v>0</v>
      </c>
      <c r="AT1608" s="24" t="str">
        <f t="shared" si="488"/>
        <v>0-3 months</v>
      </c>
      <c r="AU1608" s="22" t="s">
        <v>3240</v>
      </c>
    </row>
    <row r="1609" spans="1:47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80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72"/>
        <v>851500</v>
      </c>
      <c r="AA1609" s="13">
        <v>1.135</v>
      </c>
      <c r="AB1609" s="21">
        <f t="shared" si="474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75"/>
        <v>21386017.707964607</v>
      </c>
      <c r="AJ1609" s="19">
        <f t="shared" si="476"/>
        <v>2238764.3265707968</v>
      </c>
      <c r="AK1609" s="20">
        <f t="shared" si="483"/>
        <v>0.10468355339185161</v>
      </c>
      <c r="AL1609" s="17"/>
      <c r="AM1609" s="17"/>
      <c r="AN1609" s="17"/>
      <c r="AO1609" s="17"/>
      <c r="AP1609" s="28" t="str">
        <f t="shared" si="484"/>
        <v>20198</v>
      </c>
      <c r="AQ1609" s="28" t="str">
        <f t="shared" si="485"/>
        <v>20198RMB</v>
      </c>
      <c r="AR1609" s="206" t="str">
        <f t="shared" si="486"/>
        <v>YAMAHA_Mounter</v>
      </c>
      <c r="AS1609" s="22">
        <f t="shared" si="487"/>
        <v>0</v>
      </c>
      <c r="AT1609" s="24" t="str">
        <f t="shared" si="488"/>
        <v>0-3 months</v>
      </c>
      <c r="AU1609" s="22" t="s">
        <v>3240</v>
      </c>
    </row>
    <row r="1610" spans="1:47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80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89">IF(X1610="","",X1610*MAX(O1610,N1610))</f>
        <v>677000</v>
      </c>
      <c r="AA1610" s="13">
        <v>1.155</v>
      </c>
      <c r="AB1610" s="21">
        <f t="shared" si="474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75"/>
        <v>44078731.611185849</v>
      </c>
      <c r="AJ1610" s="19">
        <f t="shared" si="476"/>
        <v>5508173.2163771465</v>
      </c>
      <c r="AK1610" s="20">
        <f t="shared" si="483"/>
        <v>0.12496215328889679</v>
      </c>
      <c r="AL1610" s="17"/>
      <c r="AM1610" s="17"/>
      <c r="AN1610" s="17"/>
      <c r="AO1610" s="17"/>
      <c r="AP1610" s="28" t="str">
        <f t="shared" si="484"/>
        <v>202011</v>
      </c>
      <c r="AQ1610" s="28" t="str">
        <f t="shared" si="485"/>
        <v>202011RMB</v>
      </c>
      <c r="AR1610" s="206" t="str">
        <f t="shared" si="486"/>
        <v>YAMAHA_Mounter</v>
      </c>
      <c r="AS1610" s="22">
        <f t="shared" si="487"/>
        <v>2</v>
      </c>
      <c r="AT1610" s="24" t="str">
        <f t="shared" si="488"/>
        <v>0-3 months</v>
      </c>
      <c r="AU1610" s="22" t="s">
        <v>3240</v>
      </c>
    </row>
    <row r="1611" spans="1:47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80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89"/>
        <v>350000</v>
      </c>
      <c r="AA1611" s="13">
        <v>1.0900000000000001</v>
      </c>
      <c r="AB1611" s="21">
        <f t="shared" si="474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75"/>
        <v>10524262.405309737</v>
      </c>
      <c r="AJ1611" s="19">
        <f t="shared" si="476"/>
        <v>1479050.9527127435</v>
      </c>
      <c r="AK1611" s="20">
        <f t="shared" si="483"/>
        <v>0.14053725532028996</v>
      </c>
      <c r="AL1611" s="17"/>
      <c r="AM1611" s="17"/>
      <c r="AN1611" s="17"/>
      <c r="AO1611" s="17"/>
      <c r="AP1611" s="28" t="str">
        <f t="shared" si="484"/>
        <v>20242</v>
      </c>
      <c r="AQ1611" s="28" t="str">
        <f t="shared" si="485"/>
        <v>20242RMB</v>
      </c>
      <c r="AR1611" s="206" t="str">
        <f t="shared" si="486"/>
        <v>YAMAHA_Non_Mounter</v>
      </c>
      <c r="AS1611" s="22">
        <f t="shared" si="487"/>
        <v>3</v>
      </c>
      <c r="AT1611" s="24" t="str">
        <f t="shared" si="488"/>
        <v>0-3 months</v>
      </c>
      <c r="AU1611" s="22" t="s">
        <v>3240</v>
      </c>
    </row>
    <row r="1612" spans="1:47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80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25">
        <v>11000000</v>
      </c>
      <c r="Y1612" s="31" t="str">
        <f>IF(W1612="","",IF(W1612="RMB","1.13", "1"))</f>
        <v>1</v>
      </c>
      <c r="Z1612" s="18">
        <f t="shared" si="489"/>
        <v>11000000</v>
      </c>
      <c r="AA1612" s="13">
        <v>5.0999999999999997E-2</v>
      </c>
      <c r="AB1612" s="21">
        <f t="shared" si="474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75"/>
        <v>27308925.887079656</v>
      </c>
      <c r="AJ1612" s="27">
        <f t="shared" si="476"/>
        <v>3319273.860338124</v>
      </c>
      <c r="AK1612" s="28">
        <f t="shared" si="483"/>
        <v>0.12154538314919709</v>
      </c>
      <c r="AL1612" s="24"/>
      <c r="AM1612" s="24"/>
      <c r="AN1612" s="24"/>
      <c r="AO1612" s="24"/>
      <c r="AP1612" s="28" t="str">
        <f t="shared" si="484"/>
        <v>20246</v>
      </c>
      <c r="AQ1612" s="28" t="str">
        <f t="shared" si="485"/>
        <v>20246JPY</v>
      </c>
      <c r="AR1612" s="206" t="str">
        <f t="shared" si="486"/>
        <v>YAMAHA_Mounter</v>
      </c>
      <c r="AS1612" s="22">
        <f t="shared" si="487"/>
        <v>3</v>
      </c>
      <c r="AT1612" s="24" t="str">
        <f t="shared" si="488"/>
        <v>0-3 months</v>
      </c>
      <c r="AU1612" s="22" t="s">
        <v>3744</v>
      </c>
    </row>
    <row r="1613" spans="1:47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80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89"/>
        <v>9652900</v>
      </c>
      <c r="AA1613" s="13">
        <v>5.0999999999999997E-2</v>
      </c>
      <c r="AB1613" s="21">
        <f t="shared" si="474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75"/>
        <v>27308925.887079656</v>
      </c>
      <c r="AJ1613" s="27">
        <f t="shared" si="476"/>
        <v>3319273.860338124</v>
      </c>
      <c r="AK1613" s="28">
        <f t="shared" si="483"/>
        <v>0.12154538314919709</v>
      </c>
      <c r="AL1613" s="24"/>
      <c r="AM1613" s="24"/>
      <c r="AN1613" s="24"/>
      <c r="AO1613" s="24"/>
      <c r="AP1613" s="28" t="str">
        <f t="shared" si="484"/>
        <v>20246</v>
      </c>
      <c r="AQ1613" s="28" t="str">
        <f t="shared" si="485"/>
        <v>20246JPY</v>
      </c>
      <c r="AR1613" s="206" t="str">
        <f t="shared" si="486"/>
        <v>YAMAHA_Mounter</v>
      </c>
      <c r="AS1613" s="22">
        <f t="shared" si="487"/>
        <v>3</v>
      </c>
      <c r="AT1613" s="24" t="str">
        <f t="shared" si="488"/>
        <v>0-3 months</v>
      </c>
      <c r="AU1613" s="22" t="s">
        <v>3744</v>
      </c>
    </row>
    <row r="1614" spans="1:47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80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89"/>
        <v>560000</v>
      </c>
      <c r="AA1614" s="13">
        <v>1.135</v>
      </c>
      <c r="AB1614" s="21">
        <f t="shared" si="474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75"/>
        <v>15948576.102654871</v>
      </c>
      <c r="AJ1614" s="19">
        <f t="shared" si="476"/>
        <v>2739848.7004853105</v>
      </c>
      <c r="AK1614" s="20">
        <f t="shared" si="483"/>
        <v>0.17179268436567344</v>
      </c>
      <c r="AL1614" s="17"/>
      <c r="AM1614" s="17"/>
      <c r="AN1614" s="17"/>
      <c r="AO1614" s="17"/>
      <c r="AP1614" s="28" t="str">
        <f t="shared" si="484"/>
        <v>20229</v>
      </c>
      <c r="AQ1614" s="28" t="str">
        <f t="shared" si="485"/>
        <v>20229RMB</v>
      </c>
      <c r="AR1614" s="206" t="str">
        <f t="shared" si="486"/>
        <v>YAMAHA_Mounter</v>
      </c>
      <c r="AS1614" s="22">
        <f t="shared" si="487"/>
        <v>1</v>
      </c>
      <c r="AT1614" s="24" t="str">
        <f t="shared" si="488"/>
        <v>0-3 months</v>
      </c>
      <c r="AU1614" s="22" t="s">
        <v>3240</v>
      </c>
    </row>
    <row r="1615" spans="1:47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80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89"/>
        <v>570000</v>
      </c>
      <c r="AA1615" s="13">
        <v>1.23</v>
      </c>
      <c r="AB1615" s="21">
        <f t="shared" si="474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75"/>
        <v>29288201.603076916</v>
      </c>
      <c r="AJ1615" s="19">
        <f t="shared" si="476"/>
        <v>3870159.1769246152</v>
      </c>
      <c r="AK1615" s="20">
        <f t="shared" si="483"/>
        <v>0.13214055370740244</v>
      </c>
      <c r="AL1615" s="17"/>
      <c r="AM1615" s="17"/>
      <c r="AN1615" s="17"/>
      <c r="AO1615" s="17"/>
      <c r="AP1615" s="28" t="str">
        <f t="shared" si="484"/>
        <v>20184</v>
      </c>
      <c r="AQ1615" s="28" t="str">
        <f t="shared" si="485"/>
        <v>20184RMB</v>
      </c>
      <c r="AR1615" s="206" t="str">
        <f t="shared" si="486"/>
        <v>HELLER</v>
      </c>
      <c r="AS1615" s="22">
        <f t="shared" si="487"/>
        <v>1</v>
      </c>
      <c r="AT1615" s="24" t="str">
        <f t="shared" si="488"/>
        <v>0-3 months</v>
      </c>
      <c r="AU1615" s="22" t="s">
        <v>3240</v>
      </c>
    </row>
    <row r="1616" spans="1:47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80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89"/>
        <v>380000</v>
      </c>
      <c r="AA1616" s="13">
        <v>1.175</v>
      </c>
      <c r="AB1616" s="21">
        <f t="shared" si="474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75"/>
        <v>48763143.537654862</v>
      </c>
      <c r="AJ1616" s="19">
        <f t="shared" si="476"/>
        <v>5924029.9702154724</v>
      </c>
      <c r="AK1616" s="20">
        <f t="shared" si="483"/>
        <v>0.1214858095774925</v>
      </c>
      <c r="AL1616" s="17"/>
      <c r="AM1616" s="17"/>
      <c r="AN1616" s="17"/>
      <c r="AO1616" s="17"/>
      <c r="AP1616" s="28" t="str">
        <f t="shared" si="484"/>
        <v>202012</v>
      </c>
      <c r="AQ1616" s="28" t="str">
        <f t="shared" si="485"/>
        <v>202012RMB</v>
      </c>
      <c r="AR1616" s="206" t="str">
        <f t="shared" si="486"/>
        <v>HELLER</v>
      </c>
      <c r="AS1616" s="22">
        <f t="shared" si="487"/>
        <v>2</v>
      </c>
      <c r="AT1616" s="24" t="str">
        <f t="shared" si="488"/>
        <v>0-3 months</v>
      </c>
      <c r="AU1616" s="22" t="s">
        <v>3240</v>
      </c>
    </row>
    <row r="1617" spans="1:47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80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89"/>
        <v>380000</v>
      </c>
      <c r="AA1617" s="13">
        <v>1.2</v>
      </c>
      <c r="AB1617" s="21">
        <f t="shared" si="474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75"/>
        <v>47458373.787610628</v>
      </c>
      <c r="AJ1617" s="19">
        <f t="shared" si="476"/>
        <v>7436880.1411522133</v>
      </c>
      <c r="AK1617" s="20">
        <f t="shared" si="483"/>
        <v>0.15670322321692506</v>
      </c>
      <c r="AL1617" s="17"/>
      <c r="AM1617" s="17"/>
      <c r="AN1617" s="17"/>
      <c r="AO1617" s="17"/>
      <c r="AP1617" s="28" t="str">
        <f t="shared" si="484"/>
        <v>20218</v>
      </c>
      <c r="AQ1617" s="28" t="str">
        <f t="shared" si="485"/>
        <v>20218RMB</v>
      </c>
      <c r="AR1617" s="206" t="str">
        <f t="shared" si="486"/>
        <v>HELLER</v>
      </c>
      <c r="AS1617" s="22">
        <f t="shared" si="487"/>
        <v>3</v>
      </c>
      <c r="AT1617" s="24" t="str">
        <f t="shared" si="488"/>
        <v>0-3 months</v>
      </c>
      <c r="AU1617" s="22" t="s">
        <v>3240</v>
      </c>
    </row>
    <row r="1618" spans="1:47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80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89"/>
        <v>560000</v>
      </c>
      <c r="AA1618" s="13">
        <v>1.135</v>
      </c>
      <c r="AB1618" s="21">
        <f t="shared" si="474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75"/>
        <v>15948576.102654871</v>
      </c>
      <c r="AJ1618" s="19">
        <f t="shared" si="476"/>
        <v>2739848.7004853105</v>
      </c>
      <c r="AK1618" s="20">
        <f t="shared" si="483"/>
        <v>0.17179268436567344</v>
      </c>
      <c r="AL1618" s="17"/>
      <c r="AM1618" s="17"/>
      <c r="AN1618" s="17"/>
      <c r="AO1618" s="17"/>
      <c r="AP1618" s="28" t="str">
        <f t="shared" si="484"/>
        <v>20229</v>
      </c>
      <c r="AQ1618" s="28" t="str">
        <f t="shared" si="485"/>
        <v>20229RMB</v>
      </c>
      <c r="AR1618" s="206" t="str">
        <f t="shared" si="486"/>
        <v>YAMAHA_Mounter</v>
      </c>
      <c r="AS1618" s="22">
        <f t="shared" si="487"/>
        <v>1</v>
      </c>
      <c r="AT1618" s="24" t="str">
        <f t="shared" si="488"/>
        <v>0-3 months</v>
      </c>
      <c r="AU1618" s="22" t="s">
        <v>3240</v>
      </c>
    </row>
    <row r="1619" spans="1:47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80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89"/>
        <v>585000</v>
      </c>
      <c r="AA1619" s="13">
        <v>1.1299999999999999</v>
      </c>
      <c r="AB1619" s="21">
        <f t="shared" si="474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75"/>
        <v>47907808.356810622</v>
      </c>
      <c r="AJ1619" s="19">
        <f t="shared" si="476"/>
        <v>6027384.8806384448</v>
      </c>
      <c r="AK1619" s="20">
        <f t="shared" si="483"/>
        <v>0.12581216063459488</v>
      </c>
      <c r="AL1619" s="17"/>
      <c r="AM1619" s="17"/>
      <c r="AN1619" s="17"/>
      <c r="AO1619" s="17"/>
      <c r="AP1619" s="28" t="str">
        <f t="shared" si="484"/>
        <v>20209</v>
      </c>
      <c r="AQ1619" s="28" t="str">
        <f t="shared" si="485"/>
        <v>20209RMB</v>
      </c>
      <c r="AR1619" s="206" t="str">
        <f t="shared" si="486"/>
        <v>YAMAHA_Mounter</v>
      </c>
      <c r="AS1619" s="22">
        <f t="shared" si="487"/>
        <v>1</v>
      </c>
      <c r="AT1619" s="24" t="str">
        <f t="shared" si="488"/>
        <v>0-3 months</v>
      </c>
      <c r="AU1619" s="22" t="s">
        <v>3240</v>
      </c>
    </row>
    <row r="1620" spans="1:47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80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89"/>
        <v>585000</v>
      </c>
      <c r="AA1620" s="13">
        <v>1.1299999999999999</v>
      </c>
      <c r="AB1620" s="21">
        <f t="shared" si="474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75"/>
        <v>47907808.356810622</v>
      </c>
      <c r="AJ1620" s="19">
        <f t="shared" si="476"/>
        <v>6027384.8806384448</v>
      </c>
      <c r="AK1620" s="20">
        <f t="shared" si="483"/>
        <v>0.12581216063459488</v>
      </c>
      <c r="AL1620" s="17"/>
      <c r="AM1620" s="17"/>
      <c r="AN1620" s="17"/>
      <c r="AO1620" s="17"/>
      <c r="AP1620" s="28" t="str">
        <f t="shared" si="484"/>
        <v>20209</v>
      </c>
      <c r="AQ1620" s="28" t="str">
        <f t="shared" si="485"/>
        <v>20209RMB</v>
      </c>
      <c r="AR1620" s="206" t="str">
        <f t="shared" si="486"/>
        <v>YAMAHA_Mounter</v>
      </c>
      <c r="AS1620" s="22">
        <f t="shared" si="487"/>
        <v>1</v>
      </c>
      <c r="AT1620" s="24" t="str">
        <f t="shared" si="488"/>
        <v>0-3 months</v>
      </c>
      <c r="AU1620" s="22" t="s">
        <v>3240</v>
      </c>
    </row>
    <row r="1621" spans="1:47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80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89"/>
        <v>500000</v>
      </c>
      <c r="AA1621" s="13">
        <v>1.23</v>
      </c>
      <c r="AB1621" s="21">
        <f t="shared" si="474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75"/>
        <v>24398045.86045352</v>
      </c>
      <c r="AJ1621" s="19">
        <f t="shared" si="476"/>
        <v>3478417.4064663448</v>
      </c>
      <c r="AK1621" s="20">
        <f t="shared" si="483"/>
        <v>0.14256950849102498</v>
      </c>
      <c r="AL1621" s="17"/>
      <c r="AM1621" s="17"/>
      <c r="AN1621" s="17"/>
      <c r="AO1621" s="17" t="s">
        <v>224</v>
      </c>
      <c r="AP1621" s="28" t="str">
        <f t="shared" si="484"/>
        <v>20186</v>
      </c>
      <c r="AQ1621" s="28" t="str">
        <f t="shared" si="485"/>
        <v>20186RMB</v>
      </c>
      <c r="AR1621" s="206" t="str">
        <f t="shared" si="486"/>
        <v>YAMAHA_Mounter</v>
      </c>
      <c r="AS1621" s="22">
        <f t="shared" si="487"/>
        <v>2</v>
      </c>
      <c r="AT1621" s="24" t="str">
        <f t="shared" si="488"/>
        <v>0-3 months</v>
      </c>
      <c r="AU1621" s="22" t="s">
        <v>3240</v>
      </c>
    </row>
    <row r="1622" spans="1:47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80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89"/>
        <v>650000</v>
      </c>
      <c r="AA1622" s="13">
        <v>1.1299999999999999</v>
      </c>
      <c r="AB1622" s="21">
        <f t="shared" si="474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75"/>
        <v>33543315.897345133</v>
      </c>
      <c r="AJ1622" s="19">
        <f t="shared" si="476"/>
        <v>4706169.3252984071</v>
      </c>
      <c r="AK1622" s="20">
        <f t="shared" si="483"/>
        <v>0.14030125523967318</v>
      </c>
      <c r="AL1622" s="17"/>
      <c r="AM1622" s="17"/>
      <c r="AN1622" s="17"/>
      <c r="AO1622" s="17"/>
      <c r="AP1622" s="28" t="str">
        <f t="shared" si="484"/>
        <v>20233</v>
      </c>
      <c r="AQ1622" s="28" t="str">
        <f t="shared" si="485"/>
        <v>20233RMB</v>
      </c>
      <c r="AR1622" s="206" t="str">
        <f t="shared" si="486"/>
        <v>YAMAHA_Mounter</v>
      </c>
      <c r="AS1622" s="22">
        <f t="shared" si="487"/>
        <v>0</v>
      </c>
      <c r="AT1622" s="24" t="str">
        <f t="shared" si="488"/>
        <v>0-3 months</v>
      </c>
      <c r="AU1622" s="22" t="s">
        <v>3240</v>
      </c>
    </row>
    <row r="1623" spans="1:47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79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80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89"/>
        <v>9225000</v>
      </c>
      <c r="AA1623" s="13">
        <v>6.25E-2</v>
      </c>
      <c r="AB1623" s="21">
        <f t="shared" si="474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75"/>
        <v>499582152.5142017</v>
      </c>
      <c r="AJ1623" s="19">
        <f t="shared" si="476"/>
        <v>59520528.679470733</v>
      </c>
      <c r="AK1623" s="20">
        <f t="shared" si="483"/>
        <v>0.11914062257814291</v>
      </c>
      <c r="AL1623" s="17"/>
      <c r="AM1623" s="17"/>
      <c r="AN1623" s="17"/>
      <c r="AO1623" s="17"/>
      <c r="AP1623" s="28" t="str">
        <f t="shared" si="484"/>
        <v>CancelCANCEL</v>
      </c>
      <c r="AQ1623" s="28" t="str">
        <f t="shared" si="485"/>
        <v>CancelCANCELJPY</v>
      </c>
      <c r="AR1623" s="206" t="str">
        <f t="shared" si="486"/>
        <v>YAMAHA_Mounter</v>
      </c>
      <c r="AS1623" s="22" t="str">
        <f t="shared" si="487"/>
        <v/>
      </c>
      <c r="AT1623" s="24" t="str">
        <f t="shared" si="488"/>
        <v/>
      </c>
      <c r="AU1623" s="22" t="s">
        <v>3744</v>
      </c>
    </row>
    <row r="1624" spans="1:47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79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80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89"/>
        <v>9225000</v>
      </c>
      <c r="AA1624" s="13">
        <v>6.25E-2</v>
      </c>
      <c r="AB1624" s="21">
        <f t="shared" si="474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75"/>
        <v>499582152.5142017</v>
      </c>
      <c r="AJ1624" s="19">
        <f t="shared" si="476"/>
        <v>59520528.679470733</v>
      </c>
      <c r="AK1624" s="20">
        <f t="shared" si="483"/>
        <v>0.11914062257814291</v>
      </c>
      <c r="AL1624" s="17"/>
      <c r="AM1624" s="17"/>
      <c r="AN1624" s="17"/>
      <c r="AO1624" s="17"/>
      <c r="AP1624" s="28" t="str">
        <f t="shared" si="484"/>
        <v>CancelCANCEL</v>
      </c>
      <c r="AQ1624" s="28" t="str">
        <f t="shared" si="485"/>
        <v>CancelCANCELJPY</v>
      </c>
      <c r="AR1624" s="206" t="str">
        <f t="shared" si="486"/>
        <v>YAMAHA_Mounter</v>
      </c>
      <c r="AS1624" s="22" t="str">
        <f t="shared" si="487"/>
        <v/>
      </c>
      <c r="AT1624" s="24" t="str">
        <f t="shared" si="488"/>
        <v/>
      </c>
      <c r="AU1624" s="22" t="s">
        <v>3744</v>
      </c>
    </row>
    <row r="1625" spans="1:47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80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89"/>
        <v>979433</v>
      </c>
      <c r="AA1625" s="13">
        <v>1.175</v>
      </c>
      <c r="AB1625" s="21">
        <f t="shared" si="474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75"/>
        <v>35682787.057522126</v>
      </c>
      <c r="AJ1625" s="19">
        <f t="shared" si="476"/>
        <v>5833368.3789623892</v>
      </c>
      <c r="AK1625" s="20">
        <f t="shared" si="483"/>
        <v>0.16347849649632912</v>
      </c>
      <c r="AL1625" s="17"/>
      <c r="AM1625" s="17"/>
      <c r="AN1625" s="17"/>
      <c r="AO1625" s="17"/>
      <c r="AP1625" s="28" t="str">
        <f t="shared" si="484"/>
        <v>20226</v>
      </c>
      <c r="AQ1625" s="28" t="str">
        <f t="shared" si="485"/>
        <v>20226RMB</v>
      </c>
      <c r="AR1625" s="206" t="str">
        <f t="shared" si="486"/>
        <v>YAMAHA_Mounter</v>
      </c>
      <c r="AS1625" s="22">
        <f t="shared" si="487"/>
        <v>4</v>
      </c>
      <c r="AT1625" s="24" t="str">
        <f t="shared" si="488"/>
        <v>4-6 months</v>
      </c>
      <c r="AU1625" s="22" t="s">
        <v>3240</v>
      </c>
    </row>
    <row r="1626" spans="1:47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80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89"/>
        <v>752000</v>
      </c>
      <c r="AA1626" s="13">
        <v>1.135</v>
      </c>
      <c r="AB1626" s="21">
        <f t="shared" si="474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75"/>
        <v>31296887.037898075</v>
      </c>
      <c r="AJ1626" s="19">
        <f t="shared" si="476"/>
        <v>3588873.9502021763</v>
      </c>
      <c r="AK1626" s="20">
        <f t="shared" si="483"/>
        <v>0.11467191436184473</v>
      </c>
      <c r="AL1626" s="17"/>
      <c r="AM1626" s="17"/>
      <c r="AN1626" s="17"/>
      <c r="AO1626" s="17"/>
      <c r="AP1626" s="28" t="str">
        <f t="shared" si="484"/>
        <v>20196</v>
      </c>
      <c r="AQ1626" s="28" t="str">
        <f t="shared" si="485"/>
        <v>20196RMB</v>
      </c>
      <c r="AR1626" s="206" t="str">
        <f t="shared" si="486"/>
        <v>YAMAHA_Mounter</v>
      </c>
      <c r="AS1626" s="22">
        <f t="shared" si="487"/>
        <v>2</v>
      </c>
      <c r="AT1626" s="24" t="str">
        <f t="shared" si="488"/>
        <v>0-3 months</v>
      </c>
      <c r="AU1626" s="22" t="s">
        <v>3240</v>
      </c>
    </row>
    <row r="1627" spans="1:47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80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90">IF(W1627="RMB","1.13", "1")</f>
        <v>1.13</v>
      </c>
      <c r="Z1627" s="18">
        <f t="shared" si="489"/>
        <v>550000</v>
      </c>
      <c r="AA1627" s="13">
        <v>1.08</v>
      </c>
      <c r="AB1627" s="21">
        <f t="shared" si="474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75"/>
        <v>31017966.201968137</v>
      </c>
      <c r="AJ1627" s="19">
        <f t="shared" si="476"/>
        <v>4704250.3347305888</v>
      </c>
      <c r="AK1627" s="20">
        <f t="shared" si="483"/>
        <v>0.15166211427595458</v>
      </c>
      <c r="AL1627" s="17"/>
      <c r="AM1627" s="17"/>
      <c r="AN1627" s="17"/>
      <c r="AO1627" s="17"/>
      <c r="AP1627" s="28" t="str">
        <f t="shared" si="484"/>
        <v>202211</v>
      </c>
      <c r="AQ1627" s="28" t="str">
        <f t="shared" si="485"/>
        <v>202211RMB</v>
      </c>
      <c r="AR1627" s="206" t="str">
        <f t="shared" si="486"/>
        <v>YAMAHA_Mounter</v>
      </c>
      <c r="AS1627" s="22">
        <f t="shared" si="487"/>
        <v>0</v>
      </c>
      <c r="AT1627" s="24" t="str">
        <f t="shared" si="488"/>
        <v>0-3 months</v>
      </c>
      <c r="AU1627" s="22" t="s">
        <v>3240</v>
      </c>
    </row>
    <row r="1628" spans="1:47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80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90"/>
        <v>1.13</v>
      </c>
      <c r="Z1628" s="18">
        <f t="shared" si="489"/>
        <v>1000000</v>
      </c>
      <c r="AA1628" s="13">
        <v>1.22</v>
      </c>
      <c r="AB1628" s="21">
        <f t="shared" si="474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75"/>
        <v>46600814.041769907</v>
      </c>
      <c r="AJ1628" s="19">
        <f t="shared" si="476"/>
        <v>5956366.3435927071</v>
      </c>
      <c r="AK1628" s="20">
        <f t="shared" si="483"/>
        <v>0.1278167874546958</v>
      </c>
      <c r="AL1628" s="17"/>
      <c r="AM1628" s="17"/>
      <c r="AN1628" s="17"/>
      <c r="AO1628" s="17"/>
      <c r="AP1628" s="28" t="str">
        <f t="shared" si="484"/>
        <v>20224</v>
      </c>
      <c r="AQ1628" s="28" t="str">
        <f t="shared" si="485"/>
        <v>20224RMB</v>
      </c>
      <c r="AR1628" s="206" t="str">
        <f t="shared" si="486"/>
        <v>YAMAHA_Mounter</v>
      </c>
      <c r="AS1628" s="22">
        <f t="shared" si="487"/>
        <v>2</v>
      </c>
      <c r="AT1628" s="24" t="str">
        <f t="shared" si="488"/>
        <v>0-3 months</v>
      </c>
      <c r="AU1628" s="22" t="s">
        <v>3240</v>
      </c>
    </row>
    <row r="1629" spans="1:47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80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90"/>
        <v>1.13</v>
      </c>
      <c r="Z1629" s="18">
        <f t="shared" si="489"/>
        <v>810000</v>
      </c>
      <c r="AA1629" s="13">
        <v>1.22</v>
      </c>
      <c r="AB1629" s="21">
        <f t="shared" si="474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75"/>
        <v>46600814.041769907</v>
      </c>
      <c r="AJ1629" s="19">
        <f t="shared" si="476"/>
        <v>5956366.3435927071</v>
      </c>
      <c r="AK1629" s="20">
        <f t="shared" si="483"/>
        <v>0.1278167874546958</v>
      </c>
      <c r="AL1629" s="17"/>
      <c r="AM1629" s="17"/>
      <c r="AN1629" s="17"/>
      <c r="AO1629" s="17"/>
      <c r="AP1629" s="28" t="str">
        <f t="shared" si="484"/>
        <v>20224</v>
      </c>
      <c r="AQ1629" s="28" t="str">
        <f t="shared" si="485"/>
        <v>20224RMB</v>
      </c>
      <c r="AR1629" s="206" t="str">
        <f t="shared" si="486"/>
        <v>YAMAHA_Mounter</v>
      </c>
      <c r="AS1629" s="22">
        <f t="shared" si="487"/>
        <v>2</v>
      </c>
      <c r="AT1629" s="24" t="str">
        <f t="shared" si="488"/>
        <v>0-3 months</v>
      </c>
      <c r="AU1629" s="22" t="s">
        <v>3240</v>
      </c>
    </row>
    <row r="1630" spans="1:47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80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90"/>
        <v>1</v>
      </c>
      <c r="Z1630" s="18">
        <f t="shared" si="489"/>
        <v>8835532</v>
      </c>
      <c r="AA1630" s="13">
        <v>7.17E-2</v>
      </c>
      <c r="AB1630" s="21">
        <f t="shared" si="474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75"/>
        <v>43684091.636631854</v>
      </c>
      <c r="AJ1630" s="19">
        <f t="shared" si="476"/>
        <v>6483951.8242071122</v>
      </c>
      <c r="AK1630" s="20">
        <f t="shared" si="483"/>
        <v>0.14842821680123736</v>
      </c>
      <c r="AL1630" s="17"/>
      <c r="AM1630" s="17"/>
      <c r="AN1630" s="17"/>
      <c r="AO1630" s="17"/>
      <c r="AP1630" s="28" t="str">
        <f t="shared" si="484"/>
        <v>20214</v>
      </c>
      <c r="AQ1630" s="28" t="str">
        <f t="shared" si="485"/>
        <v>20214JPY</v>
      </c>
      <c r="AR1630" s="206" t="str">
        <f t="shared" si="486"/>
        <v>YAMAHA_Mounter</v>
      </c>
      <c r="AS1630" s="22">
        <f t="shared" si="487"/>
        <v>3</v>
      </c>
      <c r="AT1630" s="24" t="str">
        <f t="shared" si="488"/>
        <v>0-3 months</v>
      </c>
      <c r="AU1630" s="22" t="s">
        <v>3744</v>
      </c>
    </row>
    <row r="1631" spans="1:47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79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80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90"/>
        <v>1</v>
      </c>
      <c r="Z1631" s="18">
        <f t="shared" si="489"/>
        <v>7600000</v>
      </c>
      <c r="AA1631" s="13">
        <v>6.25E-2</v>
      </c>
      <c r="AB1631" s="21">
        <f t="shared" si="474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75"/>
        <v>499582152.5142017</v>
      </c>
      <c r="AJ1631" s="19">
        <f t="shared" si="476"/>
        <v>59520528.679470733</v>
      </c>
      <c r="AK1631" s="20">
        <f t="shared" si="483"/>
        <v>0.11914062257814291</v>
      </c>
      <c r="AL1631" s="17"/>
      <c r="AM1631" s="17"/>
      <c r="AN1631" s="17"/>
      <c r="AO1631" s="17"/>
      <c r="AP1631" s="28" t="str">
        <f t="shared" si="484"/>
        <v>CancelCancel</v>
      </c>
      <c r="AQ1631" s="28" t="str">
        <f t="shared" si="485"/>
        <v>CancelCancelJPY</v>
      </c>
      <c r="AR1631" s="206" t="str">
        <f t="shared" si="486"/>
        <v>YAMAHA_Mounter</v>
      </c>
      <c r="AS1631" s="22" t="str">
        <f t="shared" si="487"/>
        <v/>
      </c>
      <c r="AT1631" s="24" t="str">
        <f t="shared" si="488"/>
        <v/>
      </c>
      <c r="AU1631" s="22" t="s">
        <v>3744</v>
      </c>
    </row>
    <row r="1632" spans="1:47" s="12" customFormat="1">
      <c r="A1632" s="33" t="str">
        <f t="shared" si="477"/>
        <v/>
      </c>
      <c r="B1632" s="152" t="s">
        <v>2584</v>
      </c>
      <c r="C1632" s="152" t="s">
        <v>2584</v>
      </c>
      <c r="D1632" s="33" t="b">
        <f t="shared" si="478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79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80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90"/>
        <v>1.13</v>
      </c>
      <c r="Z1632" s="18">
        <f t="shared" si="489"/>
        <v>500000</v>
      </c>
      <c r="AA1632" s="13">
        <v>1.095</v>
      </c>
      <c r="AB1632" s="21">
        <f t="shared" si="474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75"/>
        <v>19242877.433628317</v>
      </c>
      <c r="AJ1632" s="19">
        <f t="shared" si="476"/>
        <v>2240020.1770353983</v>
      </c>
      <c r="AK1632" s="20">
        <f t="shared" si="483"/>
        <v>0.11640775579232249</v>
      </c>
      <c r="AL1632" s="17"/>
      <c r="AM1632" s="17"/>
      <c r="AN1632" s="17"/>
      <c r="AO1632" s="17"/>
      <c r="AP1632" s="28" t="str">
        <f t="shared" si="484"/>
        <v>TBATBA</v>
      </c>
      <c r="AQ1632" s="28" t="str">
        <f t="shared" si="485"/>
        <v>TBATBARMB</v>
      </c>
      <c r="AR1632" s="206" t="str">
        <f t="shared" si="486"/>
        <v>YAMAHA_Mounter</v>
      </c>
      <c r="AS1632" s="22" t="str">
        <f t="shared" si="487"/>
        <v/>
      </c>
      <c r="AT1632" s="24" t="str">
        <f t="shared" si="488"/>
        <v/>
      </c>
      <c r="AU1632" s="22" t="s">
        <v>3240</v>
      </c>
    </row>
    <row r="1633" spans="1:47" s="12" customFormat="1">
      <c r="A1633" s="33" t="str">
        <f t="shared" si="477"/>
        <v>cancel</v>
      </c>
      <c r="B1633" s="152"/>
      <c r="C1633" s="152" t="s">
        <v>185</v>
      </c>
      <c r="D1633" s="33" t="str">
        <f t="shared" si="478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79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80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89"/>
        <v>1000000</v>
      </c>
      <c r="AA1633" s="13">
        <v>1.1299999999999999</v>
      </c>
      <c r="AB1633" s="21">
        <f t="shared" si="474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75"/>
        <v>499582152.5142017</v>
      </c>
      <c r="AJ1633" s="19">
        <f t="shared" si="476"/>
        <v>59520528.679470733</v>
      </c>
      <c r="AK1633" s="20">
        <f t="shared" si="483"/>
        <v>0.11914062257814291</v>
      </c>
      <c r="AL1633" s="17"/>
      <c r="AM1633" s="17"/>
      <c r="AN1633" s="17"/>
      <c r="AO1633" s="17"/>
      <c r="AP1633" s="28" t="str">
        <f t="shared" si="484"/>
        <v>CancelCancel</v>
      </c>
      <c r="AQ1633" s="28" t="str">
        <f t="shared" si="485"/>
        <v>CancelCancelRMB</v>
      </c>
      <c r="AR1633" s="206" t="str">
        <f t="shared" si="486"/>
        <v>YAMAHA_Mounter</v>
      </c>
      <c r="AS1633" s="22" t="str">
        <f t="shared" si="487"/>
        <v/>
      </c>
      <c r="AT1633" s="24" t="str">
        <f t="shared" si="488"/>
        <v/>
      </c>
      <c r="AU1633" s="22" t="s">
        <v>3240</v>
      </c>
    </row>
    <row r="1634" spans="1:47" s="12" customFormat="1">
      <c r="A1634" s="33" t="str">
        <f t="shared" si="477"/>
        <v>cancel</v>
      </c>
      <c r="B1634" s="152"/>
      <c r="C1634" s="152" t="s">
        <v>185</v>
      </c>
      <c r="D1634" s="33" t="str">
        <f t="shared" si="478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79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80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89"/>
        <v>550000</v>
      </c>
      <c r="AA1634" s="13">
        <v>1.1299999999999999</v>
      </c>
      <c r="AB1634" s="21">
        <f t="shared" si="474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75"/>
        <v>499582152.5142017</v>
      </c>
      <c r="AJ1634" s="19">
        <f t="shared" si="476"/>
        <v>59520528.679470733</v>
      </c>
      <c r="AK1634" s="20">
        <f t="shared" si="483"/>
        <v>0.11914062257814291</v>
      </c>
      <c r="AL1634" s="17"/>
      <c r="AM1634" s="17"/>
      <c r="AN1634" s="17"/>
      <c r="AO1634" s="17"/>
      <c r="AP1634" s="28" t="str">
        <f t="shared" si="484"/>
        <v>CancelCancel</v>
      </c>
      <c r="AQ1634" s="28" t="str">
        <f t="shared" si="485"/>
        <v>CancelCancelRMB</v>
      </c>
      <c r="AR1634" s="206" t="str">
        <f t="shared" si="486"/>
        <v>YAMAHA_Mounter</v>
      </c>
      <c r="AS1634" s="22" t="str">
        <f t="shared" si="487"/>
        <v/>
      </c>
      <c r="AT1634" s="24" t="str">
        <f t="shared" si="488"/>
        <v/>
      </c>
      <c r="AU1634" s="22" t="s">
        <v>3240</v>
      </c>
    </row>
    <row r="1635" spans="1:47" s="12" customFormat="1">
      <c r="A1635" s="33" t="str">
        <f t="shared" si="477"/>
        <v>cancel</v>
      </c>
      <c r="B1635" s="152"/>
      <c r="C1635" s="152" t="s">
        <v>185</v>
      </c>
      <c r="D1635" s="33" t="str">
        <f t="shared" si="478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79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80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89"/>
        <v>588550</v>
      </c>
      <c r="AA1635" s="13">
        <v>1.1299999999999999</v>
      </c>
      <c r="AB1635" s="21">
        <f t="shared" si="474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75"/>
        <v>499582152.5142017</v>
      </c>
      <c r="AJ1635" s="19">
        <f t="shared" si="476"/>
        <v>59520528.679470733</v>
      </c>
      <c r="AK1635" s="20">
        <f t="shared" si="483"/>
        <v>0.11914062257814291</v>
      </c>
      <c r="AL1635" s="17"/>
      <c r="AM1635" s="17"/>
      <c r="AN1635" s="17"/>
      <c r="AO1635" s="17"/>
      <c r="AP1635" s="28" t="str">
        <f t="shared" si="484"/>
        <v>CancelCancel</v>
      </c>
      <c r="AQ1635" s="28" t="str">
        <f t="shared" si="485"/>
        <v>CancelCancelRMB</v>
      </c>
      <c r="AR1635" s="206" t="str">
        <f t="shared" si="486"/>
        <v>YAMAHA_Mounter</v>
      </c>
      <c r="AS1635" s="22" t="str">
        <f t="shared" si="487"/>
        <v/>
      </c>
      <c r="AT1635" s="24" t="str">
        <f t="shared" si="488"/>
        <v/>
      </c>
      <c r="AU1635" s="22" t="s">
        <v>3240</v>
      </c>
    </row>
    <row r="1636" spans="1:47" s="12" customFormat="1">
      <c r="A1636" s="33" t="str">
        <f t="shared" si="477"/>
        <v>cancel</v>
      </c>
      <c r="B1636" s="152"/>
      <c r="C1636" s="152" t="s">
        <v>185</v>
      </c>
      <c r="D1636" s="33" t="str">
        <f t="shared" si="478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79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80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89"/>
        <v>588550</v>
      </c>
      <c r="AA1636" s="13">
        <v>1.1299999999999999</v>
      </c>
      <c r="AB1636" s="21">
        <f t="shared" si="474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75"/>
        <v>499582152.5142017</v>
      </c>
      <c r="AJ1636" s="19">
        <f t="shared" si="476"/>
        <v>59520528.679470733</v>
      </c>
      <c r="AK1636" s="20">
        <f t="shared" si="483"/>
        <v>0.11914062257814291</v>
      </c>
      <c r="AL1636" s="17"/>
      <c r="AM1636" s="17"/>
      <c r="AN1636" s="17"/>
      <c r="AO1636" s="17"/>
      <c r="AP1636" s="28" t="str">
        <f t="shared" si="484"/>
        <v>CancelCancel</v>
      </c>
      <c r="AQ1636" s="28" t="str">
        <f t="shared" si="485"/>
        <v>CancelCancelRMB</v>
      </c>
      <c r="AR1636" s="206" t="str">
        <f t="shared" si="486"/>
        <v>YAMAHA_Mounter</v>
      </c>
      <c r="AS1636" s="22" t="str">
        <f t="shared" si="487"/>
        <v/>
      </c>
      <c r="AT1636" s="24" t="str">
        <f t="shared" si="488"/>
        <v/>
      </c>
      <c r="AU1636" s="22" t="s">
        <v>3240</v>
      </c>
    </row>
    <row r="1637" spans="1:47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80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89"/>
        <v>820000</v>
      </c>
      <c r="AA1637" s="13">
        <v>1.135</v>
      </c>
      <c r="AB1637" s="21">
        <f t="shared" si="474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75"/>
        <v>21386017.707964607</v>
      </c>
      <c r="AJ1637" s="19">
        <f t="shared" si="476"/>
        <v>2238764.3265707968</v>
      </c>
      <c r="AK1637" s="20">
        <f t="shared" si="483"/>
        <v>0.10468355339185161</v>
      </c>
      <c r="AL1637" s="17"/>
      <c r="AM1637" s="17"/>
      <c r="AN1637" s="17"/>
      <c r="AO1637" s="17"/>
      <c r="AP1637" s="28" t="str">
        <f t="shared" si="484"/>
        <v>20198</v>
      </c>
      <c r="AQ1637" s="28" t="str">
        <f t="shared" si="485"/>
        <v>20198RMB</v>
      </c>
      <c r="AR1637" s="206" t="str">
        <f t="shared" si="486"/>
        <v>YAMAHA_Mounter</v>
      </c>
      <c r="AS1637" s="22">
        <f t="shared" si="487"/>
        <v>0</v>
      </c>
      <c r="AT1637" s="24" t="str">
        <f t="shared" si="488"/>
        <v>0-3 months</v>
      </c>
      <c r="AU1637" s="22" t="s">
        <v>3743</v>
      </c>
    </row>
    <row r="1638" spans="1:47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80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89"/>
        <v>570000</v>
      </c>
      <c r="AA1638" s="13">
        <v>1.089</v>
      </c>
      <c r="AB1638" s="21">
        <f t="shared" si="474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75"/>
        <v>29183109.05575221</v>
      </c>
      <c r="AJ1638" s="19">
        <f t="shared" si="476"/>
        <v>3741266.5648721238</v>
      </c>
      <c r="AK1638" s="20">
        <f t="shared" si="483"/>
        <v>0.12819972531798121</v>
      </c>
      <c r="AL1638" s="17"/>
      <c r="AM1638" s="17"/>
      <c r="AN1638" s="17"/>
      <c r="AO1638" s="17"/>
      <c r="AP1638" s="28" t="str">
        <f t="shared" si="484"/>
        <v>20206</v>
      </c>
      <c r="AQ1638" s="28" t="str">
        <f t="shared" si="485"/>
        <v>20206RMB</v>
      </c>
      <c r="AR1638" s="206" t="str">
        <f t="shared" si="486"/>
        <v>YAMAHA_Mounter</v>
      </c>
      <c r="AS1638" s="22">
        <f t="shared" si="487"/>
        <v>1</v>
      </c>
      <c r="AT1638" s="24" t="str">
        <f t="shared" si="488"/>
        <v>0-3 months</v>
      </c>
      <c r="AU1638" s="22" t="s">
        <v>3743</v>
      </c>
    </row>
    <row r="1639" spans="1:47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80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89"/>
        <v>7367500</v>
      </c>
      <c r="AA1639" s="13">
        <v>7.3599999999999999E-2</v>
      </c>
      <c r="AB1639" s="21">
        <f t="shared" si="474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75"/>
        <v>33477255.428389374</v>
      </c>
      <c r="AJ1639" s="19">
        <f t="shared" si="476"/>
        <v>4578663.362915583</v>
      </c>
      <c r="AK1639" s="20">
        <f t="shared" si="483"/>
        <v>0.13676937682988152</v>
      </c>
      <c r="AL1639" s="17"/>
      <c r="AM1639" s="17"/>
      <c r="AN1639" s="17"/>
      <c r="AO1639" s="17"/>
      <c r="AP1639" s="28" t="str">
        <f t="shared" si="484"/>
        <v>20204</v>
      </c>
      <c r="AQ1639" s="28" t="str">
        <f t="shared" si="485"/>
        <v>20204JPY</v>
      </c>
      <c r="AR1639" s="206" t="str">
        <f t="shared" si="486"/>
        <v>YAMAHA_Mounter</v>
      </c>
      <c r="AS1639" s="22">
        <f t="shared" si="487"/>
        <v>1</v>
      </c>
      <c r="AT1639" s="24" t="str">
        <f t="shared" si="488"/>
        <v>0-3 months</v>
      </c>
      <c r="AU1639" s="22" t="s">
        <v>3744</v>
      </c>
    </row>
    <row r="1640" spans="1:47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80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89"/>
        <v>7367500</v>
      </c>
      <c r="AA1640" s="13">
        <v>7.3599999999999999E-2</v>
      </c>
      <c r="AB1640" s="21">
        <f t="shared" si="474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75"/>
        <v>33477255.428389374</v>
      </c>
      <c r="AJ1640" s="19">
        <f t="shared" si="476"/>
        <v>4578663.362915583</v>
      </c>
      <c r="AK1640" s="20">
        <f t="shared" si="483"/>
        <v>0.13676937682988152</v>
      </c>
      <c r="AL1640" s="17"/>
      <c r="AM1640" s="17"/>
      <c r="AN1640" s="17"/>
      <c r="AO1640" s="17"/>
      <c r="AP1640" s="28" t="str">
        <f t="shared" si="484"/>
        <v>20204</v>
      </c>
      <c r="AQ1640" s="28" t="str">
        <f t="shared" si="485"/>
        <v>20204JPY</v>
      </c>
      <c r="AR1640" s="206" t="str">
        <f t="shared" si="486"/>
        <v>YAMAHA_Mounter</v>
      </c>
      <c r="AS1640" s="22">
        <f t="shared" si="487"/>
        <v>1</v>
      </c>
      <c r="AT1640" s="24" t="str">
        <f t="shared" si="488"/>
        <v>0-3 months</v>
      </c>
      <c r="AU1640" s="22" t="s">
        <v>3744</v>
      </c>
    </row>
    <row r="1641" spans="1:47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80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89"/>
        <v>7367500</v>
      </c>
      <c r="AA1641" s="13">
        <v>7.3599999999999999E-2</v>
      </c>
      <c r="AB1641" s="21">
        <f t="shared" si="474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75"/>
        <v>33477255.428389374</v>
      </c>
      <c r="AJ1641" s="19">
        <f t="shared" si="476"/>
        <v>4578663.362915583</v>
      </c>
      <c r="AK1641" s="20">
        <f t="shared" si="483"/>
        <v>0.13676937682988152</v>
      </c>
      <c r="AL1641" s="17"/>
      <c r="AM1641" s="17"/>
      <c r="AN1641" s="17"/>
      <c r="AO1641" s="17"/>
      <c r="AP1641" s="28" t="str">
        <f t="shared" si="484"/>
        <v>20204</v>
      </c>
      <c r="AQ1641" s="28" t="str">
        <f t="shared" si="485"/>
        <v>20204JPY</v>
      </c>
      <c r="AR1641" s="206" t="str">
        <f t="shared" si="486"/>
        <v>YAMAHA_Mounter</v>
      </c>
      <c r="AS1641" s="22">
        <f t="shared" si="487"/>
        <v>1</v>
      </c>
      <c r="AT1641" s="24" t="str">
        <f t="shared" si="488"/>
        <v>0-3 months</v>
      </c>
      <c r="AU1641" s="22" t="s">
        <v>3744</v>
      </c>
    </row>
    <row r="1642" spans="1:47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80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89"/>
        <v>7367500</v>
      </c>
      <c r="AA1642" s="13">
        <v>7.3599999999999999E-2</v>
      </c>
      <c r="AB1642" s="21">
        <f t="shared" si="474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75"/>
        <v>33477255.428389374</v>
      </c>
      <c r="AJ1642" s="19">
        <f t="shared" si="476"/>
        <v>4578663.362915583</v>
      </c>
      <c r="AK1642" s="20">
        <f t="shared" si="483"/>
        <v>0.13676937682988152</v>
      </c>
      <c r="AL1642" s="17"/>
      <c r="AM1642" s="17"/>
      <c r="AN1642" s="17"/>
      <c r="AO1642" s="17"/>
      <c r="AP1642" s="28" t="str">
        <f t="shared" si="484"/>
        <v>20204</v>
      </c>
      <c r="AQ1642" s="28" t="str">
        <f t="shared" si="485"/>
        <v>20204JPY</v>
      </c>
      <c r="AR1642" s="206" t="str">
        <f t="shared" si="486"/>
        <v>YAMAHA_Mounter</v>
      </c>
      <c r="AS1642" s="22">
        <f t="shared" si="487"/>
        <v>1</v>
      </c>
      <c r="AT1642" s="24" t="str">
        <f t="shared" si="488"/>
        <v>0-3 months</v>
      </c>
      <c r="AU1642" s="22" t="s">
        <v>3744</v>
      </c>
    </row>
    <row r="1643" spans="1:47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80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89"/>
        <v>815000</v>
      </c>
      <c r="AA1643" s="13">
        <v>1.1299999999999999</v>
      </c>
      <c r="AB1643" s="21">
        <f t="shared" si="474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75"/>
        <v>47907808.356810622</v>
      </c>
      <c r="AJ1643" s="19">
        <f t="shared" si="476"/>
        <v>6027384.8806384448</v>
      </c>
      <c r="AK1643" s="20">
        <f t="shared" si="483"/>
        <v>0.12581216063459488</v>
      </c>
      <c r="AL1643" s="17"/>
      <c r="AM1643" s="17"/>
      <c r="AN1643" s="17"/>
      <c r="AO1643" s="17"/>
      <c r="AP1643" s="28" t="str">
        <f t="shared" si="484"/>
        <v>20209</v>
      </c>
      <c r="AQ1643" s="28" t="str">
        <f t="shared" si="485"/>
        <v>20209RMB</v>
      </c>
      <c r="AR1643" s="206" t="str">
        <f t="shared" si="486"/>
        <v>YAMAHA_Mounter</v>
      </c>
      <c r="AS1643" s="22">
        <f t="shared" si="487"/>
        <v>1</v>
      </c>
      <c r="AT1643" s="24" t="str">
        <f t="shared" si="488"/>
        <v>0-3 months</v>
      </c>
      <c r="AU1643" s="22" t="s">
        <v>3743</v>
      </c>
    </row>
    <row r="1644" spans="1:47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80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89"/>
        <v>815000</v>
      </c>
      <c r="AA1644" s="13">
        <v>1.1299999999999999</v>
      </c>
      <c r="AB1644" s="21">
        <f t="shared" si="474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75"/>
        <v>47907808.356810622</v>
      </c>
      <c r="AJ1644" s="19">
        <f t="shared" si="476"/>
        <v>6027384.8806384448</v>
      </c>
      <c r="AK1644" s="20">
        <f t="shared" si="483"/>
        <v>0.12581216063459488</v>
      </c>
      <c r="AL1644" s="17"/>
      <c r="AM1644" s="17"/>
      <c r="AN1644" s="17"/>
      <c r="AO1644" s="17"/>
      <c r="AP1644" s="28" t="str">
        <f t="shared" si="484"/>
        <v>20209</v>
      </c>
      <c r="AQ1644" s="28" t="str">
        <f t="shared" si="485"/>
        <v>20209RMB</v>
      </c>
      <c r="AR1644" s="206" t="str">
        <f t="shared" si="486"/>
        <v>YAMAHA_Mounter</v>
      </c>
      <c r="AS1644" s="22">
        <f t="shared" si="487"/>
        <v>1</v>
      </c>
      <c r="AT1644" s="24" t="str">
        <f t="shared" si="488"/>
        <v>0-3 months</v>
      </c>
      <c r="AU1644" s="22" t="s">
        <v>3743</v>
      </c>
    </row>
    <row r="1645" spans="1:47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80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89"/>
        <v>815000</v>
      </c>
      <c r="AA1645" s="13">
        <v>1.1299999999999999</v>
      </c>
      <c r="AB1645" s="21">
        <f t="shared" si="474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75"/>
        <v>47907808.356810622</v>
      </c>
      <c r="AJ1645" s="19">
        <f t="shared" si="476"/>
        <v>6027384.8806384448</v>
      </c>
      <c r="AK1645" s="20">
        <f t="shared" si="483"/>
        <v>0.12581216063459488</v>
      </c>
      <c r="AL1645" s="17"/>
      <c r="AM1645" s="17"/>
      <c r="AN1645" s="17"/>
      <c r="AO1645" s="17"/>
      <c r="AP1645" s="28" t="str">
        <f t="shared" si="484"/>
        <v>20209</v>
      </c>
      <c r="AQ1645" s="28" t="str">
        <f t="shared" si="485"/>
        <v>20209RMB</v>
      </c>
      <c r="AR1645" s="206" t="str">
        <f t="shared" si="486"/>
        <v>YAMAHA_Mounter</v>
      </c>
      <c r="AS1645" s="22">
        <f t="shared" si="487"/>
        <v>1</v>
      </c>
      <c r="AT1645" s="24" t="str">
        <f t="shared" si="488"/>
        <v>0-3 months</v>
      </c>
      <c r="AU1645" s="22" t="s">
        <v>3743</v>
      </c>
    </row>
    <row r="1646" spans="1:47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80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89"/>
        <v>815000</v>
      </c>
      <c r="AA1646" s="13">
        <v>1.1299999999999999</v>
      </c>
      <c r="AB1646" s="21">
        <f t="shared" si="474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75"/>
        <v>47907808.356810622</v>
      </c>
      <c r="AJ1646" s="19">
        <f t="shared" si="476"/>
        <v>6027384.8806384448</v>
      </c>
      <c r="AK1646" s="20">
        <f t="shared" si="483"/>
        <v>0.12581216063459488</v>
      </c>
      <c r="AL1646" s="17"/>
      <c r="AM1646" s="17"/>
      <c r="AN1646" s="17"/>
      <c r="AO1646" s="17"/>
      <c r="AP1646" s="28" t="str">
        <f t="shared" si="484"/>
        <v>20209</v>
      </c>
      <c r="AQ1646" s="28" t="str">
        <f t="shared" si="485"/>
        <v>20209RMB</v>
      </c>
      <c r="AR1646" s="206" t="str">
        <f t="shared" si="486"/>
        <v>YAMAHA_Mounter</v>
      </c>
      <c r="AS1646" s="22">
        <f t="shared" si="487"/>
        <v>1</v>
      </c>
      <c r="AT1646" s="24" t="str">
        <f t="shared" si="488"/>
        <v>0-3 months</v>
      </c>
      <c r="AU1646" s="22" t="s">
        <v>3743</v>
      </c>
    </row>
    <row r="1647" spans="1:47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80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91">IF(W1647="RMB","1.13", "1")</f>
        <v>1.13</v>
      </c>
      <c r="Z1647" s="18">
        <f t="shared" si="489"/>
        <v>544000</v>
      </c>
      <c r="AA1647" s="13">
        <v>1.2</v>
      </c>
      <c r="AB1647" s="21">
        <f t="shared" si="474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75"/>
        <v>10844605.840707963</v>
      </c>
      <c r="AJ1647" s="19">
        <f t="shared" si="476"/>
        <v>1523130.9860707966</v>
      </c>
      <c r="AK1647" s="20">
        <f t="shared" si="483"/>
        <v>0.14045056209911663</v>
      </c>
      <c r="AL1647" s="17"/>
      <c r="AM1647" s="17"/>
      <c r="AN1647" s="17"/>
      <c r="AO1647" s="17"/>
      <c r="AP1647" s="28" t="str">
        <f t="shared" si="484"/>
        <v>20219</v>
      </c>
      <c r="AQ1647" s="28" t="str">
        <f t="shared" si="485"/>
        <v>20219RMB</v>
      </c>
      <c r="AR1647" s="206" t="str">
        <f t="shared" si="486"/>
        <v>YAMAHA_Mounter</v>
      </c>
      <c r="AS1647" s="22">
        <f t="shared" si="487"/>
        <v>2</v>
      </c>
      <c r="AT1647" s="24" t="str">
        <f t="shared" si="488"/>
        <v>0-3 months</v>
      </c>
      <c r="AU1647" s="22" t="s">
        <v>3750</v>
      </c>
    </row>
    <row r="1648" spans="1:47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80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91"/>
        <v>1.13</v>
      </c>
      <c r="Z1648" s="18">
        <f t="shared" si="489"/>
        <v>544000</v>
      </c>
      <c r="AA1648" s="13">
        <v>1.2</v>
      </c>
      <c r="AB1648" s="21">
        <f t="shared" si="474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75"/>
        <v>10844605.840707963</v>
      </c>
      <c r="AJ1648" s="19">
        <f t="shared" si="476"/>
        <v>1523130.9860707966</v>
      </c>
      <c r="AK1648" s="20">
        <f t="shared" si="483"/>
        <v>0.14045056209911663</v>
      </c>
      <c r="AL1648" s="17"/>
      <c r="AM1648" s="17"/>
      <c r="AN1648" s="17"/>
      <c r="AO1648" s="17"/>
      <c r="AP1648" s="28" t="str">
        <f t="shared" si="484"/>
        <v>20219</v>
      </c>
      <c r="AQ1648" s="28" t="str">
        <f t="shared" si="485"/>
        <v>20219RMB</v>
      </c>
      <c r="AR1648" s="206" t="str">
        <f t="shared" si="486"/>
        <v>YAMAHA_Mounter</v>
      </c>
      <c r="AS1648" s="22">
        <f t="shared" si="487"/>
        <v>2</v>
      </c>
      <c r="AT1648" s="24" t="str">
        <f t="shared" si="488"/>
        <v>0-3 months</v>
      </c>
      <c r="AU1648" s="22" t="s">
        <v>3750</v>
      </c>
    </row>
    <row r="1649" spans="1:47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80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91"/>
        <v>1.13</v>
      </c>
      <c r="Z1649" s="18">
        <f t="shared" si="489"/>
        <v>544000</v>
      </c>
      <c r="AA1649" s="13">
        <v>1.2</v>
      </c>
      <c r="AB1649" s="21">
        <f t="shared" si="474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75"/>
        <v>10844605.840707963</v>
      </c>
      <c r="AJ1649" s="19">
        <f t="shared" si="476"/>
        <v>1523130.9860707966</v>
      </c>
      <c r="AK1649" s="20">
        <f t="shared" si="483"/>
        <v>0.14045056209911663</v>
      </c>
      <c r="AL1649" s="17"/>
      <c r="AM1649" s="17"/>
      <c r="AN1649" s="17"/>
      <c r="AO1649" s="17"/>
      <c r="AP1649" s="28" t="str">
        <f t="shared" si="484"/>
        <v>20219</v>
      </c>
      <c r="AQ1649" s="28" t="str">
        <f t="shared" si="485"/>
        <v>20219RMB</v>
      </c>
      <c r="AR1649" s="206" t="str">
        <f t="shared" si="486"/>
        <v>YAMAHA_Mounter</v>
      </c>
      <c r="AS1649" s="22">
        <f t="shared" si="487"/>
        <v>2</v>
      </c>
      <c r="AT1649" s="24" t="str">
        <f t="shared" si="488"/>
        <v>0-3 months</v>
      </c>
      <c r="AU1649" s="22" t="s">
        <v>3750</v>
      </c>
    </row>
    <row r="1650" spans="1:47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80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91"/>
        <v>1.13</v>
      </c>
      <c r="Z1650" s="18">
        <f t="shared" si="489"/>
        <v>544000</v>
      </c>
      <c r="AA1650" s="13">
        <v>1.2</v>
      </c>
      <c r="AB1650" s="21">
        <f t="shared" si="474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75"/>
        <v>10844605.840707963</v>
      </c>
      <c r="AJ1650" s="19">
        <f t="shared" si="476"/>
        <v>1523130.9860707966</v>
      </c>
      <c r="AK1650" s="20">
        <f t="shared" si="483"/>
        <v>0.14045056209911663</v>
      </c>
      <c r="AL1650" s="17"/>
      <c r="AM1650" s="17"/>
      <c r="AN1650" s="17"/>
      <c r="AO1650" s="17"/>
      <c r="AP1650" s="28" t="str">
        <f t="shared" si="484"/>
        <v>20219</v>
      </c>
      <c r="AQ1650" s="28" t="str">
        <f t="shared" si="485"/>
        <v>20219RMB</v>
      </c>
      <c r="AR1650" s="206" t="str">
        <f t="shared" si="486"/>
        <v>YAMAHA_Mounter</v>
      </c>
      <c r="AS1650" s="22">
        <f t="shared" si="487"/>
        <v>2</v>
      </c>
      <c r="AT1650" s="24" t="str">
        <f t="shared" si="488"/>
        <v>0-3 months</v>
      </c>
      <c r="AU1650" s="22" t="s">
        <v>3750</v>
      </c>
    </row>
    <row r="1651" spans="1:47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80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91"/>
        <v>1.13</v>
      </c>
      <c r="Z1651" s="18">
        <f t="shared" si="489"/>
        <v>747200</v>
      </c>
      <c r="AA1651" s="13">
        <v>1.22</v>
      </c>
      <c r="AB1651" s="21">
        <f t="shared" si="474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75"/>
        <v>46600814.041769907</v>
      </c>
      <c r="AJ1651" s="19">
        <f t="shared" si="476"/>
        <v>5956366.3435927071</v>
      </c>
      <c r="AK1651" s="20">
        <f t="shared" si="483"/>
        <v>0.1278167874546958</v>
      </c>
      <c r="AL1651" s="17"/>
      <c r="AM1651" s="17"/>
      <c r="AN1651" s="17"/>
      <c r="AO1651" s="17" t="s">
        <v>2148</v>
      </c>
      <c r="AP1651" s="28" t="str">
        <f t="shared" si="484"/>
        <v>20224</v>
      </c>
      <c r="AQ1651" s="28" t="str">
        <f t="shared" si="485"/>
        <v>20224RMB</v>
      </c>
      <c r="AR1651" s="206" t="str">
        <f t="shared" si="486"/>
        <v>YAMAHA_Mounter</v>
      </c>
      <c r="AS1651" s="22">
        <f t="shared" si="487"/>
        <v>3</v>
      </c>
      <c r="AT1651" s="24" t="str">
        <f t="shared" si="488"/>
        <v>0-3 months</v>
      </c>
      <c r="AU1651" s="22" t="s">
        <v>3750</v>
      </c>
    </row>
    <row r="1652" spans="1:47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80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91"/>
        <v>1.13</v>
      </c>
      <c r="Z1652" s="18">
        <f t="shared" si="489"/>
        <v>747200</v>
      </c>
      <c r="AA1652" s="13">
        <v>1.22</v>
      </c>
      <c r="AB1652" s="21">
        <f t="shared" si="474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75"/>
        <v>46600814.041769907</v>
      </c>
      <c r="AJ1652" s="19">
        <f t="shared" si="476"/>
        <v>5956366.3435927071</v>
      </c>
      <c r="AK1652" s="20">
        <f t="shared" si="483"/>
        <v>0.1278167874546958</v>
      </c>
      <c r="AL1652" s="17"/>
      <c r="AM1652" s="17"/>
      <c r="AN1652" s="17"/>
      <c r="AO1652" s="17" t="s">
        <v>2148</v>
      </c>
      <c r="AP1652" s="28" t="str">
        <f t="shared" si="484"/>
        <v>20224</v>
      </c>
      <c r="AQ1652" s="28" t="str">
        <f t="shared" si="485"/>
        <v>20224RMB</v>
      </c>
      <c r="AR1652" s="206" t="str">
        <f t="shared" si="486"/>
        <v>YAMAHA_Mounter</v>
      </c>
      <c r="AS1652" s="22">
        <f t="shared" si="487"/>
        <v>3</v>
      </c>
      <c r="AT1652" s="24" t="str">
        <f t="shared" si="488"/>
        <v>0-3 months</v>
      </c>
      <c r="AU1652" s="22" t="s">
        <v>3750</v>
      </c>
    </row>
    <row r="1653" spans="1:47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80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91"/>
        <v>1.13</v>
      </c>
      <c r="Z1653" s="18">
        <f t="shared" si="489"/>
        <v>747200</v>
      </c>
      <c r="AA1653" s="13">
        <v>1.22</v>
      </c>
      <c r="AB1653" s="21">
        <f t="shared" si="474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75"/>
        <v>46600814.041769907</v>
      </c>
      <c r="AJ1653" s="19">
        <f t="shared" si="476"/>
        <v>5956366.3435927071</v>
      </c>
      <c r="AK1653" s="20">
        <f t="shared" si="483"/>
        <v>0.1278167874546958</v>
      </c>
      <c r="AL1653" s="17"/>
      <c r="AM1653" s="17"/>
      <c r="AN1653" s="17"/>
      <c r="AO1653" s="17" t="s">
        <v>2148</v>
      </c>
      <c r="AP1653" s="28" t="str">
        <f t="shared" si="484"/>
        <v>20224</v>
      </c>
      <c r="AQ1653" s="28" t="str">
        <f t="shared" si="485"/>
        <v>20224RMB</v>
      </c>
      <c r="AR1653" s="206" t="str">
        <f t="shared" si="486"/>
        <v>YAMAHA_Mounter</v>
      </c>
      <c r="AS1653" s="22">
        <f t="shared" si="487"/>
        <v>3</v>
      </c>
      <c r="AT1653" s="24" t="str">
        <f t="shared" si="488"/>
        <v>0-3 months</v>
      </c>
      <c r="AU1653" s="22" t="s">
        <v>3750</v>
      </c>
    </row>
    <row r="1654" spans="1:47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80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91"/>
        <v>1.13</v>
      </c>
      <c r="Z1654" s="18">
        <f t="shared" si="489"/>
        <v>747200</v>
      </c>
      <c r="AA1654" s="13">
        <v>1.22</v>
      </c>
      <c r="AB1654" s="21">
        <f t="shared" ref="AB1654:AB1717" si="492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75"/>
        <v>46600814.041769907</v>
      </c>
      <c r="AJ1654" s="19">
        <f t="shared" si="476"/>
        <v>5956366.3435927071</v>
      </c>
      <c r="AK1654" s="20">
        <f t="shared" si="483"/>
        <v>0.1278167874546958</v>
      </c>
      <c r="AL1654" s="17"/>
      <c r="AM1654" s="17"/>
      <c r="AN1654" s="17"/>
      <c r="AO1654" s="17" t="s">
        <v>2148</v>
      </c>
      <c r="AP1654" s="28" t="str">
        <f t="shared" si="484"/>
        <v>20224</v>
      </c>
      <c r="AQ1654" s="28" t="str">
        <f t="shared" si="485"/>
        <v>20224RMB</v>
      </c>
      <c r="AR1654" s="206" t="str">
        <f t="shared" si="486"/>
        <v>YAMAHA_Mounter</v>
      </c>
      <c r="AS1654" s="22">
        <f t="shared" si="487"/>
        <v>3</v>
      </c>
      <c r="AT1654" s="24" t="str">
        <f t="shared" si="488"/>
        <v>0-3 months</v>
      </c>
      <c r="AU1654" s="22" t="s">
        <v>3750</v>
      </c>
    </row>
    <row r="1655" spans="1:47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80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91"/>
        <v>1.13</v>
      </c>
      <c r="Z1655" s="18">
        <f t="shared" si="489"/>
        <v>747200</v>
      </c>
      <c r="AA1655" s="13">
        <v>1.22</v>
      </c>
      <c r="AB1655" s="21">
        <f t="shared" si="492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75"/>
        <v>46600814.041769907</v>
      </c>
      <c r="AJ1655" s="19">
        <f t="shared" si="476"/>
        <v>5956366.3435927071</v>
      </c>
      <c r="AK1655" s="20">
        <f t="shared" si="483"/>
        <v>0.1278167874546958</v>
      </c>
      <c r="AL1655" s="17"/>
      <c r="AM1655" s="17"/>
      <c r="AN1655" s="17"/>
      <c r="AO1655" s="17" t="s">
        <v>2148</v>
      </c>
      <c r="AP1655" s="28" t="str">
        <f t="shared" si="484"/>
        <v>20224</v>
      </c>
      <c r="AQ1655" s="28" t="str">
        <f t="shared" si="485"/>
        <v>20224RMB</v>
      </c>
      <c r="AR1655" s="206" t="str">
        <f t="shared" si="486"/>
        <v>YAMAHA_Mounter</v>
      </c>
      <c r="AS1655" s="22">
        <f t="shared" si="487"/>
        <v>3</v>
      </c>
      <c r="AT1655" s="24" t="str">
        <f t="shared" si="488"/>
        <v>0-3 months</v>
      </c>
      <c r="AU1655" s="22" t="s">
        <v>3750</v>
      </c>
    </row>
    <row r="1656" spans="1:47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80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91"/>
        <v>1.13</v>
      </c>
      <c r="Z1656" s="18">
        <f t="shared" si="489"/>
        <v>710000</v>
      </c>
      <c r="AA1656" s="13">
        <v>1.105</v>
      </c>
      <c r="AB1656" s="21">
        <f t="shared" si="492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75"/>
        <v>13640480.497522123</v>
      </c>
      <c r="AJ1656" s="19">
        <f t="shared" si="476"/>
        <v>1928605.8020906283</v>
      </c>
      <c r="AK1656" s="20">
        <f t="shared" si="483"/>
        <v>0.1413884065477731</v>
      </c>
      <c r="AL1656" s="17"/>
      <c r="AM1656" s="17"/>
      <c r="AN1656" s="17"/>
      <c r="AO1656" s="17"/>
      <c r="AP1656" s="28" t="str">
        <f t="shared" si="484"/>
        <v>20236</v>
      </c>
      <c r="AQ1656" s="28" t="str">
        <f t="shared" si="485"/>
        <v>20236RMB</v>
      </c>
      <c r="AR1656" s="206" t="str">
        <f t="shared" si="486"/>
        <v>YAMAHA_Mounter</v>
      </c>
      <c r="AS1656" s="22">
        <f t="shared" si="487"/>
        <v>4</v>
      </c>
      <c r="AT1656" s="24" t="str">
        <f t="shared" si="488"/>
        <v>4-6 months</v>
      </c>
      <c r="AU1656" s="22" t="s">
        <v>3750</v>
      </c>
    </row>
    <row r="1657" spans="1:47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80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91"/>
        <v>1</v>
      </c>
      <c r="Z1657" s="18">
        <f t="shared" si="489"/>
        <v>13880000</v>
      </c>
      <c r="AA1657" s="13">
        <v>7.2800000000000004E-2</v>
      </c>
      <c r="AB1657" s="21">
        <f t="shared" si="492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75"/>
        <v>63006605.696460173</v>
      </c>
      <c r="AJ1657" s="19">
        <f t="shared" si="476"/>
        <v>8897485.660753984</v>
      </c>
      <c r="AK1657" s="20">
        <f t="shared" si="483"/>
        <v>0.141215124388995</v>
      </c>
      <c r="AL1657" s="17"/>
      <c r="AM1657" s="17"/>
      <c r="AN1657" s="17"/>
      <c r="AO1657" s="17"/>
      <c r="AP1657" s="28" t="str">
        <f t="shared" si="484"/>
        <v>20215</v>
      </c>
      <c r="AQ1657" s="28" t="str">
        <f t="shared" si="485"/>
        <v>20215JPY</v>
      </c>
      <c r="AR1657" s="206" t="str">
        <f t="shared" si="486"/>
        <v>YAMAHA_Non_Mounter</v>
      </c>
      <c r="AS1657" s="22">
        <f t="shared" si="487"/>
        <v>4</v>
      </c>
      <c r="AT1657" s="24" t="str">
        <f t="shared" si="488"/>
        <v>4-6 months</v>
      </c>
      <c r="AU1657" s="22" t="s">
        <v>3744</v>
      </c>
    </row>
    <row r="1658" spans="1:47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80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91"/>
        <v>1</v>
      </c>
      <c r="Z1658" s="18">
        <f t="shared" si="489"/>
        <v>7100000</v>
      </c>
      <c r="AA1658" s="13">
        <v>5.6099999999999997E-2</v>
      </c>
      <c r="AB1658" s="21">
        <f t="shared" si="492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75"/>
        <v>22953677.784070797</v>
      </c>
      <c r="AJ1658" s="19">
        <f t="shared" si="476"/>
        <v>4168706.6744155753</v>
      </c>
      <c r="AK1658" s="20">
        <f t="shared" si="483"/>
        <v>0.18161388835511752</v>
      </c>
      <c r="AL1658" s="17"/>
      <c r="AM1658" s="17"/>
      <c r="AN1658" s="17"/>
      <c r="AO1658" s="17"/>
      <c r="AP1658" s="28" t="str">
        <f t="shared" si="484"/>
        <v>20238</v>
      </c>
      <c r="AQ1658" s="28" t="str">
        <f t="shared" si="485"/>
        <v>20238JPY</v>
      </c>
      <c r="AR1658" s="206" t="str">
        <f t="shared" si="486"/>
        <v>YAMAHA_Mounter</v>
      </c>
      <c r="AS1658" s="22">
        <f t="shared" si="487"/>
        <v>1</v>
      </c>
      <c r="AT1658" s="24" t="str">
        <f t="shared" si="488"/>
        <v>0-3 months</v>
      </c>
      <c r="AU1658" s="22" t="s">
        <v>3744</v>
      </c>
    </row>
    <row r="1659" spans="1:47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80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91"/>
        <v>1</v>
      </c>
      <c r="Z1659" s="18">
        <f t="shared" si="489"/>
        <v>7100000</v>
      </c>
      <c r="AA1659" s="13">
        <v>5.6099999999999997E-2</v>
      </c>
      <c r="AB1659" s="21">
        <f t="shared" si="492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75"/>
        <v>22953677.784070797</v>
      </c>
      <c r="AJ1659" s="19">
        <f t="shared" si="476"/>
        <v>4168706.6744155753</v>
      </c>
      <c r="AK1659" s="20">
        <f t="shared" si="483"/>
        <v>0.18161388835511752</v>
      </c>
      <c r="AL1659" s="17"/>
      <c r="AM1659" s="17"/>
      <c r="AN1659" s="17"/>
      <c r="AO1659" s="17"/>
      <c r="AP1659" s="28" t="str">
        <f t="shared" si="484"/>
        <v>20238</v>
      </c>
      <c r="AQ1659" s="28" t="str">
        <f t="shared" si="485"/>
        <v>20238JPY</v>
      </c>
      <c r="AR1659" s="206" t="str">
        <f t="shared" si="486"/>
        <v>YAMAHA_Mounter</v>
      </c>
      <c r="AS1659" s="22">
        <f t="shared" si="487"/>
        <v>1</v>
      </c>
      <c r="AT1659" s="24" t="str">
        <f t="shared" si="488"/>
        <v>0-3 months</v>
      </c>
      <c r="AU1659" s="22" t="s">
        <v>3744</v>
      </c>
    </row>
    <row r="1660" spans="1:47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80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89"/>
        <v>1740000</v>
      </c>
      <c r="AA1660" s="13">
        <v>1.125</v>
      </c>
      <c r="AB1660" s="21">
        <f t="shared" si="492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75"/>
        <v>29840797.698275864</v>
      </c>
      <c r="AJ1660" s="19">
        <f t="shared" si="476"/>
        <v>3940167.6555448272</v>
      </c>
      <c r="AK1660" s="20">
        <f t="shared" si="483"/>
        <v>0.13203962224416277</v>
      </c>
      <c r="AL1660" s="17"/>
      <c r="AM1660" s="17"/>
      <c r="AN1660" s="17"/>
      <c r="AO1660" s="17"/>
      <c r="AP1660" s="28" t="str">
        <f t="shared" si="484"/>
        <v>201812</v>
      </c>
      <c r="AQ1660" s="28" t="str">
        <f t="shared" si="485"/>
        <v>201812RMB</v>
      </c>
      <c r="AR1660" s="206" t="str">
        <f t="shared" si="486"/>
        <v>YAMAHA_Mounter</v>
      </c>
      <c r="AS1660" s="22">
        <f t="shared" si="487"/>
        <v>2</v>
      </c>
      <c r="AT1660" s="24" t="str">
        <f t="shared" si="488"/>
        <v>0-3 months</v>
      </c>
      <c r="AU1660" s="22" t="s">
        <v>3240</v>
      </c>
    </row>
    <row r="1661" spans="1:47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80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89"/>
        <v>2794040</v>
      </c>
      <c r="AA1661" s="13">
        <v>1.1599999999999999</v>
      </c>
      <c r="AB1661" s="21">
        <f t="shared" si="492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75"/>
        <v>32843736.557277881</v>
      </c>
      <c r="AJ1661" s="19">
        <f t="shared" si="476"/>
        <v>3921470.6822663117</v>
      </c>
      <c r="AK1661" s="20">
        <f t="shared" si="483"/>
        <v>0.11939782416131177</v>
      </c>
      <c r="AL1661" s="17"/>
      <c r="AM1661" s="17"/>
      <c r="AN1661" s="17"/>
      <c r="AO1661" s="17"/>
      <c r="AP1661" s="28" t="str">
        <f t="shared" si="484"/>
        <v>20194</v>
      </c>
      <c r="AQ1661" s="28" t="str">
        <f t="shared" si="485"/>
        <v>20194RMB</v>
      </c>
      <c r="AR1661" s="206" t="str">
        <f t="shared" si="486"/>
        <v>YAMAHA_Mounter</v>
      </c>
      <c r="AS1661" s="22">
        <f t="shared" si="487"/>
        <v>0</v>
      </c>
      <c r="AT1661" s="24" t="str">
        <f t="shared" si="488"/>
        <v>0-3 months</v>
      </c>
      <c r="AU1661" s="22" t="s">
        <v>3240</v>
      </c>
    </row>
    <row r="1662" spans="1:47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80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89"/>
        <v>650000</v>
      </c>
      <c r="AA1662" s="13">
        <v>1.135</v>
      </c>
      <c r="AB1662" s="21">
        <f t="shared" si="492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75"/>
        <v>34015877.71150443</v>
      </c>
      <c r="AJ1662" s="19">
        <f t="shared" si="476"/>
        <v>4446292.375441948</v>
      </c>
      <c r="AK1662" s="20">
        <f t="shared" si="483"/>
        <v>0.13071226364205143</v>
      </c>
      <c r="AL1662" s="17"/>
      <c r="AM1662" s="17"/>
      <c r="AN1662" s="17"/>
      <c r="AO1662" s="17"/>
      <c r="AP1662" s="28" t="str">
        <f t="shared" si="484"/>
        <v>20197</v>
      </c>
      <c r="AQ1662" s="28" t="str">
        <f t="shared" si="485"/>
        <v>20197RMB</v>
      </c>
      <c r="AR1662" s="206" t="str">
        <f t="shared" si="486"/>
        <v>YAMAHA_Mounter</v>
      </c>
      <c r="AS1662" s="22">
        <f t="shared" si="487"/>
        <v>1</v>
      </c>
      <c r="AT1662" s="24" t="str">
        <f t="shared" si="488"/>
        <v>0-3 months</v>
      </c>
      <c r="AU1662" s="22" t="s">
        <v>3743</v>
      </c>
    </row>
    <row r="1663" spans="1:47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80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89"/>
        <v>650000</v>
      </c>
      <c r="AA1663" s="13">
        <v>1.135</v>
      </c>
      <c r="AB1663" s="21">
        <f t="shared" si="492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75"/>
        <v>34015877.71150443</v>
      </c>
      <c r="AJ1663" s="19">
        <f t="shared" si="476"/>
        <v>4446292.375441948</v>
      </c>
      <c r="AK1663" s="20">
        <f t="shared" si="483"/>
        <v>0.13071226364205143</v>
      </c>
      <c r="AL1663" s="17"/>
      <c r="AM1663" s="17"/>
      <c r="AN1663" s="17"/>
      <c r="AO1663" s="17"/>
      <c r="AP1663" s="28" t="str">
        <f t="shared" si="484"/>
        <v>20197</v>
      </c>
      <c r="AQ1663" s="28" t="str">
        <f t="shared" si="485"/>
        <v>20197RMB</v>
      </c>
      <c r="AR1663" s="206" t="str">
        <f t="shared" si="486"/>
        <v>YAMAHA_Mounter</v>
      </c>
      <c r="AS1663" s="22">
        <f t="shared" si="487"/>
        <v>1</v>
      </c>
      <c r="AT1663" s="24" t="str">
        <f t="shared" si="488"/>
        <v>0-3 months</v>
      </c>
      <c r="AU1663" s="22" t="s">
        <v>3743</v>
      </c>
    </row>
    <row r="1664" spans="1:47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80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89"/>
        <v>900000</v>
      </c>
      <c r="AA1664" s="13">
        <v>1.135</v>
      </c>
      <c r="AB1664" s="21">
        <f t="shared" si="492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75"/>
        <v>34015877.71150443</v>
      </c>
      <c r="AJ1664" s="19">
        <f t="shared" si="476"/>
        <v>4446292.375441948</v>
      </c>
      <c r="AK1664" s="20">
        <f t="shared" si="483"/>
        <v>0.13071226364205143</v>
      </c>
      <c r="AL1664" s="17"/>
      <c r="AM1664" s="17"/>
      <c r="AN1664" s="17"/>
      <c r="AO1664" s="17"/>
      <c r="AP1664" s="28" t="str">
        <f t="shared" si="484"/>
        <v>20197</v>
      </c>
      <c r="AQ1664" s="28" t="str">
        <f t="shared" si="485"/>
        <v>20197RMB</v>
      </c>
      <c r="AR1664" s="206" t="str">
        <f t="shared" si="486"/>
        <v>YAMAHA_Mounter</v>
      </c>
      <c r="AS1664" s="22">
        <f t="shared" si="487"/>
        <v>1</v>
      </c>
      <c r="AT1664" s="24" t="str">
        <f t="shared" si="488"/>
        <v>0-3 months</v>
      </c>
      <c r="AU1664" s="22" t="s">
        <v>3240</v>
      </c>
    </row>
    <row r="1665" spans="1:47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80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89"/>
        <v>900000</v>
      </c>
      <c r="AA1665" s="13">
        <v>1.135</v>
      </c>
      <c r="AB1665" s="21">
        <f t="shared" si="492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75"/>
        <v>34015877.71150443</v>
      </c>
      <c r="AJ1665" s="19">
        <f t="shared" si="476"/>
        <v>4446292.375441948</v>
      </c>
      <c r="AK1665" s="20">
        <f t="shared" si="483"/>
        <v>0.13071226364205143</v>
      </c>
      <c r="AL1665" s="17"/>
      <c r="AM1665" s="17"/>
      <c r="AN1665" s="17"/>
      <c r="AO1665" s="17"/>
      <c r="AP1665" s="28" t="str">
        <f t="shared" si="484"/>
        <v>20197</v>
      </c>
      <c r="AQ1665" s="28" t="str">
        <f t="shared" si="485"/>
        <v>20197RMB</v>
      </c>
      <c r="AR1665" s="206" t="str">
        <f t="shared" si="486"/>
        <v>YAMAHA_Mounter</v>
      </c>
      <c r="AS1665" s="22">
        <f t="shared" si="487"/>
        <v>1</v>
      </c>
      <c r="AT1665" s="24" t="str">
        <f t="shared" si="488"/>
        <v>0-3 months</v>
      </c>
      <c r="AU1665" s="22" t="s">
        <v>3240</v>
      </c>
    </row>
    <row r="1666" spans="1:47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79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80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89"/>
        <v>8600000</v>
      </c>
      <c r="AA1666" s="13">
        <v>6.2799999999999995E-2</v>
      </c>
      <c r="AB1666" s="21">
        <f t="shared" si="492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ref="AI1666:AI1729" si="493">IF(P1666="C66 SERVICE","",SUMIFS(AB:AB,F:F,F1666,G:G,G1666,E:E,E1666))</f>
        <v>499582152.5142017</v>
      </c>
      <c r="AJ1666" s="19">
        <f t="shared" ref="AJ1666:AJ1729" si="494">IF(P1666="C66 SERVICE","",SUMIFS(AC:AC,F:F,F1666,G:G,G1666,E:E,E1666))</f>
        <v>59520528.679470733</v>
      </c>
      <c r="AK1666" s="20">
        <f t="shared" si="483"/>
        <v>0.11914062257814291</v>
      </c>
      <c r="AL1666" s="17"/>
      <c r="AM1666" s="17"/>
      <c r="AN1666" s="17"/>
      <c r="AO1666" s="17"/>
      <c r="AP1666" s="28" t="str">
        <f t="shared" si="484"/>
        <v>CancelCancel</v>
      </c>
      <c r="AQ1666" s="28" t="str">
        <f t="shared" si="485"/>
        <v>CancelCancelJPY</v>
      </c>
      <c r="AR1666" s="206" t="str">
        <f t="shared" si="486"/>
        <v>YAMAHA_Mounter</v>
      </c>
      <c r="AS1666" s="22" t="str">
        <f t="shared" si="487"/>
        <v/>
      </c>
      <c r="AT1666" s="24" t="str">
        <f t="shared" si="488"/>
        <v/>
      </c>
      <c r="AU1666" s="22" t="s">
        <v>3744</v>
      </c>
    </row>
    <row r="1667" spans="1:47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80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89"/>
        <v>590000</v>
      </c>
      <c r="AA1667" s="13">
        <v>1.095</v>
      </c>
      <c r="AB1667" s="21">
        <f t="shared" si="492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93"/>
        <v>37599388.802345134</v>
      </c>
      <c r="AJ1667" s="19">
        <f t="shared" si="494"/>
        <v>4866784.3630338367</v>
      </c>
      <c r="AK1667" s="20">
        <f t="shared" si="483"/>
        <v>0.12943785838163113</v>
      </c>
      <c r="AL1667" s="17"/>
      <c r="AM1667" s="17"/>
      <c r="AN1667" s="17"/>
      <c r="AO1667" s="17"/>
      <c r="AP1667" s="28" t="str">
        <f t="shared" si="484"/>
        <v>20199</v>
      </c>
      <c r="AQ1667" s="28" t="str">
        <f t="shared" si="485"/>
        <v>20199RMB</v>
      </c>
      <c r="AR1667" s="206" t="str">
        <f t="shared" si="486"/>
        <v>YAMAHA_Mounter</v>
      </c>
      <c r="AS1667" s="22">
        <f t="shared" si="487"/>
        <v>1</v>
      </c>
      <c r="AT1667" s="24" t="str">
        <f t="shared" si="488"/>
        <v>0-3 months</v>
      </c>
      <c r="AU1667" s="22" t="s">
        <v>3743</v>
      </c>
    </row>
    <row r="1668" spans="1:47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80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89"/>
        <v>12270000</v>
      </c>
      <c r="AA1668" s="13">
        <v>6.9199999999999998E-2</v>
      </c>
      <c r="AB1668" s="21">
        <f t="shared" si="492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93"/>
        <v>26407088.359292038</v>
      </c>
      <c r="AJ1668" s="19">
        <f t="shared" si="494"/>
        <v>3424510.6998470789</v>
      </c>
      <c r="AK1668" s="20">
        <f t="shared" si="483"/>
        <v>0.12968149510667554</v>
      </c>
      <c r="AL1668" s="17"/>
      <c r="AM1668" s="17"/>
      <c r="AN1668" s="17"/>
      <c r="AO1668" s="17"/>
      <c r="AP1668" s="28" t="str">
        <f t="shared" si="484"/>
        <v>20221</v>
      </c>
      <c r="AQ1668" s="28" t="str">
        <f t="shared" si="485"/>
        <v>20221JPY</v>
      </c>
      <c r="AR1668" s="206" t="str">
        <f t="shared" si="486"/>
        <v>YAMAHA_Mounter</v>
      </c>
      <c r="AS1668" s="22">
        <f t="shared" si="487"/>
        <v>7</v>
      </c>
      <c r="AT1668" s="24" t="str">
        <f t="shared" si="488"/>
        <v>&gt; 6 months</v>
      </c>
      <c r="AU1668" s="22" t="s">
        <v>3240</v>
      </c>
    </row>
    <row r="1669" spans="1:47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80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89"/>
        <v>12270000</v>
      </c>
      <c r="AA1669" s="13">
        <v>6.25E-2</v>
      </c>
      <c r="AB1669" s="21">
        <f t="shared" si="492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93"/>
        <v>35682787.057522126</v>
      </c>
      <c r="AJ1669" s="19">
        <f t="shared" si="494"/>
        <v>5833368.3789623892</v>
      </c>
      <c r="AK1669" s="20">
        <f t="shared" si="483"/>
        <v>0.16347849649632912</v>
      </c>
      <c r="AL1669" s="17"/>
      <c r="AM1669" s="17"/>
      <c r="AN1669" s="17"/>
      <c r="AO1669" s="17"/>
      <c r="AP1669" s="28" t="str">
        <f t="shared" si="484"/>
        <v>20226</v>
      </c>
      <c r="AQ1669" s="28" t="str">
        <f t="shared" si="485"/>
        <v>20226JPY</v>
      </c>
      <c r="AR1669" s="206" t="str">
        <f t="shared" si="486"/>
        <v>YAMAHA_Mounter</v>
      </c>
      <c r="AS1669" s="22">
        <f t="shared" si="487"/>
        <v>12</v>
      </c>
      <c r="AT1669" s="24" t="str">
        <f t="shared" si="488"/>
        <v>&gt; 6 months</v>
      </c>
      <c r="AU1669" s="22" t="s">
        <v>3240</v>
      </c>
    </row>
    <row r="1670" spans="1:47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89"/>
        <v>12270000</v>
      </c>
      <c r="AA1670" s="13">
        <v>6.25E-2</v>
      </c>
      <c r="AB1670" s="21">
        <f t="shared" si="492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si="493"/>
        <v>35682787.057522126</v>
      </c>
      <c r="AJ1670" s="19">
        <f t="shared" si="494"/>
        <v>5833368.3789623892</v>
      </c>
      <c r="AK1670" s="20">
        <f t="shared" ref="AK1670:AK1733" si="501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2">IF(F1670="","",F1670&amp;G1670)</f>
        <v>20226</v>
      </c>
      <c r="AQ1670" s="28" t="str">
        <f t="shared" ref="AQ1670:AQ1733" si="503">IF(W1670="","",F1670&amp;G1670&amp;W1670)</f>
        <v>20226JPY</v>
      </c>
      <c r="AR1670" s="206" t="str">
        <f t="shared" ref="AR1670:AR1733" si="504">IFERROR(IF(AND(M1670="YAMAHA", R1670="C28"), "YAMAHA_Non_Mounter", IF(AND(M1670="YAMAHA", R1670="C49"), "YAMAHA_Mounter", M1670)),"")</f>
        <v>YAMAHA_Mounter</v>
      </c>
      <c r="AS1670" s="22">
        <f t="shared" ref="AS1670:AS1733" si="505">IFERROR(IF(OR(G1670="TBA", G1670=""), "", DATEDIF(DATE(B1670, C1670, 1), DATE(F1670, G1670, 1), "M")),"")</f>
        <v>12</v>
      </c>
      <c r="AT1670" s="24" t="str">
        <f t="shared" ref="AT1670:AT1733" si="506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98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89"/>
        <v>739000</v>
      </c>
      <c r="AA1671" s="13">
        <v>1.1399999999999999</v>
      </c>
      <c r="AB1671" s="21">
        <f t="shared" si="492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493"/>
        <v>30573205.452778768</v>
      </c>
      <c r="AJ1671" s="19">
        <f t="shared" si="494"/>
        <v>3790930.1683151261</v>
      </c>
      <c r="AK1671" s="20">
        <f t="shared" si="501"/>
        <v>0.12399518179964254</v>
      </c>
      <c r="AL1671" s="17"/>
      <c r="AM1671" s="17"/>
      <c r="AN1671" s="17"/>
      <c r="AO1671" s="17"/>
      <c r="AP1671" s="28" t="str">
        <f t="shared" si="502"/>
        <v>20234</v>
      </c>
      <c r="AQ1671" s="28" t="str">
        <f t="shared" si="503"/>
        <v>20234RMB</v>
      </c>
      <c r="AR1671" s="206" t="str">
        <f t="shared" si="504"/>
        <v>YAMAHA_Mounter</v>
      </c>
      <c r="AS1671" s="22">
        <f t="shared" si="505"/>
        <v>2</v>
      </c>
      <c r="AT1671" s="24" t="str">
        <f t="shared" si="506"/>
        <v>0-3 months</v>
      </c>
      <c r="AU1671" s="22" t="s">
        <v>3750</v>
      </c>
    </row>
    <row r="1672" spans="1:47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98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89"/>
        <v>8120000</v>
      </c>
      <c r="AA1672" s="22">
        <v>5.3100000000000001E-2</v>
      </c>
      <c r="AB1672" s="21">
        <f t="shared" si="492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493"/>
        <v>21241742.157380536</v>
      </c>
      <c r="AJ1672" s="27">
        <f t="shared" si="494"/>
        <v>2987081.1613773629</v>
      </c>
      <c r="AK1672" s="28">
        <f t="shared" si="501"/>
        <v>0.14062317201884914</v>
      </c>
      <c r="AL1672" s="24"/>
      <c r="AM1672" s="24"/>
      <c r="AN1672" s="24"/>
      <c r="AO1672" s="24"/>
      <c r="AP1672" s="28" t="str">
        <f t="shared" si="502"/>
        <v>20243</v>
      </c>
      <c r="AQ1672" s="28" t="str">
        <f t="shared" si="503"/>
        <v>20243JPY</v>
      </c>
      <c r="AR1672" s="206" t="str">
        <f t="shared" si="504"/>
        <v>YAMAHA_Mounter</v>
      </c>
      <c r="AS1672" s="22">
        <f t="shared" si="505"/>
        <v>1</v>
      </c>
      <c r="AT1672" s="24" t="str">
        <f t="shared" si="506"/>
        <v>0-3 months</v>
      </c>
      <c r="AU1672" s="22" t="s">
        <v>3744</v>
      </c>
    </row>
    <row r="1673" spans="1:47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97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98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89"/>
        <v>585200</v>
      </c>
      <c r="AA1673" s="13">
        <v>1.1950000000000001</v>
      </c>
      <c r="AB1673" s="21">
        <f t="shared" si="492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493"/>
        <v>499582152.5142017</v>
      </c>
      <c r="AJ1673" s="19">
        <f t="shared" si="494"/>
        <v>59520528.679470733</v>
      </c>
      <c r="AK1673" s="20">
        <f t="shared" si="501"/>
        <v>0.11914062257814291</v>
      </c>
      <c r="AL1673" s="17"/>
      <c r="AM1673" s="17"/>
      <c r="AN1673" s="17"/>
      <c r="AO1673" s="17" t="s">
        <v>2091</v>
      </c>
      <c r="AP1673" s="28" t="str">
        <f t="shared" si="502"/>
        <v>CancelCANCEL</v>
      </c>
      <c r="AQ1673" s="28" t="str">
        <f t="shared" si="503"/>
        <v>CancelCANCELRMB</v>
      </c>
      <c r="AR1673" s="206" t="str">
        <f t="shared" si="504"/>
        <v>YAMAHA_Mounter</v>
      </c>
      <c r="AS1673" s="22" t="str">
        <f t="shared" si="505"/>
        <v/>
      </c>
      <c r="AT1673" s="24" t="str">
        <f t="shared" si="506"/>
        <v/>
      </c>
      <c r="AU1673" s="22" t="s">
        <v>3240</v>
      </c>
    </row>
    <row r="1674" spans="1:47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97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98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507">IF(X1674="","",X1674*MAX(O1674,N1674))</f>
        <v>585200</v>
      </c>
      <c r="AA1674" s="13">
        <v>1.1950000000000001</v>
      </c>
      <c r="AB1674" s="21">
        <f t="shared" si="492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493"/>
        <v>499582152.5142017</v>
      </c>
      <c r="AJ1674" s="19">
        <f t="shared" si="494"/>
        <v>59520528.679470733</v>
      </c>
      <c r="AK1674" s="20">
        <f t="shared" si="501"/>
        <v>0.11914062257814291</v>
      </c>
      <c r="AL1674" s="17"/>
      <c r="AM1674" s="17"/>
      <c r="AN1674" s="17"/>
      <c r="AO1674" s="17" t="s">
        <v>2091</v>
      </c>
      <c r="AP1674" s="28" t="str">
        <f t="shared" si="502"/>
        <v>CancelCANCEL</v>
      </c>
      <c r="AQ1674" s="28" t="str">
        <f t="shared" si="503"/>
        <v>CancelCANCELRMB</v>
      </c>
      <c r="AR1674" s="206" t="str">
        <f t="shared" si="504"/>
        <v>YAMAHA_Mounter</v>
      </c>
      <c r="AS1674" s="22" t="str">
        <f t="shared" si="505"/>
        <v/>
      </c>
      <c r="AT1674" s="24" t="str">
        <f t="shared" si="506"/>
        <v/>
      </c>
      <c r="AU1674" s="22" t="s">
        <v>3240</v>
      </c>
    </row>
    <row r="1675" spans="1:47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98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507"/>
        <v>9800000</v>
      </c>
      <c r="AA1675" s="13">
        <v>7.2099999999999997E-2</v>
      </c>
      <c r="AB1675" s="21">
        <f t="shared" si="492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493"/>
        <v>26492741.106427077</v>
      </c>
      <c r="AJ1675" s="19">
        <f t="shared" si="494"/>
        <v>3348032.1325698122</v>
      </c>
      <c r="AK1675" s="20">
        <f t="shared" si="501"/>
        <v>0.12637545201985867</v>
      </c>
      <c r="AL1675" s="17"/>
      <c r="AM1675" s="17"/>
      <c r="AN1675" s="17"/>
      <c r="AO1675" s="17"/>
      <c r="AP1675" s="28" t="str">
        <f t="shared" si="502"/>
        <v>20189</v>
      </c>
      <c r="AQ1675" s="28" t="str">
        <f t="shared" si="503"/>
        <v>20189JPY</v>
      </c>
      <c r="AR1675" s="206" t="str">
        <f t="shared" si="504"/>
        <v>YAMAHA_Mounter</v>
      </c>
      <c r="AS1675" s="22">
        <f t="shared" si="505"/>
        <v>8</v>
      </c>
      <c r="AT1675" s="24" t="str">
        <f t="shared" si="506"/>
        <v>&gt; 6 months</v>
      </c>
      <c r="AU1675" s="22" t="s">
        <v>3744</v>
      </c>
    </row>
    <row r="1676" spans="1:47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98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507"/>
        <v>460000</v>
      </c>
      <c r="AA1676" s="13">
        <v>1.175</v>
      </c>
      <c r="AB1676" s="21">
        <f t="shared" si="492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493"/>
        <v>35682787.057522126</v>
      </c>
      <c r="AJ1676" s="19">
        <f t="shared" si="494"/>
        <v>5833368.3789623892</v>
      </c>
      <c r="AK1676" s="20">
        <f t="shared" si="501"/>
        <v>0.16347849649632912</v>
      </c>
      <c r="AL1676" s="17"/>
      <c r="AM1676" s="17"/>
      <c r="AN1676" s="17"/>
      <c r="AO1676" s="17"/>
      <c r="AP1676" s="28" t="str">
        <f t="shared" si="502"/>
        <v>20226</v>
      </c>
      <c r="AQ1676" s="28" t="str">
        <f t="shared" si="503"/>
        <v>20226RMB</v>
      </c>
      <c r="AR1676" s="206" t="str">
        <f t="shared" si="504"/>
        <v>YAMAHA_Mounter</v>
      </c>
      <c r="AS1676" s="22">
        <f t="shared" si="505"/>
        <v>0</v>
      </c>
      <c r="AT1676" s="24" t="str">
        <f t="shared" si="506"/>
        <v>0-3 months</v>
      </c>
      <c r="AU1676" s="22" t="s">
        <v>3750</v>
      </c>
    </row>
    <row r="1677" spans="1:47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98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507"/>
        <v>11000000</v>
      </c>
      <c r="AA1677" s="13">
        <v>7.3499999999999996E-2</v>
      </c>
      <c r="AB1677" s="21">
        <f t="shared" si="492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493"/>
        <v>26147030.909862842</v>
      </c>
      <c r="AJ1677" s="19">
        <f t="shared" si="494"/>
        <v>2743862.8630715334</v>
      </c>
      <c r="AK1677" s="20">
        <f t="shared" si="501"/>
        <v>0.10493974908778378</v>
      </c>
      <c r="AL1677" s="17"/>
      <c r="AM1677" s="17"/>
      <c r="AN1677" s="17"/>
      <c r="AO1677" s="17"/>
      <c r="AP1677" s="28" t="str">
        <f t="shared" si="502"/>
        <v>201911</v>
      </c>
      <c r="AQ1677" s="28" t="str">
        <f t="shared" si="503"/>
        <v>201911JPY</v>
      </c>
      <c r="AR1677" s="206" t="str">
        <f t="shared" si="504"/>
        <v>YAMAHA_Mounter</v>
      </c>
      <c r="AS1677" s="22">
        <f t="shared" si="505"/>
        <v>0</v>
      </c>
      <c r="AT1677" s="24" t="str">
        <f t="shared" si="506"/>
        <v>0-3 months</v>
      </c>
      <c r="AU1677" s="22" t="s">
        <v>3744</v>
      </c>
    </row>
    <row r="1678" spans="1:47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98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507"/>
        <v>12700000</v>
      </c>
      <c r="AA1678" s="13">
        <v>7.2800000000000004E-2</v>
      </c>
      <c r="AB1678" s="21">
        <f t="shared" si="492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493"/>
        <v>63006605.696460173</v>
      </c>
      <c r="AJ1678" s="19">
        <f t="shared" si="494"/>
        <v>8897485.660753984</v>
      </c>
      <c r="AK1678" s="20">
        <f t="shared" si="501"/>
        <v>0.141215124388995</v>
      </c>
      <c r="AL1678" s="17"/>
      <c r="AM1678" s="17"/>
      <c r="AN1678" s="17"/>
      <c r="AO1678" s="17"/>
      <c r="AP1678" s="28" t="str">
        <f t="shared" si="502"/>
        <v>20215</v>
      </c>
      <c r="AQ1678" s="28" t="str">
        <f t="shared" si="503"/>
        <v>20215JPY</v>
      </c>
      <c r="AR1678" s="206" t="str">
        <f t="shared" si="504"/>
        <v>YAMAHA_Mounter</v>
      </c>
      <c r="AS1678" s="22">
        <f t="shared" si="505"/>
        <v>3</v>
      </c>
      <c r="AT1678" s="24" t="str">
        <f t="shared" si="506"/>
        <v>0-3 months</v>
      </c>
      <c r="AU1678" s="22" t="s">
        <v>3744</v>
      </c>
    </row>
    <row r="1679" spans="1:47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98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507"/>
        <v>14000000</v>
      </c>
      <c r="AA1679" s="13">
        <v>7.0000000000000007E-2</v>
      </c>
      <c r="AB1679" s="21">
        <f t="shared" si="492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493"/>
        <v>29500529.005044252</v>
      </c>
      <c r="AJ1679" s="19">
        <f t="shared" si="494"/>
        <v>3253064.846231177</v>
      </c>
      <c r="AK1679" s="20">
        <f t="shared" si="501"/>
        <v>0.11027140718984871</v>
      </c>
      <c r="AL1679" s="17"/>
      <c r="AM1679" s="17"/>
      <c r="AN1679" s="17"/>
      <c r="AO1679" s="17"/>
      <c r="AP1679" s="28" t="str">
        <f t="shared" si="502"/>
        <v>202111</v>
      </c>
      <c r="AQ1679" s="28" t="str">
        <f t="shared" si="503"/>
        <v>202111JPY</v>
      </c>
      <c r="AR1679" s="206" t="str">
        <f t="shared" si="504"/>
        <v>YAMAHA_Mounter</v>
      </c>
      <c r="AS1679" s="22">
        <f t="shared" si="505"/>
        <v>3</v>
      </c>
      <c r="AT1679" s="24" t="str">
        <f t="shared" si="506"/>
        <v>0-3 months</v>
      </c>
      <c r="AU1679" s="22" t="s">
        <v>3744</v>
      </c>
    </row>
    <row r="1680" spans="1:47" s="12" customFormat="1">
      <c r="A1680" s="33" t="str">
        <f t="shared" si="495"/>
        <v>cancel</v>
      </c>
      <c r="B1680" s="152"/>
      <c r="C1680" s="152" t="s">
        <v>185</v>
      </c>
      <c r="D1680" s="33" t="str">
        <f t="shared" si="496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97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98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507"/>
        <v>11998800</v>
      </c>
      <c r="AA1680" s="13">
        <v>7.3599999999999999E-2</v>
      </c>
      <c r="AB1680" s="21">
        <f t="shared" si="492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493"/>
        <v>499582152.5142017</v>
      </c>
      <c r="AJ1680" s="19">
        <f t="shared" si="494"/>
        <v>59520528.679470733</v>
      </c>
      <c r="AK1680" s="20">
        <f t="shared" si="501"/>
        <v>0.11914062257814291</v>
      </c>
      <c r="AL1680" s="17"/>
      <c r="AM1680" s="17"/>
      <c r="AN1680" s="17"/>
      <c r="AO1680" s="17"/>
      <c r="AP1680" s="28" t="str">
        <f t="shared" si="502"/>
        <v>CancelCancel</v>
      </c>
      <c r="AQ1680" s="28" t="str">
        <f t="shared" si="503"/>
        <v>CancelCancelJPY</v>
      </c>
      <c r="AR1680" s="206" t="str">
        <f t="shared" si="504"/>
        <v>YAMAHA_Mounter</v>
      </c>
      <c r="AS1680" s="22" t="str">
        <f t="shared" si="505"/>
        <v/>
      </c>
      <c r="AT1680" s="24" t="str">
        <f t="shared" si="506"/>
        <v/>
      </c>
      <c r="AU1680" s="22" t="s">
        <v>3744</v>
      </c>
    </row>
    <row r="1681" spans="1:47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98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507"/>
        <v>13500000</v>
      </c>
      <c r="AA1681" s="13">
        <v>7.0999999999999994E-2</v>
      </c>
      <c r="AB1681" s="21">
        <f t="shared" si="492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493"/>
        <v>15533177.71460177</v>
      </c>
      <c r="AJ1681" s="19">
        <f t="shared" si="494"/>
        <v>1819298.5437526547</v>
      </c>
      <c r="AK1681" s="20">
        <f t="shared" si="501"/>
        <v>0.11712339723265033</v>
      </c>
      <c r="AL1681" s="17"/>
      <c r="AM1681" s="17"/>
      <c r="AN1681" s="17"/>
      <c r="AO1681" s="17"/>
      <c r="AP1681" s="28" t="str">
        <f t="shared" si="502"/>
        <v>202110</v>
      </c>
      <c r="AQ1681" s="28" t="str">
        <f t="shared" si="503"/>
        <v>202110JPY</v>
      </c>
      <c r="AR1681" s="206" t="str">
        <f t="shared" si="504"/>
        <v>YAMAHA_Mounter</v>
      </c>
      <c r="AS1681" s="22">
        <f t="shared" si="505"/>
        <v>6</v>
      </c>
      <c r="AT1681" s="24" t="str">
        <f t="shared" si="506"/>
        <v>4-6 months</v>
      </c>
      <c r="AU1681" s="22" t="s">
        <v>3745</v>
      </c>
    </row>
    <row r="1682" spans="1:47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98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507"/>
        <v>8900000</v>
      </c>
      <c r="AA1682" s="13">
        <v>6.9199999999999998E-2</v>
      </c>
      <c r="AB1682" s="21">
        <f t="shared" si="492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493"/>
        <v>28726768.133805312</v>
      </c>
      <c r="AJ1682" s="19">
        <f t="shared" si="494"/>
        <v>3853638.1988864429</v>
      </c>
      <c r="AK1682" s="20">
        <f t="shared" si="501"/>
        <v>0.1341479898099476</v>
      </c>
      <c r="AL1682" s="17"/>
      <c r="AM1682" s="17"/>
      <c r="AN1682" s="17"/>
      <c r="AO1682" s="17"/>
      <c r="AP1682" s="28" t="str">
        <f t="shared" si="502"/>
        <v>20223</v>
      </c>
      <c r="AQ1682" s="28" t="str">
        <f t="shared" si="503"/>
        <v>20223JPY</v>
      </c>
      <c r="AR1682" s="206" t="str">
        <f t="shared" si="504"/>
        <v>YAMAHA_Mounter</v>
      </c>
      <c r="AS1682" s="22">
        <f t="shared" si="505"/>
        <v>11</v>
      </c>
      <c r="AT1682" s="24" t="str">
        <f t="shared" si="506"/>
        <v>&gt; 6 months</v>
      </c>
      <c r="AU1682" s="22" t="s">
        <v>3745</v>
      </c>
    </row>
    <row r="1683" spans="1:47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98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507"/>
        <v>18143760</v>
      </c>
      <c r="AA1683" s="13">
        <v>7.2300000000000003E-2</v>
      </c>
      <c r="AB1683" s="21">
        <f t="shared" si="492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493"/>
        <v>34109166.105589926</v>
      </c>
      <c r="AJ1683" s="19">
        <f t="shared" si="494"/>
        <v>4642032.7199573703</v>
      </c>
      <c r="AK1683" s="20">
        <f t="shared" si="501"/>
        <v>0.13609340977692849</v>
      </c>
      <c r="AL1683" s="17"/>
      <c r="AM1683" s="17"/>
      <c r="AN1683" s="17"/>
      <c r="AO1683" s="17"/>
      <c r="AP1683" s="28" t="str">
        <f t="shared" si="502"/>
        <v>20185</v>
      </c>
      <c r="AQ1683" s="28" t="str">
        <f t="shared" si="503"/>
        <v>20185JPY</v>
      </c>
      <c r="AR1683" s="206" t="str">
        <f t="shared" si="504"/>
        <v>YAMAHA_Mounter</v>
      </c>
      <c r="AS1683" s="22">
        <f t="shared" si="505"/>
        <v>2</v>
      </c>
      <c r="AT1683" s="24" t="str">
        <f t="shared" si="506"/>
        <v>0-3 months</v>
      </c>
      <c r="AU1683" s="22" t="s">
        <v>3744</v>
      </c>
    </row>
    <row r="1684" spans="1:47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97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98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507"/>
        <v>18143760</v>
      </c>
      <c r="AA1684" s="13">
        <v>7.3200000000000001E-2</v>
      </c>
      <c r="AB1684" s="21">
        <f t="shared" si="492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493"/>
        <v>499582152.5142017</v>
      </c>
      <c r="AJ1684" s="19">
        <f t="shared" si="494"/>
        <v>59520528.679470733</v>
      </c>
      <c r="AK1684" s="20">
        <f t="shared" si="501"/>
        <v>0.11914062257814291</v>
      </c>
      <c r="AL1684" s="17"/>
      <c r="AM1684" s="17"/>
      <c r="AN1684" s="17"/>
      <c r="AO1684" s="17"/>
      <c r="AP1684" s="28" t="str">
        <f t="shared" si="502"/>
        <v>CancelCancel</v>
      </c>
      <c r="AQ1684" s="28" t="str">
        <f t="shared" si="503"/>
        <v>CancelCancelJPY</v>
      </c>
      <c r="AR1684" s="206" t="str">
        <f t="shared" si="504"/>
        <v>YAMAHA_Mounter</v>
      </c>
      <c r="AS1684" s="22" t="str">
        <f t="shared" si="505"/>
        <v/>
      </c>
      <c r="AT1684" s="24" t="str">
        <f t="shared" si="506"/>
        <v/>
      </c>
      <c r="AU1684" s="22" t="s">
        <v>3744</v>
      </c>
    </row>
    <row r="1685" spans="1:47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98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507"/>
        <v>7100000</v>
      </c>
      <c r="AA1685" s="13">
        <v>7.5700000000000003E-2</v>
      </c>
      <c r="AB1685" s="21">
        <f t="shared" si="492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493"/>
        <v>31097187.02948761</v>
      </c>
      <c r="AJ1685" s="19">
        <f t="shared" si="494"/>
        <v>3892353.6644401965</v>
      </c>
      <c r="AK1685" s="20">
        <f t="shared" si="501"/>
        <v>0.12516738767237401</v>
      </c>
      <c r="AL1685" s="17"/>
      <c r="AM1685" s="17"/>
      <c r="AN1685" s="17"/>
      <c r="AO1685" s="17"/>
      <c r="AP1685" s="28" t="str">
        <f t="shared" si="502"/>
        <v>20212</v>
      </c>
      <c r="AQ1685" s="28" t="str">
        <f t="shared" si="503"/>
        <v>20212JPY</v>
      </c>
      <c r="AR1685" s="206" t="str">
        <f t="shared" si="504"/>
        <v>YAMAHA_Mounter</v>
      </c>
      <c r="AS1685" s="22">
        <f t="shared" si="505"/>
        <v>1</v>
      </c>
      <c r="AT1685" s="24" t="str">
        <f t="shared" si="506"/>
        <v>0-3 months</v>
      </c>
      <c r="AU1685" s="22" t="s">
        <v>3744</v>
      </c>
    </row>
    <row r="1686" spans="1:47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98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507"/>
        <v>10000000</v>
      </c>
      <c r="AA1686" s="13">
        <v>7.2300000000000003E-2</v>
      </c>
      <c r="AB1686" s="21">
        <f t="shared" si="492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493"/>
        <v>32843736.557277881</v>
      </c>
      <c r="AJ1686" s="19">
        <f t="shared" si="494"/>
        <v>3921470.6822663117</v>
      </c>
      <c r="AK1686" s="20">
        <f t="shared" si="501"/>
        <v>0.11939782416131177</v>
      </c>
      <c r="AL1686" s="17"/>
      <c r="AM1686" s="17"/>
      <c r="AN1686" s="17"/>
      <c r="AO1686" s="17"/>
      <c r="AP1686" s="28" t="str">
        <f t="shared" si="502"/>
        <v>20194</v>
      </c>
      <c r="AQ1686" s="28" t="str">
        <f t="shared" si="503"/>
        <v>20194JPY</v>
      </c>
      <c r="AR1686" s="206" t="str">
        <f t="shared" si="504"/>
        <v>YAMAHA_Mounter</v>
      </c>
      <c r="AS1686" s="22">
        <f t="shared" si="505"/>
        <v>1</v>
      </c>
      <c r="AT1686" s="24" t="str">
        <f t="shared" si="506"/>
        <v>0-3 months</v>
      </c>
      <c r="AU1686" s="22" t="s">
        <v>3744</v>
      </c>
    </row>
    <row r="1687" spans="1:47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98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507"/>
        <v>13000000</v>
      </c>
      <c r="AA1687" s="13">
        <v>7.2300000000000003E-2</v>
      </c>
      <c r="AB1687" s="21">
        <f t="shared" si="492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493"/>
        <v>32843736.557277881</v>
      </c>
      <c r="AJ1687" s="19">
        <f t="shared" si="494"/>
        <v>3921470.6822663117</v>
      </c>
      <c r="AK1687" s="20">
        <f t="shared" si="501"/>
        <v>0.11939782416131177</v>
      </c>
      <c r="AL1687" s="17"/>
      <c r="AM1687" s="17"/>
      <c r="AN1687" s="17"/>
      <c r="AO1687" s="17"/>
      <c r="AP1687" s="28" t="str">
        <f t="shared" si="502"/>
        <v>20194</v>
      </c>
      <c r="AQ1687" s="28" t="str">
        <f t="shared" si="503"/>
        <v>20194JPY</v>
      </c>
      <c r="AR1687" s="206" t="str">
        <f t="shared" si="504"/>
        <v>YAMAHA_Mounter</v>
      </c>
      <c r="AS1687" s="22">
        <f t="shared" si="505"/>
        <v>1</v>
      </c>
      <c r="AT1687" s="24" t="str">
        <f t="shared" si="506"/>
        <v>0-3 months</v>
      </c>
      <c r="AU1687" s="22" t="s">
        <v>3744</v>
      </c>
    </row>
    <row r="1688" spans="1:47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98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507"/>
        <v>1010000</v>
      </c>
      <c r="AA1688" s="13">
        <v>1.135</v>
      </c>
      <c r="AB1688" s="21">
        <f t="shared" si="492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493"/>
        <v>31296887.037898075</v>
      </c>
      <c r="AJ1688" s="19">
        <f t="shared" si="494"/>
        <v>3588873.9502021763</v>
      </c>
      <c r="AK1688" s="20">
        <f t="shared" si="501"/>
        <v>0.11467191436184473</v>
      </c>
      <c r="AL1688" s="17"/>
      <c r="AM1688" s="17"/>
      <c r="AN1688" s="17"/>
      <c r="AO1688" s="17"/>
      <c r="AP1688" s="28" t="str">
        <f t="shared" si="502"/>
        <v>20196</v>
      </c>
      <c r="AQ1688" s="28" t="str">
        <f t="shared" si="503"/>
        <v>20196RMB</v>
      </c>
      <c r="AR1688" s="206" t="str">
        <f t="shared" si="504"/>
        <v>YAMAHA_Mounter</v>
      </c>
      <c r="AS1688" s="22">
        <f t="shared" si="505"/>
        <v>0</v>
      </c>
      <c r="AT1688" s="24" t="str">
        <f t="shared" si="506"/>
        <v>0-3 months</v>
      </c>
      <c r="AU1688" s="22" t="s">
        <v>3743</v>
      </c>
    </row>
    <row r="1689" spans="1:47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98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507"/>
        <v>14200000</v>
      </c>
      <c r="AA1689" s="13">
        <v>7.17E-2</v>
      </c>
      <c r="AB1689" s="21">
        <f t="shared" si="492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493"/>
        <v>43684091.636631854</v>
      </c>
      <c r="AJ1689" s="19">
        <f t="shared" si="494"/>
        <v>6483951.8242071122</v>
      </c>
      <c r="AK1689" s="20">
        <f t="shared" si="501"/>
        <v>0.14842821680123736</v>
      </c>
      <c r="AL1689" s="17"/>
      <c r="AM1689" s="17"/>
      <c r="AN1689" s="17"/>
      <c r="AO1689" s="17"/>
      <c r="AP1689" s="28" t="str">
        <f t="shared" si="502"/>
        <v>20214</v>
      </c>
      <c r="AQ1689" s="28" t="str">
        <f t="shared" si="503"/>
        <v>20214JPY</v>
      </c>
      <c r="AR1689" s="206" t="str">
        <f t="shared" si="504"/>
        <v>YAMAHA_Mounter</v>
      </c>
      <c r="AS1689" s="22">
        <f t="shared" si="505"/>
        <v>2</v>
      </c>
      <c r="AT1689" s="24" t="str">
        <f t="shared" si="506"/>
        <v>0-3 months</v>
      </c>
      <c r="AU1689" s="22" t="s">
        <v>3744</v>
      </c>
    </row>
    <row r="1690" spans="1:47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98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507"/>
        <v>11200000</v>
      </c>
      <c r="AA1690" s="13">
        <v>5.7799999999999997E-2</v>
      </c>
      <c r="AB1690" s="21">
        <f t="shared" si="492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493"/>
        <v>15948576.102654871</v>
      </c>
      <c r="AJ1690" s="19">
        <f t="shared" si="494"/>
        <v>2739848.7004853105</v>
      </c>
      <c r="AK1690" s="20">
        <f t="shared" si="501"/>
        <v>0.17179268436567344</v>
      </c>
      <c r="AL1690" s="17"/>
      <c r="AM1690" s="17"/>
      <c r="AN1690" s="17"/>
      <c r="AO1690" s="17"/>
      <c r="AP1690" s="28" t="str">
        <f t="shared" si="502"/>
        <v>20229</v>
      </c>
      <c r="AQ1690" s="28" t="str">
        <f t="shared" si="503"/>
        <v>20229JPY</v>
      </c>
      <c r="AR1690" s="206" t="str">
        <f t="shared" si="504"/>
        <v>YAMAHA_Mounter</v>
      </c>
      <c r="AS1690" s="22">
        <f t="shared" si="505"/>
        <v>8</v>
      </c>
      <c r="AT1690" s="24" t="str">
        <f t="shared" si="506"/>
        <v>&gt; 6 months</v>
      </c>
      <c r="AU1690" s="22" t="s">
        <v>3744</v>
      </c>
    </row>
    <row r="1691" spans="1:47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98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507"/>
        <v>720000</v>
      </c>
      <c r="AA1691" s="13">
        <v>1.135</v>
      </c>
      <c r="AB1691" s="21">
        <f t="shared" si="492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493"/>
        <v>34015877.71150443</v>
      </c>
      <c r="AJ1691" s="19">
        <f t="shared" si="494"/>
        <v>4446292.375441948</v>
      </c>
      <c r="AK1691" s="20">
        <f t="shared" si="501"/>
        <v>0.13071226364205143</v>
      </c>
      <c r="AL1691" s="17"/>
      <c r="AM1691" s="17"/>
      <c r="AN1691" s="17"/>
      <c r="AO1691" s="17"/>
      <c r="AP1691" s="28" t="str">
        <f t="shared" si="502"/>
        <v>20197</v>
      </c>
      <c r="AQ1691" s="28" t="str">
        <f t="shared" si="503"/>
        <v>20197RMB</v>
      </c>
      <c r="AR1691" s="206" t="str">
        <f t="shared" si="504"/>
        <v>YAMAHA_Mounter</v>
      </c>
      <c r="AS1691" s="22">
        <f t="shared" si="505"/>
        <v>2</v>
      </c>
      <c r="AT1691" s="24" t="str">
        <f t="shared" si="506"/>
        <v>0-3 months</v>
      </c>
      <c r="AU1691" s="22" t="s">
        <v>3743</v>
      </c>
    </row>
    <row r="1692" spans="1:47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98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507"/>
        <v>11327150</v>
      </c>
      <c r="AA1692" s="13">
        <v>7.2099999999999997E-2</v>
      </c>
      <c r="AB1692" s="21">
        <f t="shared" si="492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493"/>
        <v>26754147.763010349</v>
      </c>
      <c r="AJ1692" s="19">
        <f t="shared" si="494"/>
        <v>3429137.9965357962</v>
      </c>
      <c r="AK1692" s="20">
        <f t="shared" si="501"/>
        <v>0.12817220069617921</v>
      </c>
      <c r="AL1692" s="17"/>
      <c r="AM1692" s="17"/>
      <c r="AN1692" s="17"/>
      <c r="AO1692" s="17"/>
      <c r="AP1692" s="28" t="str">
        <f t="shared" si="502"/>
        <v>20188</v>
      </c>
      <c r="AQ1692" s="28" t="str">
        <f t="shared" si="503"/>
        <v>20188JPY</v>
      </c>
      <c r="AR1692" s="206" t="str">
        <f t="shared" si="504"/>
        <v>YAMAHA_Mounter</v>
      </c>
      <c r="AS1692" s="22">
        <f t="shared" si="505"/>
        <v>18</v>
      </c>
      <c r="AT1692" s="24" t="str">
        <f t="shared" si="506"/>
        <v>&gt; 6 months</v>
      </c>
      <c r="AU1692" s="22" t="s">
        <v>3744</v>
      </c>
    </row>
    <row r="1693" spans="1:47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98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508">IF(W1693="RMB","1.13", "1")</f>
        <v>1</v>
      </c>
      <c r="Z1693" s="18">
        <f t="shared" si="507"/>
        <v>13000000</v>
      </c>
      <c r="AA1693" s="13">
        <v>7.17E-2</v>
      </c>
      <c r="AB1693" s="21">
        <f t="shared" si="492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493"/>
        <v>41443303.53761062</v>
      </c>
      <c r="AJ1693" s="19">
        <f t="shared" si="494"/>
        <v>6194988.76643031</v>
      </c>
      <c r="AK1693" s="20">
        <f t="shared" si="501"/>
        <v>0.1494810557466355</v>
      </c>
      <c r="AL1693" s="17"/>
      <c r="AM1693" s="17"/>
      <c r="AN1693" s="17"/>
      <c r="AO1693" s="17"/>
      <c r="AP1693" s="28" t="str">
        <f t="shared" si="502"/>
        <v>20217</v>
      </c>
      <c r="AQ1693" s="28" t="str">
        <f t="shared" si="503"/>
        <v>20217JPY</v>
      </c>
      <c r="AR1693" s="206" t="str">
        <f t="shared" si="504"/>
        <v>YAMAHA_Mounter</v>
      </c>
      <c r="AS1693" s="22">
        <f t="shared" si="505"/>
        <v>4</v>
      </c>
      <c r="AT1693" s="24" t="str">
        <f t="shared" si="506"/>
        <v>4-6 months</v>
      </c>
      <c r="AU1693" s="22" t="s">
        <v>3744</v>
      </c>
    </row>
    <row r="1694" spans="1:47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98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508"/>
        <v>1</v>
      </c>
      <c r="Z1694" s="18">
        <f t="shared" si="507"/>
        <v>9200000</v>
      </c>
      <c r="AA1694" s="13">
        <v>7.17E-2</v>
      </c>
      <c r="AB1694" s="21">
        <f t="shared" si="492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493"/>
        <v>41443303.53761062</v>
      </c>
      <c r="AJ1694" s="19">
        <f t="shared" si="494"/>
        <v>6194988.76643031</v>
      </c>
      <c r="AK1694" s="20">
        <f t="shared" si="501"/>
        <v>0.1494810557466355</v>
      </c>
      <c r="AL1694" s="17"/>
      <c r="AM1694" s="17"/>
      <c r="AN1694" s="17"/>
      <c r="AO1694" s="17"/>
      <c r="AP1694" s="28" t="str">
        <f t="shared" si="502"/>
        <v>20217</v>
      </c>
      <c r="AQ1694" s="28" t="str">
        <f t="shared" si="503"/>
        <v>20217JPY</v>
      </c>
      <c r="AR1694" s="206" t="str">
        <f t="shared" si="504"/>
        <v>YAMAHA_Mounter</v>
      </c>
      <c r="AS1694" s="22">
        <f t="shared" si="505"/>
        <v>4</v>
      </c>
      <c r="AT1694" s="24" t="str">
        <f t="shared" si="506"/>
        <v>4-6 months</v>
      </c>
      <c r="AU1694" s="22" t="s">
        <v>3744</v>
      </c>
    </row>
    <row r="1695" spans="1:47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98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508"/>
        <v>1</v>
      </c>
      <c r="Z1695" s="18">
        <f t="shared" si="507"/>
        <v>14300000</v>
      </c>
      <c r="AA1695" s="13">
        <v>6.54E-2</v>
      </c>
      <c r="AB1695" s="21">
        <f t="shared" si="492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493"/>
        <v>46600814.041769907</v>
      </c>
      <c r="AJ1695" s="19">
        <f t="shared" si="494"/>
        <v>5956366.3435927071</v>
      </c>
      <c r="AK1695" s="20">
        <f t="shared" si="501"/>
        <v>0.1278167874546958</v>
      </c>
      <c r="AL1695" s="17"/>
      <c r="AM1695" s="17"/>
      <c r="AN1695" s="17"/>
      <c r="AO1695" s="17"/>
      <c r="AP1695" s="28" t="str">
        <f t="shared" si="502"/>
        <v>20224</v>
      </c>
      <c r="AQ1695" s="28" t="str">
        <f t="shared" si="503"/>
        <v>20224JPY</v>
      </c>
      <c r="AR1695" s="206" t="str">
        <f t="shared" si="504"/>
        <v>YAMAHA_Mounter</v>
      </c>
      <c r="AS1695" s="22">
        <f t="shared" si="505"/>
        <v>6</v>
      </c>
      <c r="AT1695" s="24" t="str">
        <f t="shared" si="506"/>
        <v>4-6 months</v>
      </c>
      <c r="AU1695" s="22" t="s">
        <v>3744</v>
      </c>
    </row>
    <row r="1696" spans="1:47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98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508"/>
        <v>1</v>
      </c>
      <c r="Z1696" s="18">
        <f t="shared" si="507"/>
        <v>9393000</v>
      </c>
      <c r="AA1696" s="13">
        <v>6.2799999999999995E-2</v>
      </c>
      <c r="AB1696" s="21">
        <f t="shared" si="492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493"/>
        <v>44014086.982070789</v>
      </c>
      <c r="AJ1696" s="19">
        <f t="shared" si="494"/>
        <v>6419974.0221889298</v>
      </c>
      <c r="AK1696" s="20">
        <f t="shared" si="501"/>
        <v>0.14586180158193709</v>
      </c>
      <c r="AL1696" s="17"/>
      <c r="AM1696" s="17"/>
      <c r="AN1696" s="17"/>
      <c r="AO1696" s="17"/>
      <c r="AP1696" s="28" t="str">
        <f t="shared" si="502"/>
        <v>20225</v>
      </c>
      <c r="AQ1696" s="28" t="str">
        <f t="shared" si="503"/>
        <v>20225JPY</v>
      </c>
      <c r="AR1696" s="206" t="str">
        <f t="shared" si="504"/>
        <v>YAMAHA_Mounter</v>
      </c>
      <c r="AS1696" s="22">
        <f t="shared" si="505"/>
        <v>1</v>
      </c>
      <c r="AT1696" s="24" t="str">
        <f t="shared" si="506"/>
        <v>0-3 months</v>
      </c>
      <c r="AU1696" s="22" t="s">
        <v>3744</v>
      </c>
    </row>
    <row r="1697" spans="1:47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98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508"/>
        <v>1</v>
      </c>
      <c r="Z1697" s="18">
        <f t="shared" si="507"/>
        <v>9393000</v>
      </c>
      <c r="AA1697" s="13">
        <v>6.2799999999999995E-2</v>
      </c>
      <c r="AB1697" s="21">
        <f t="shared" si="492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493"/>
        <v>44014086.982070789</v>
      </c>
      <c r="AJ1697" s="19">
        <f t="shared" si="494"/>
        <v>6419974.0221889298</v>
      </c>
      <c r="AK1697" s="20">
        <f t="shared" si="501"/>
        <v>0.14586180158193709</v>
      </c>
      <c r="AL1697" s="17"/>
      <c r="AM1697" s="17"/>
      <c r="AN1697" s="17"/>
      <c r="AO1697" s="17"/>
      <c r="AP1697" s="28" t="str">
        <f t="shared" si="502"/>
        <v>20225</v>
      </c>
      <c r="AQ1697" s="28" t="str">
        <f t="shared" si="503"/>
        <v>20225JPY</v>
      </c>
      <c r="AR1697" s="206" t="str">
        <f t="shared" si="504"/>
        <v>YAMAHA_Mounter</v>
      </c>
      <c r="AS1697" s="22">
        <f t="shared" si="505"/>
        <v>1</v>
      </c>
      <c r="AT1697" s="24" t="str">
        <f t="shared" si="506"/>
        <v>0-3 months</v>
      </c>
      <c r="AU1697" s="22" t="s">
        <v>3744</v>
      </c>
    </row>
    <row r="1698" spans="1:47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97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98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508"/>
        <v>1.13</v>
      </c>
      <c r="Z1698" s="18">
        <f t="shared" si="507"/>
        <v>550000</v>
      </c>
      <c r="AA1698" s="13">
        <v>1.1000000000000001</v>
      </c>
      <c r="AB1698" s="21">
        <f t="shared" si="492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493"/>
        <v>499582152.5142017</v>
      </c>
      <c r="AJ1698" s="19">
        <f t="shared" si="494"/>
        <v>59520528.679470733</v>
      </c>
      <c r="AK1698" s="20">
        <f t="shared" si="501"/>
        <v>0.11914062257814291</v>
      </c>
      <c r="AL1698" s="17"/>
      <c r="AM1698" s="17"/>
      <c r="AN1698" s="17"/>
      <c r="AO1698" s="17"/>
      <c r="AP1698" s="28" t="str">
        <f t="shared" si="502"/>
        <v>CancelCancel</v>
      </c>
      <c r="AQ1698" s="28" t="str">
        <f t="shared" si="503"/>
        <v>CancelCancelRMB</v>
      </c>
      <c r="AR1698" s="206" t="str">
        <f t="shared" si="504"/>
        <v>YAMAHA_Mounter</v>
      </c>
      <c r="AS1698" s="22" t="str">
        <f t="shared" si="505"/>
        <v/>
      </c>
      <c r="AT1698" s="24" t="str">
        <f t="shared" si="506"/>
        <v/>
      </c>
      <c r="AU1698" s="22" t="s">
        <v>3750</v>
      </c>
    </row>
    <row r="1699" spans="1:47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97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98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508"/>
        <v>1.13</v>
      </c>
      <c r="Z1699" s="18">
        <f t="shared" si="507"/>
        <v>1000000</v>
      </c>
      <c r="AA1699" s="13">
        <v>1.1000000000000001</v>
      </c>
      <c r="AB1699" s="21">
        <f t="shared" si="492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493"/>
        <v>499582152.5142017</v>
      </c>
      <c r="AJ1699" s="19">
        <f t="shared" si="494"/>
        <v>59520528.679470733</v>
      </c>
      <c r="AK1699" s="20">
        <f t="shared" si="501"/>
        <v>0.11914062257814291</v>
      </c>
      <c r="AL1699" s="17"/>
      <c r="AM1699" s="17"/>
      <c r="AN1699" s="17"/>
      <c r="AO1699" s="17"/>
      <c r="AP1699" s="28" t="str">
        <f t="shared" si="502"/>
        <v>CancelCancel</v>
      </c>
      <c r="AQ1699" s="28" t="str">
        <f t="shared" si="503"/>
        <v>CancelCancelRMB</v>
      </c>
      <c r="AR1699" s="206" t="str">
        <f t="shared" si="504"/>
        <v>YAMAHA_Mounter</v>
      </c>
      <c r="AS1699" s="22" t="str">
        <f t="shared" si="505"/>
        <v/>
      </c>
      <c r="AT1699" s="24" t="str">
        <f t="shared" si="506"/>
        <v/>
      </c>
      <c r="AU1699" s="22" t="s">
        <v>3750</v>
      </c>
    </row>
    <row r="1700" spans="1:47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98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508"/>
        <v>1.13</v>
      </c>
      <c r="Z1700" s="18">
        <f t="shared" si="507"/>
        <v>778000</v>
      </c>
      <c r="AA1700" s="13">
        <v>1.081</v>
      </c>
      <c r="AB1700" s="21">
        <f t="shared" si="492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493"/>
        <v>15951056.41591504</v>
      </c>
      <c r="AJ1700" s="19">
        <f t="shared" si="494"/>
        <v>1966354.6022462982</v>
      </c>
      <c r="AK1700" s="20">
        <f t="shared" si="501"/>
        <v>0.12327425538313459</v>
      </c>
      <c r="AL1700" s="17"/>
      <c r="AM1700" s="17"/>
      <c r="AN1700" s="17"/>
      <c r="AO1700" s="17"/>
      <c r="AP1700" s="28" t="str">
        <f t="shared" si="502"/>
        <v>20237</v>
      </c>
      <c r="AQ1700" s="28" t="str">
        <f t="shared" si="503"/>
        <v>20237RMB</v>
      </c>
      <c r="AR1700" s="206" t="str">
        <f t="shared" si="504"/>
        <v>YAMAHA_Mounter</v>
      </c>
      <c r="AS1700" s="22">
        <f t="shared" si="505"/>
        <v>1</v>
      </c>
      <c r="AT1700" s="24" t="str">
        <f t="shared" si="506"/>
        <v>0-3 months</v>
      </c>
      <c r="AU1700" s="22" t="s">
        <v>3750</v>
      </c>
    </row>
    <row r="1701" spans="1:47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98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507"/>
        <v>643012</v>
      </c>
      <c r="AA1701" s="13">
        <v>1.089</v>
      </c>
      <c r="AB1701" s="21">
        <f t="shared" si="492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493"/>
        <v>29183109.05575221</v>
      </c>
      <c r="AJ1701" s="19">
        <f t="shared" si="494"/>
        <v>3741266.5648721238</v>
      </c>
      <c r="AK1701" s="20">
        <f t="shared" si="501"/>
        <v>0.12819972531798121</v>
      </c>
      <c r="AL1701" s="17"/>
      <c r="AM1701" s="17"/>
      <c r="AN1701" s="17"/>
      <c r="AO1701" s="17"/>
      <c r="AP1701" s="28" t="str">
        <f t="shared" si="502"/>
        <v>20206</v>
      </c>
      <c r="AQ1701" s="28" t="str">
        <f t="shared" si="503"/>
        <v>20206RMB</v>
      </c>
      <c r="AR1701" s="206" t="str">
        <f t="shared" si="504"/>
        <v>YAMAHA_Mounter</v>
      </c>
      <c r="AS1701" s="22">
        <f t="shared" si="505"/>
        <v>2</v>
      </c>
      <c r="AT1701" s="24" t="str">
        <f t="shared" si="506"/>
        <v>0-3 months</v>
      </c>
      <c r="AU1701" s="22" t="s">
        <v>3743</v>
      </c>
    </row>
    <row r="1702" spans="1:47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98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507"/>
        <v>13193000</v>
      </c>
      <c r="AA1702" s="13">
        <v>7.2800000000000004E-2</v>
      </c>
      <c r="AB1702" s="21">
        <f t="shared" si="492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493"/>
        <v>63006605.696460173</v>
      </c>
      <c r="AJ1702" s="19">
        <f t="shared" si="494"/>
        <v>8897485.660753984</v>
      </c>
      <c r="AK1702" s="20">
        <f t="shared" si="501"/>
        <v>0.141215124388995</v>
      </c>
      <c r="AL1702" s="17"/>
      <c r="AM1702" s="17"/>
      <c r="AN1702" s="17"/>
      <c r="AO1702" s="17"/>
      <c r="AP1702" s="28" t="str">
        <f t="shared" si="502"/>
        <v>20215</v>
      </c>
      <c r="AQ1702" s="28" t="str">
        <f t="shared" si="503"/>
        <v>20215JPY</v>
      </c>
      <c r="AR1702" s="206" t="str">
        <f t="shared" si="504"/>
        <v>YAMAHA_Mounter</v>
      </c>
      <c r="AS1702" s="22">
        <f t="shared" si="505"/>
        <v>2</v>
      </c>
      <c r="AT1702" s="24" t="str">
        <f t="shared" si="506"/>
        <v>0-3 months</v>
      </c>
      <c r="AU1702" s="22" t="s">
        <v>3744</v>
      </c>
    </row>
    <row r="1703" spans="1:47" s="12" customFormat="1">
      <c r="A1703" s="33" t="str">
        <f t="shared" si="495"/>
        <v>cancel</v>
      </c>
      <c r="B1703" s="152">
        <v>2023</v>
      </c>
      <c r="C1703" s="152" t="s">
        <v>185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97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98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507"/>
        <v>12000000</v>
      </c>
      <c r="AA1703" s="13">
        <v>5.4199999999999998E-2</v>
      </c>
      <c r="AB1703" s="21">
        <f t="shared" si="492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493"/>
        <v>499582152.5142017</v>
      </c>
      <c r="AJ1703" s="19">
        <f t="shared" si="494"/>
        <v>59520528.679470733</v>
      </c>
      <c r="AK1703" s="20">
        <f t="shared" si="501"/>
        <v>0.11914062257814291</v>
      </c>
      <c r="AL1703" s="17"/>
      <c r="AM1703" s="17"/>
      <c r="AN1703" s="17"/>
      <c r="AO1703" s="17"/>
      <c r="AP1703" s="28" t="str">
        <f t="shared" si="502"/>
        <v>CancelCancel</v>
      </c>
      <c r="AQ1703" s="28" t="str">
        <f t="shared" si="503"/>
        <v>CancelCancelJPY</v>
      </c>
      <c r="AR1703" s="206" t="str">
        <f t="shared" si="504"/>
        <v>YAMAHA_Mounter</v>
      </c>
      <c r="AS1703" s="22" t="str">
        <f t="shared" si="505"/>
        <v/>
      </c>
      <c r="AT1703" s="24" t="str">
        <f t="shared" si="506"/>
        <v/>
      </c>
      <c r="AU1703" s="22" t="s">
        <v>3744</v>
      </c>
    </row>
    <row r="1704" spans="1:47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97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98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507"/>
        <v>575000</v>
      </c>
      <c r="AA1704" s="13">
        <v>1.18</v>
      </c>
      <c r="AB1704" s="21">
        <f t="shared" si="492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493"/>
        <v>499582152.5142017</v>
      </c>
      <c r="AJ1704" s="19">
        <f t="shared" si="494"/>
        <v>59520528.679470733</v>
      </c>
      <c r="AK1704" s="20">
        <f t="shared" si="501"/>
        <v>0.11914062257814291</v>
      </c>
      <c r="AL1704" s="17"/>
      <c r="AM1704" s="17"/>
      <c r="AN1704" s="17"/>
      <c r="AO1704" s="17"/>
      <c r="AP1704" s="28" t="str">
        <f t="shared" si="502"/>
        <v>CancelCANCEL</v>
      </c>
      <c r="AQ1704" s="28" t="str">
        <f t="shared" si="503"/>
        <v>CancelCANCELRMB</v>
      </c>
      <c r="AR1704" s="206" t="str">
        <f t="shared" si="504"/>
        <v>YAMAHA_Mounter</v>
      </c>
      <c r="AS1704" s="22" t="str">
        <f t="shared" si="505"/>
        <v/>
      </c>
      <c r="AT1704" s="24" t="str">
        <f t="shared" si="506"/>
        <v/>
      </c>
      <c r="AU1704" s="22" t="s">
        <v>3750</v>
      </c>
    </row>
    <row r="1705" spans="1:47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97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98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507"/>
        <v>575000</v>
      </c>
      <c r="AA1705" s="13">
        <v>1.18</v>
      </c>
      <c r="AB1705" s="21">
        <f t="shared" si="492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493"/>
        <v>499582152.5142017</v>
      </c>
      <c r="AJ1705" s="19">
        <f t="shared" si="494"/>
        <v>59520528.679470733</v>
      </c>
      <c r="AK1705" s="20">
        <f t="shared" si="501"/>
        <v>0.11914062257814291</v>
      </c>
      <c r="AL1705" s="17"/>
      <c r="AM1705" s="17"/>
      <c r="AN1705" s="17"/>
      <c r="AO1705" s="17"/>
      <c r="AP1705" s="28" t="str">
        <f t="shared" si="502"/>
        <v>CancelCANCEL</v>
      </c>
      <c r="AQ1705" s="28" t="str">
        <f t="shared" si="503"/>
        <v>CancelCANCELRMB</v>
      </c>
      <c r="AR1705" s="206" t="str">
        <f t="shared" si="504"/>
        <v>YAMAHA_Mounter</v>
      </c>
      <c r="AS1705" s="22" t="str">
        <f t="shared" si="505"/>
        <v/>
      </c>
      <c r="AT1705" s="24" t="str">
        <f t="shared" si="506"/>
        <v/>
      </c>
      <c r="AU1705" s="22" t="s">
        <v>3750</v>
      </c>
    </row>
    <row r="1706" spans="1:47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97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98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507"/>
        <v>575000</v>
      </c>
      <c r="AA1706" s="13">
        <v>1.18</v>
      </c>
      <c r="AB1706" s="21">
        <f t="shared" si="492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493"/>
        <v>499582152.5142017</v>
      </c>
      <c r="AJ1706" s="19">
        <f t="shared" si="494"/>
        <v>59520528.679470733</v>
      </c>
      <c r="AK1706" s="20">
        <f t="shared" si="501"/>
        <v>0.11914062257814291</v>
      </c>
      <c r="AL1706" s="17"/>
      <c r="AM1706" s="17"/>
      <c r="AN1706" s="17"/>
      <c r="AO1706" s="17"/>
      <c r="AP1706" s="28" t="str">
        <f t="shared" si="502"/>
        <v>CancelCANCEL</v>
      </c>
      <c r="AQ1706" s="28" t="str">
        <f t="shared" si="503"/>
        <v>CancelCANCELRMB</v>
      </c>
      <c r="AR1706" s="206" t="str">
        <f t="shared" si="504"/>
        <v>YAMAHA_Mounter</v>
      </c>
      <c r="AS1706" s="22" t="str">
        <f t="shared" si="505"/>
        <v/>
      </c>
      <c r="AT1706" s="24" t="str">
        <f t="shared" si="506"/>
        <v/>
      </c>
      <c r="AU1706" s="22" t="s">
        <v>3750</v>
      </c>
    </row>
    <row r="1707" spans="1:47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97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98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507"/>
        <v>575000</v>
      </c>
      <c r="AA1707" s="13">
        <v>1.18</v>
      </c>
      <c r="AB1707" s="21">
        <f t="shared" si="492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493"/>
        <v>499582152.5142017</v>
      </c>
      <c r="AJ1707" s="19">
        <f t="shared" si="494"/>
        <v>59520528.679470733</v>
      </c>
      <c r="AK1707" s="20">
        <f t="shared" si="501"/>
        <v>0.11914062257814291</v>
      </c>
      <c r="AL1707" s="17"/>
      <c r="AM1707" s="17"/>
      <c r="AN1707" s="17"/>
      <c r="AO1707" s="17"/>
      <c r="AP1707" s="28" t="str">
        <f t="shared" si="502"/>
        <v>CancelCANCEL</v>
      </c>
      <c r="AQ1707" s="28" t="str">
        <f t="shared" si="503"/>
        <v>CancelCANCELRMB</v>
      </c>
      <c r="AR1707" s="206" t="str">
        <f t="shared" si="504"/>
        <v>YAMAHA_Mounter</v>
      </c>
      <c r="AS1707" s="22" t="str">
        <f t="shared" si="505"/>
        <v/>
      </c>
      <c r="AT1707" s="24" t="str">
        <f t="shared" si="506"/>
        <v/>
      </c>
      <c r="AU1707" s="22" t="s">
        <v>3750</v>
      </c>
    </row>
    <row r="1708" spans="1:47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98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507"/>
        <v>12042200</v>
      </c>
      <c r="AA1708" s="13">
        <v>7.3400000000000007E-2</v>
      </c>
      <c r="AB1708" s="21">
        <f t="shared" si="492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493"/>
        <v>34109166.105589926</v>
      </c>
      <c r="AJ1708" s="19">
        <f t="shared" si="494"/>
        <v>4642032.7199573703</v>
      </c>
      <c r="AK1708" s="20">
        <f t="shared" si="501"/>
        <v>0.13609340977692849</v>
      </c>
      <c r="AL1708" s="17"/>
      <c r="AM1708" s="17"/>
      <c r="AN1708" s="17"/>
      <c r="AO1708" s="17"/>
      <c r="AP1708" s="28" t="str">
        <f t="shared" si="502"/>
        <v>20185</v>
      </c>
      <c r="AQ1708" s="28" t="str">
        <f t="shared" si="503"/>
        <v>20185JPY</v>
      </c>
      <c r="AR1708" s="206" t="str">
        <f t="shared" si="504"/>
        <v>YAMAHA_Mounter</v>
      </c>
      <c r="AS1708" s="22">
        <f t="shared" si="505"/>
        <v>4</v>
      </c>
      <c r="AT1708" s="24" t="str">
        <f t="shared" si="506"/>
        <v>4-6 months</v>
      </c>
      <c r="AU1708" s="22" t="s">
        <v>3744</v>
      </c>
    </row>
    <row r="1709" spans="1:47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98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507"/>
        <v>50000</v>
      </c>
      <c r="AA1709" s="13">
        <v>7.8</v>
      </c>
      <c r="AB1709" s="21">
        <f t="shared" si="492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493"/>
        <v>27318180.088495575</v>
      </c>
      <c r="AJ1709" s="19">
        <f t="shared" si="494"/>
        <v>3014099.212353982</v>
      </c>
      <c r="AK1709" s="20">
        <f t="shared" si="501"/>
        <v>0.11033308963444827</v>
      </c>
      <c r="AL1709" s="17"/>
      <c r="AM1709" s="17"/>
      <c r="AN1709" s="17"/>
      <c r="AO1709" s="17"/>
      <c r="AP1709" s="28" t="str">
        <f t="shared" si="502"/>
        <v>201912</v>
      </c>
      <c r="AQ1709" s="28" t="str">
        <f t="shared" si="503"/>
        <v>201912USD</v>
      </c>
      <c r="AR1709" s="206" t="str">
        <f t="shared" si="504"/>
        <v>HELLER</v>
      </c>
      <c r="AS1709" s="22">
        <f t="shared" si="505"/>
        <v>1</v>
      </c>
      <c r="AT1709" s="24" t="str">
        <f t="shared" si="506"/>
        <v>0-3 months</v>
      </c>
      <c r="AU1709" s="22" t="s">
        <v>3745</v>
      </c>
    </row>
    <row r="1710" spans="1:47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98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507"/>
        <v>59000</v>
      </c>
      <c r="AA1710" s="13">
        <v>7.8</v>
      </c>
      <c r="AB1710" s="21">
        <f t="shared" si="492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493"/>
        <v>37969334.083628319</v>
      </c>
      <c r="AJ1710" s="19">
        <f t="shared" si="494"/>
        <v>5097226.4551657084</v>
      </c>
      <c r="AK1710" s="20">
        <f t="shared" si="501"/>
        <v>0.13424587441904964</v>
      </c>
      <c r="AL1710" s="17"/>
      <c r="AM1710" s="17"/>
      <c r="AN1710" s="17"/>
      <c r="AO1710" s="17"/>
      <c r="AP1710" s="28" t="str">
        <f t="shared" si="502"/>
        <v>20208</v>
      </c>
      <c r="AQ1710" s="28" t="str">
        <f t="shared" si="503"/>
        <v>20208USD</v>
      </c>
      <c r="AR1710" s="206" t="str">
        <f t="shared" si="504"/>
        <v>LOCAL SUPPLIER</v>
      </c>
      <c r="AS1710" s="22">
        <f t="shared" si="505"/>
        <v>1</v>
      </c>
      <c r="AT1710" s="24" t="str">
        <f t="shared" si="506"/>
        <v>0-3 months</v>
      </c>
      <c r="AU1710" s="22" t="s">
        <v>3745</v>
      </c>
    </row>
    <row r="1711" spans="1:47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98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507"/>
        <v>48000</v>
      </c>
      <c r="AA1711" s="13">
        <v>7.8</v>
      </c>
      <c r="AB1711" s="21">
        <f t="shared" si="492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493"/>
        <v>63006605.696460173</v>
      </c>
      <c r="AJ1711" s="19">
        <f t="shared" si="494"/>
        <v>8897485.660753984</v>
      </c>
      <c r="AK1711" s="20">
        <f t="shared" si="501"/>
        <v>0.141215124388995</v>
      </c>
      <c r="AL1711" s="17"/>
      <c r="AM1711" s="17"/>
      <c r="AN1711" s="17"/>
      <c r="AO1711" s="17"/>
      <c r="AP1711" s="28" t="str">
        <f t="shared" si="502"/>
        <v>20215</v>
      </c>
      <c r="AQ1711" s="28" t="str">
        <f t="shared" si="503"/>
        <v>20215USD</v>
      </c>
      <c r="AR1711" s="206" t="str">
        <f t="shared" si="504"/>
        <v>HELLER</v>
      </c>
      <c r="AS1711" s="22">
        <f t="shared" si="505"/>
        <v>2</v>
      </c>
      <c r="AT1711" s="24" t="str">
        <f t="shared" si="506"/>
        <v>0-3 months</v>
      </c>
      <c r="AU1711" s="22" t="s">
        <v>3745</v>
      </c>
    </row>
    <row r="1712" spans="1:47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98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507"/>
        <v>50000</v>
      </c>
      <c r="AA1712" s="13">
        <v>7.8</v>
      </c>
      <c r="AB1712" s="21">
        <f t="shared" si="492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493"/>
        <v>30573205.452778768</v>
      </c>
      <c r="AJ1712" s="19">
        <f t="shared" si="494"/>
        <v>3790930.1683151261</v>
      </c>
      <c r="AK1712" s="20">
        <f t="shared" si="501"/>
        <v>0.12399518179964254</v>
      </c>
      <c r="AL1712" s="17"/>
      <c r="AM1712" s="17"/>
      <c r="AN1712" s="17"/>
      <c r="AO1712" s="17"/>
      <c r="AP1712" s="28" t="str">
        <f t="shared" si="502"/>
        <v>20234</v>
      </c>
      <c r="AQ1712" s="28" t="str">
        <f t="shared" si="503"/>
        <v>20234USD</v>
      </c>
      <c r="AR1712" s="206" t="str">
        <f t="shared" si="504"/>
        <v>HELLER</v>
      </c>
      <c r="AS1712" s="22">
        <f t="shared" si="505"/>
        <v>3</v>
      </c>
      <c r="AT1712" s="24" t="str">
        <f t="shared" si="506"/>
        <v>0-3 months</v>
      </c>
      <c r="AU1712" s="22" t="s">
        <v>3745</v>
      </c>
    </row>
    <row r="1713" spans="1:47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98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507"/>
        <v>50000</v>
      </c>
      <c r="AA1713" s="13">
        <v>7.8</v>
      </c>
      <c r="AB1713" s="21">
        <f t="shared" si="492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493"/>
        <v>15951056.41591504</v>
      </c>
      <c r="AJ1713" s="19">
        <f t="shared" si="494"/>
        <v>1966354.6022462982</v>
      </c>
      <c r="AK1713" s="20">
        <f t="shared" si="501"/>
        <v>0.12327425538313459</v>
      </c>
      <c r="AL1713" s="17"/>
      <c r="AM1713" s="17"/>
      <c r="AN1713" s="17"/>
      <c r="AO1713" s="17"/>
      <c r="AP1713" s="28" t="str">
        <f t="shared" si="502"/>
        <v>20237</v>
      </c>
      <c r="AQ1713" s="28" t="str">
        <f t="shared" si="503"/>
        <v>20237USD</v>
      </c>
      <c r="AR1713" s="206" t="str">
        <f t="shared" si="504"/>
        <v>HELLER</v>
      </c>
      <c r="AS1713" s="22">
        <f t="shared" si="505"/>
        <v>6</v>
      </c>
      <c r="AT1713" s="24" t="str">
        <f t="shared" si="506"/>
        <v>4-6 months</v>
      </c>
      <c r="AU1713" s="22" t="s">
        <v>3745</v>
      </c>
    </row>
    <row r="1714" spans="1:47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98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507"/>
        <v>50000</v>
      </c>
      <c r="AA1714" s="13">
        <v>7.8</v>
      </c>
      <c r="AB1714" s="21">
        <f t="shared" si="492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493"/>
        <v>15951056.41591504</v>
      </c>
      <c r="AJ1714" s="19">
        <f t="shared" si="494"/>
        <v>1966354.6022462982</v>
      </c>
      <c r="AK1714" s="20">
        <f t="shared" si="501"/>
        <v>0.12327425538313459</v>
      </c>
      <c r="AL1714" s="17"/>
      <c r="AM1714" s="17"/>
      <c r="AN1714" s="17"/>
      <c r="AO1714" s="17"/>
      <c r="AP1714" s="28" t="str">
        <f t="shared" si="502"/>
        <v>20237</v>
      </c>
      <c r="AQ1714" s="28" t="str">
        <f t="shared" si="503"/>
        <v>20237USD</v>
      </c>
      <c r="AR1714" s="206" t="str">
        <f t="shared" si="504"/>
        <v>HELLER</v>
      </c>
      <c r="AS1714" s="22">
        <f t="shared" si="505"/>
        <v>6</v>
      </c>
      <c r="AT1714" s="24" t="str">
        <f t="shared" si="506"/>
        <v>4-6 months</v>
      </c>
      <c r="AU1714" s="22" t="s">
        <v>3745</v>
      </c>
    </row>
    <row r="1715" spans="1:47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98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507"/>
        <v>9350000</v>
      </c>
      <c r="AA1715" s="13">
        <v>7.3499999999999996E-2</v>
      </c>
      <c r="AB1715" s="21">
        <f t="shared" si="492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493"/>
        <v>16455710.386637932</v>
      </c>
      <c r="AJ1715" s="19">
        <f t="shared" si="494"/>
        <v>2150644.6466930606</v>
      </c>
      <c r="AK1715" s="20">
        <f t="shared" si="501"/>
        <v>0.13069290818580451</v>
      </c>
      <c r="AL1715" s="17"/>
      <c r="AM1715" s="17"/>
      <c r="AN1715" s="17"/>
      <c r="AO1715" s="17"/>
      <c r="AP1715" s="28" t="str">
        <f t="shared" si="502"/>
        <v>20192</v>
      </c>
      <c r="AQ1715" s="28" t="str">
        <f t="shared" si="503"/>
        <v>20192JPY</v>
      </c>
      <c r="AR1715" s="206" t="str">
        <f t="shared" si="504"/>
        <v>YAMAHA_Mounter</v>
      </c>
      <c r="AS1715" s="22">
        <f t="shared" si="505"/>
        <v>1</v>
      </c>
      <c r="AT1715" s="24" t="str">
        <f t="shared" si="506"/>
        <v>0-3 months</v>
      </c>
      <c r="AU1715" s="22" t="s">
        <v>3745</v>
      </c>
    </row>
    <row r="1716" spans="1:47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98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507"/>
        <v>9350000</v>
      </c>
      <c r="AA1716" s="13">
        <v>7.3499999999999996E-2</v>
      </c>
      <c r="AB1716" s="21">
        <f t="shared" si="492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493"/>
        <v>16455710.386637932</v>
      </c>
      <c r="AJ1716" s="19">
        <f t="shared" si="494"/>
        <v>2150644.6466930606</v>
      </c>
      <c r="AK1716" s="20">
        <f t="shared" si="501"/>
        <v>0.13069290818580451</v>
      </c>
      <c r="AL1716" s="17"/>
      <c r="AM1716" s="17"/>
      <c r="AN1716" s="17"/>
      <c r="AO1716" s="17"/>
      <c r="AP1716" s="28" t="str">
        <f t="shared" si="502"/>
        <v>20192</v>
      </c>
      <c r="AQ1716" s="28" t="str">
        <f t="shared" si="503"/>
        <v>20192JPY</v>
      </c>
      <c r="AR1716" s="206" t="str">
        <f t="shared" si="504"/>
        <v>YAMAHA_Mounter</v>
      </c>
      <c r="AS1716" s="22">
        <f t="shared" si="505"/>
        <v>1</v>
      </c>
      <c r="AT1716" s="24" t="str">
        <f t="shared" si="506"/>
        <v>0-3 months</v>
      </c>
      <c r="AU1716" s="22" t="s">
        <v>3745</v>
      </c>
    </row>
    <row r="1717" spans="1:47" s="12" customFormat="1">
      <c r="A1717" s="33" t="str">
        <f t="shared" si="495"/>
        <v>cancel</v>
      </c>
      <c r="B1717" s="152"/>
      <c r="C1717" s="152" t="s">
        <v>185</v>
      </c>
      <c r="D1717" s="33" t="str">
        <f t="shared" si="496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97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98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507"/>
        <v>9350000</v>
      </c>
      <c r="AA1717" s="13">
        <v>7.2300000000000003E-2</v>
      </c>
      <c r="AB1717" s="21">
        <f t="shared" si="492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493"/>
        <v>499582152.5142017</v>
      </c>
      <c r="AJ1717" s="19">
        <f t="shared" si="494"/>
        <v>59520528.679470733</v>
      </c>
      <c r="AK1717" s="20">
        <f t="shared" si="501"/>
        <v>0.11914062257814291</v>
      </c>
      <c r="AL1717" s="17"/>
      <c r="AM1717" s="17"/>
      <c r="AN1717" s="17"/>
      <c r="AO1717" s="17"/>
      <c r="AP1717" s="28" t="str">
        <f t="shared" si="502"/>
        <v>CancelCancel</v>
      </c>
      <c r="AQ1717" s="28" t="str">
        <f t="shared" si="503"/>
        <v>CancelCancelJPY</v>
      </c>
      <c r="AR1717" s="206" t="str">
        <f t="shared" si="504"/>
        <v>YAMAHA_Mounter</v>
      </c>
      <c r="AS1717" s="22" t="str">
        <f t="shared" si="505"/>
        <v/>
      </c>
      <c r="AT1717" s="24" t="str">
        <f t="shared" si="506"/>
        <v/>
      </c>
      <c r="AU1717" s="22" t="s">
        <v>3745</v>
      </c>
    </row>
    <row r="1718" spans="1:47" s="12" customFormat="1">
      <c r="A1718" s="33" t="str">
        <f t="shared" si="495"/>
        <v>cancel</v>
      </c>
      <c r="B1718" s="152"/>
      <c r="C1718" s="152" t="s">
        <v>185</v>
      </c>
      <c r="D1718" s="33" t="str">
        <f t="shared" si="496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97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98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507"/>
        <v>9350000</v>
      </c>
      <c r="AA1718" s="13">
        <v>7.2300000000000003E-2</v>
      </c>
      <c r="AB1718" s="21">
        <f t="shared" ref="AB1718:AB1781" si="509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493"/>
        <v>499582152.5142017</v>
      </c>
      <c r="AJ1718" s="19">
        <f t="shared" si="494"/>
        <v>59520528.679470733</v>
      </c>
      <c r="AK1718" s="20">
        <f t="shared" si="501"/>
        <v>0.11914062257814291</v>
      </c>
      <c r="AL1718" s="17"/>
      <c r="AM1718" s="17"/>
      <c r="AN1718" s="17"/>
      <c r="AO1718" s="17"/>
      <c r="AP1718" s="28" t="str">
        <f t="shared" si="502"/>
        <v>CancelCancel</v>
      </c>
      <c r="AQ1718" s="28" t="str">
        <f t="shared" si="503"/>
        <v>CancelCancelJPY</v>
      </c>
      <c r="AR1718" s="206" t="str">
        <f t="shared" si="504"/>
        <v>YAMAHA_Mounter</v>
      </c>
      <c r="AS1718" s="22" t="str">
        <f t="shared" si="505"/>
        <v/>
      </c>
      <c r="AT1718" s="24" t="str">
        <f t="shared" si="506"/>
        <v/>
      </c>
      <c r="AU1718" s="22" t="s">
        <v>3745</v>
      </c>
    </row>
    <row r="1719" spans="1:47" s="12" customFormat="1">
      <c r="A1719" s="33" t="str">
        <f t="shared" si="495"/>
        <v>cancel</v>
      </c>
      <c r="B1719" s="152"/>
      <c r="C1719" s="152" t="s">
        <v>185</v>
      </c>
      <c r="D1719" s="33" t="str">
        <f t="shared" si="496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97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98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507"/>
        <v>9350000</v>
      </c>
      <c r="AA1719" s="13">
        <v>7.2300000000000003E-2</v>
      </c>
      <c r="AB1719" s="21">
        <f t="shared" si="509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493"/>
        <v>499582152.5142017</v>
      </c>
      <c r="AJ1719" s="19">
        <f t="shared" si="494"/>
        <v>59520528.679470733</v>
      </c>
      <c r="AK1719" s="20">
        <f t="shared" si="501"/>
        <v>0.11914062257814291</v>
      </c>
      <c r="AL1719" s="17"/>
      <c r="AM1719" s="17"/>
      <c r="AN1719" s="17"/>
      <c r="AO1719" s="17"/>
      <c r="AP1719" s="28" t="str">
        <f t="shared" si="502"/>
        <v>CancelCancel</v>
      </c>
      <c r="AQ1719" s="28" t="str">
        <f t="shared" si="503"/>
        <v>CancelCancelJPY</v>
      </c>
      <c r="AR1719" s="206" t="str">
        <f t="shared" si="504"/>
        <v>YAMAHA_Mounter</v>
      </c>
      <c r="AS1719" s="22" t="str">
        <f t="shared" si="505"/>
        <v/>
      </c>
      <c r="AT1719" s="24" t="str">
        <f t="shared" si="506"/>
        <v/>
      </c>
      <c r="AU1719" s="22" t="s">
        <v>3745</v>
      </c>
    </row>
    <row r="1720" spans="1:47" s="12" customFormat="1">
      <c r="A1720" s="33" t="str">
        <f t="shared" si="495"/>
        <v>cancel</v>
      </c>
      <c r="B1720" s="152"/>
      <c r="C1720" s="152" t="s">
        <v>185</v>
      </c>
      <c r="D1720" s="33" t="str">
        <f t="shared" si="496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97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98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507"/>
        <v>9350000</v>
      </c>
      <c r="AA1720" s="13">
        <v>7.2300000000000003E-2</v>
      </c>
      <c r="AB1720" s="21">
        <f t="shared" si="509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493"/>
        <v>499582152.5142017</v>
      </c>
      <c r="AJ1720" s="19">
        <f t="shared" si="494"/>
        <v>59520528.679470733</v>
      </c>
      <c r="AK1720" s="20">
        <f t="shared" si="501"/>
        <v>0.11914062257814291</v>
      </c>
      <c r="AL1720" s="17"/>
      <c r="AM1720" s="17"/>
      <c r="AN1720" s="17"/>
      <c r="AO1720" s="17"/>
      <c r="AP1720" s="28" t="str">
        <f t="shared" si="502"/>
        <v>CancelCancel</v>
      </c>
      <c r="AQ1720" s="28" t="str">
        <f t="shared" si="503"/>
        <v>CancelCancelJPY</v>
      </c>
      <c r="AR1720" s="206" t="str">
        <f t="shared" si="504"/>
        <v>YAMAHA_Mounter</v>
      </c>
      <c r="AS1720" s="22" t="str">
        <f t="shared" si="505"/>
        <v/>
      </c>
      <c r="AT1720" s="24" t="str">
        <f t="shared" si="506"/>
        <v/>
      </c>
      <c r="AU1720" s="22" t="s">
        <v>3745</v>
      </c>
    </row>
    <row r="1721" spans="1:47" s="12" customFormat="1">
      <c r="A1721" s="33" t="str">
        <f t="shared" si="495"/>
        <v>cancel</v>
      </c>
      <c r="B1721" s="152"/>
      <c r="C1721" s="152" t="s">
        <v>185</v>
      </c>
      <c r="D1721" s="33" t="str">
        <f t="shared" si="496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97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98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507"/>
        <v>9350000</v>
      </c>
      <c r="AA1721" s="13">
        <v>7.2300000000000003E-2</v>
      </c>
      <c r="AB1721" s="21">
        <f t="shared" si="509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493"/>
        <v>499582152.5142017</v>
      </c>
      <c r="AJ1721" s="19">
        <f t="shared" si="494"/>
        <v>59520528.679470733</v>
      </c>
      <c r="AK1721" s="20">
        <f t="shared" si="501"/>
        <v>0.11914062257814291</v>
      </c>
      <c r="AL1721" s="17"/>
      <c r="AM1721" s="17"/>
      <c r="AN1721" s="17"/>
      <c r="AO1721" s="17"/>
      <c r="AP1721" s="28" t="str">
        <f t="shared" si="502"/>
        <v>CancelCancel</v>
      </c>
      <c r="AQ1721" s="28" t="str">
        <f t="shared" si="503"/>
        <v>CancelCancelJPY</v>
      </c>
      <c r="AR1721" s="206" t="str">
        <f t="shared" si="504"/>
        <v>YAMAHA_Mounter</v>
      </c>
      <c r="AS1721" s="22" t="str">
        <f t="shared" si="505"/>
        <v/>
      </c>
      <c r="AT1721" s="24" t="str">
        <f t="shared" si="506"/>
        <v/>
      </c>
      <c r="AU1721" s="22" t="s">
        <v>3745</v>
      </c>
    </row>
    <row r="1722" spans="1:47" s="12" customFormat="1">
      <c r="A1722" s="33" t="str">
        <f t="shared" si="495"/>
        <v>cancel</v>
      </c>
      <c r="B1722" s="152"/>
      <c r="C1722" s="152" t="s">
        <v>185</v>
      </c>
      <c r="D1722" s="33" t="str">
        <f t="shared" si="496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97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98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507"/>
        <v>9350000</v>
      </c>
      <c r="AA1722" s="13">
        <v>7.2300000000000003E-2</v>
      </c>
      <c r="AB1722" s="21">
        <f t="shared" si="509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493"/>
        <v>499582152.5142017</v>
      </c>
      <c r="AJ1722" s="19">
        <f t="shared" si="494"/>
        <v>59520528.679470733</v>
      </c>
      <c r="AK1722" s="20">
        <f t="shared" si="501"/>
        <v>0.11914062257814291</v>
      </c>
      <c r="AL1722" s="17"/>
      <c r="AM1722" s="17"/>
      <c r="AN1722" s="17"/>
      <c r="AO1722" s="17"/>
      <c r="AP1722" s="28" t="str">
        <f t="shared" si="502"/>
        <v>CancelCancel</v>
      </c>
      <c r="AQ1722" s="28" t="str">
        <f t="shared" si="503"/>
        <v>CancelCancelJPY</v>
      </c>
      <c r="AR1722" s="206" t="str">
        <f t="shared" si="504"/>
        <v>YAMAHA_Mounter</v>
      </c>
      <c r="AS1722" s="22" t="str">
        <f t="shared" si="505"/>
        <v/>
      </c>
      <c r="AT1722" s="24" t="str">
        <f t="shared" si="506"/>
        <v/>
      </c>
      <c r="AU1722" s="22" t="s">
        <v>3745</v>
      </c>
    </row>
    <row r="1723" spans="1:47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98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507"/>
        <v>260000</v>
      </c>
      <c r="AA1723" s="13">
        <v>1.1499999999999999</v>
      </c>
      <c r="AB1723" s="21">
        <f t="shared" si="509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493"/>
        <v>16455710.386637932</v>
      </c>
      <c r="AJ1723" s="19">
        <f t="shared" si="494"/>
        <v>2150644.6466930606</v>
      </c>
      <c r="AK1723" s="20">
        <f t="shared" si="501"/>
        <v>0.13069290818580451</v>
      </c>
      <c r="AL1723" s="17"/>
      <c r="AM1723" s="17"/>
      <c r="AN1723" s="17"/>
      <c r="AO1723" s="17"/>
      <c r="AP1723" s="28" t="str">
        <f t="shared" si="502"/>
        <v>20192</v>
      </c>
      <c r="AQ1723" s="28" t="str">
        <f t="shared" si="503"/>
        <v>20192RMB</v>
      </c>
      <c r="AR1723" s="206" t="str">
        <f t="shared" si="504"/>
        <v>HELLER</v>
      </c>
      <c r="AS1723" s="22">
        <f t="shared" si="505"/>
        <v>1</v>
      </c>
      <c r="AT1723" s="24" t="str">
        <f t="shared" si="506"/>
        <v>0-3 months</v>
      </c>
      <c r="AU1723" s="22" t="s">
        <v>3743</v>
      </c>
    </row>
    <row r="1724" spans="1:47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98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507"/>
        <v>9652900</v>
      </c>
      <c r="AA1724" s="13">
        <v>5.0999999999999997E-2</v>
      </c>
      <c r="AB1724" s="21">
        <f t="shared" si="509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493"/>
        <v>27308925.887079656</v>
      </c>
      <c r="AJ1724" s="27">
        <f t="shared" si="494"/>
        <v>3319273.860338124</v>
      </c>
      <c r="AK1724" s="28">
        <f t="shared" si="501"/>
        <v>0.12154538314919709</v>
      </c>
      <c r="AL1724" s="24"/>
      <c r="AM1724" s="24"/>
      <c r="AN1724" s="24"/>
      <c r="AO1724" s="24"/>
      <c r="AP1724" s="28" t="str">
        <f t="shared" si="502"/>
        <v>20246</v>
      </c>
      <c r="AQ1724" s="28" t="str">
        <f t="shared" si="503"/>
        <v>20246JPY</v>
      </c>
      <c r="AR1724" s="206" t="str">
        <f t="shared" si="504"/>
        <v>YAMAHA_Mounter</v>
      </c>
      <c r="AS1724" s="22">
        <f t="shared" si="505"/>
        <v>3</v>
      </c>
      <c r="AT1724" s="24" t="str">
        <f t="shared" si="506"/>
        <v>0-3 months</v>
      </c>
      <c r="AU1724" s="22" t="s">
        <v>3744</v>
      </c>
    </row>
    <row r="1725" spans="1:47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98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507"/>
        <v>9652900</v>
      </c>
      <c r="AA1725" s="13">
        <v>5.0999999999999997E-2</v>
      </c>
      <c r="AB1725" s="21">
        <f t="shared" si="509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493"/>
        <v>27308925.887079656</v>
      </c>
      <c r="AJ1725" s="27">
        <f t="shared" si="494"/>
        <v>3319273.860338124</v>
      </c>
      <c r="AK1725" s="28">
        <f t="shared" si="501"/>
        <v>0.12154538314919709</v>
      </c>
      <c r="AL1725" s="24"/>
      <c r="AM1725" s="24"/>
      <c r="AN1725" s="24"/>
      <c r="AO1725" s="24"/>
      <c r="AP1725" s="28" t="str">
        <f t="shared" si="502"/>
        <v>20246</v>
      </c>
      <c r="AQ1725" s="28" t="str">
        <f t="shared" si="503"/>
        <v>20246JPY</v>
      </c>
      <c r="AR1725" s="206" t="str">
        <f t="shared" si="504"/>
        <v>YAMAHA_Mounter</v>
      </c>
      <c r="AS1725" s="22">
        <f t="shared" si="505"/>
        <v>3</v>
      </c>
      <c r="AT1725" s="24" t="str">
        <f t="shared" si="506"/>
        <v>0-3 months</v>
      </c>
      <c r="AU1725" s="22" t="s">
        <v>3744</v>
      </c>
    </row>
    <row r="1726" spans="1:47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98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507"/>
        <v>9652900</v>
      </c>
      <c r="AA1726" s="13">
        <v>5.0999999999999997E-2</v>
      </c>
      <c r="AB1726" s="21">
        <f t="shared" si="509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493"/>
        <v>27308925.887079656</v>
      </c>
      <c r="AJ1726" s="27">
        <f t="shared" si="494"/>
        <v>3319273.860338124</v>
      </c>
      <c r="AK1726" s="28">
        <f t="shared" si="501"/>
        <v>0.12154538314919709</v>
      </c>
      <c r="AL1726" s="24"/>
      <c r="AM1726" s="24"/>
      <c r="AN1726" s="24"/>
      <c r="AO1726" s="24"/>
      <c r="AP1726" s="28" t="str">
        <f t="shared" si="502"/>
        <v>20246</v>
      </c>
      <c r="AQ1726" s="28" t="str">
        <f t="shared" si="503"/>
        <v>20246JPY</v>
      </c>
      <c r="AR1726" s="206" t="str">
        <f t="shared" si="504"/>
        <v>YAMAHA_Mounter</v>
      </c>
      <c r="AS1726" s="22">
        <f t="shared" si="505"/>
        <v>3</v>
      </c>
      <c r="AT1726" s="24" t="str">
        <f t="shared" si="506"/>
        <v>0-3 months</v>
      </c>
      <c r="AU1726" s="22" t="s">
        <v>3744</v>
      </c>
    </row>
    <row r="1727" spans="1:47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98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507"/>
        <v>11000000</v>
      </c>
      <c r="AA1727" s="13">
        <v>5.0999999999999997E-2</v>
      </c>
      <c r="AB1727" s="21">
        <f t="shared" si="509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493"/>
        <v>27308925.887079656</v>
      </c>
      <c r="AJ1727" s="27">
        <f t="shared" si="494"/>
        <v>3319273.860338124</v>
      </c>
      <c r="AK1727" s="28">
        <f t="shared" si="501"/>
        <v>0.12154538314919709</v>
      </c>
      <c r="AL1727" s="24"/>
      <c r="AM1727" s="24"/>
      <c r="AN1727" s="24"/>
      <c r="AO1727" s="24"/>
      <c r="AP1727" s="28" t="str">
        <f t="shared" si="502"/>
        <v>20246</v>
      </c>
      <c r="AQ1727" s="28" t="str">
        <f t="shared" si="503"/>
        <v>20246JPY</v>
      </c>
      <c r="AR1727" s="206" t="str">
        <f t="shared" si="504"/>
        <v>YAMAHA_Mounter</v>
      </c>
      <c r="AS1727" s="22">
        <f t="shared" si="505"/>
        <v>3</v>
      </c>
      <c r="AT1727" s="24" t="str">
        <f t="shared" si="506"/>
        <v>0-3 months</v>
      </c>
      <c r="AU1727" s="22" t="s">
        <v>3744</v>
      </c>
    </row>
    <row r="1728" spans="1:47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98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507"/>
        <v>16151975</v>
      </c>
      <c r="AA1728" s="13">
        <v>7.3499999999999996E-2</v>
      </c>
      <c r="AB1728" s="21">
        <f t="shared" si="509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493"/>
        <v>16455710.386637932</v>
      </c>
      <c r="AJ1728" s="19">
        <f t="shared" si="494"/>
        <v>2150644.6466930606</v>
      </c>
      <c r="AK1728" s="20">
        <f t="shared" si="501"/>
        <v>0.13069290818580451</v>
      </c>
      <c r="AL1728" s="17"/>
      <c r="AM1728" s="17"/>
      <c r="AN1728" s="17"/>
      <c r="AO1728" s="17"/>
      <c r="AP1728" s="28" t="str">
        <f t="shared" si="502"/>
        <v>20192</v>
      </c>
      <c r="AQ1728" s="28" t="str">
        <f t="shared" si="503"/>
        <v>20192JPY</v>
      </c>
      <c r="AR1728" s="206" t="str">
        <f t="shared" si="504"/>
        <v>YAMAHA_Mounter</v>
      </c>
      <c r="AS1728" s="22">
        <f t="shared" si="505"/>
        <v>3</v>
      </c>
      <c r="AT1728" s="24" t="str">
        <f t="shared" si="506"/>
        <v>0-3 months</v>
      </c>
      <c r="AU1728" s="22" t="s">
        <v>3744</v>
      </c>
    </row>
    <row r="1729" spans="1:47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98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507"/>
        <v>580000</v>
      </c>
      <c r="AA1729" s="13">
        <v>1.135</v>
      </c>
      <c r="AB1729" s="21">
        <f t="shared" si="509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493"/>
        <v>31296887.037898075</v>
      </c>
      <c r="AJ1729" s="19">
        <f t="shared" si="494"/>
        <v>3588873.9502021763</v>
      </c>
      <c r="AK1729" s="20">
        <f t="shared" si="501"/>
        <v>0.11467191436184473</v>
      </c>
      <c r="AL1729" s="17"/>
      <c r="AM1729" s="17"/>
      <c r="AN1729" s="17"/>
      <c r="AO1729" s="17"/>
      <c r="AP1729" s="28" t="str">
        <f t="shared" si="502"/>
        <v>20196</v>
      </c>
      <c r="AQ1729" s="28" t="str">
        <f t="shared" si="503"/>
        <v>20196RMB</v>
      </c>
      <c r="AR1729" s="206" t="str">
        <f t="shared" si="504"/>
        <v>YAMAHA_Mounter</v>
      </c>
      <c r="AS1729" s="22">
        <f t="shared" si="505"/>
        <v>0</v>
      </c>
      <c r="AT1729" s="24" t="str">
        <f t="shared" si="506"/>
        <v>0-3 months</v>
      </c>
      <c r="AU1729" s="22" t="s">
        <v>3743</v>
      </c>
    </row>
    <row r="1730" spans="1:47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98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507"/>
        <v>880000</v>
      </c>
      <c r="AA1730" s="13">
        <v>1.095</v>
      </c>
      <c r="AB1730" s="21">
        <f t="shared" si="509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ref="AI1730:AI1793" si="510">IF(P1730="C66 SERVICE","",SUMIFS(AB:AB,F:F,F1730,G:G,G1730,E:E,E1730))</f>
        <v>33477255.428389374</v>
      </c>
      <c r="AJ1730" s="19">
        <f t="shared" ref="AJ1730:AJ1793" si="511">IF(P1730="C66 SERVICE","",SUMIFS(AC:AC,F:F,F1730,G:G,G1730,E:E,E1730))</f>
        <v>4578663.362915583</v>
      </c>
      <c r="AK1730" s="20">
        <f t="shared" si="501"/>
        <v>0.13676937682988152</v>
      </c>
      <c r="AL1730" s="17"/>
      <c r="AM1730" s="17"/>
      <c r="AN1730" s="17"/>
      <c r="AO1730" s="17"/>
      <c r="AP1730" s="28" t="str">
        <f t="shared" si="502"/>
        <v>20204</v>
      </c>
      <c r="AQ1730" s="28" t="str">
        <f t="shared" si="503"/>
        <v>20204RMB</v>
      </c>
      <c r="AR1730" s="206" t="str">
        <f t="shared" si="504"/>
        <v>YAMAHA_Mounter</v>
      </c>
      <c r="AS1730" s="22">
        <f t="shared" si="505"/>
        <v>1</v>
      </c>
      <c r="AT1730" s="24" t="str">
        <f t="shared" si="506"/>
        <v>0-3 months</v>
      </c>
      <c r="AU1730" s="22" t="s">
        <v>3743</v>
      </c>
    </row>
    <row r="1731" spans="1:47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98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507"/>
        <v>15000000</v>
      </c>
      <c r="AA1731" s="13">
        <v>7.2999999999999995E-2</v>
      </c>
      <c r="AB1731" s="21">
        <f t="shared" si="509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10"/>
        <v>11620538.477876106</v>
      </c>
      <c r="AJ1731" s="19">
        <f t="shared" si="511"/>
        <v>1598596.3145221241</v>
      </c>
      <c r="AK1731" s="20">
        <f t="shared" si="501"/>
        <v>0.13756645766163331</v>
      </c>
      <c r="AL1731" s="17"/>
      <c r="AM1731" s="17"/>
      <c r="AN1731" s="17"/>
      <c r="AO1731" s="17"/>
      <c r="AP1731" s="28" t="str">
        <f t="shared" si="502"/>
        <v>20201</v>
      </c>
      <c r="AQ1731" s="28" t="str">
        <f t="shared" si="503"/>
        <v>20201JPY</v>
      </c>
      <c r="AR1731" s="206" t="str">
        <f t="shared" si="504"/>
        <v>YAMAHA_Mounter</v>
      </c>
      <c r="AS1731" s="22">
        <f t="shared" si="505"/>
        <v>0</v>
      </c>
      <c r="AT1731" s="24" t="str">
        <f t="shared" si="506"/>
        <v>0-3 months</v>
      </c>
      <c r="AU1731" s="22" t="s">
        <v>3744</v>
      </c>
    </row>
    <row r="1732" spans="1:47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98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507"/>
        <v>9442000</v>
      </c>
      <c r="AA1732" s="13">
        <v>7.2999999999999995E-2</v>
      </c>
      <c r="AB1732" s="21">
        <f t="shared" si="509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10"/>
        <v>11620538.477876106</v>
      </c>
      <c r="AJ1732" s="19">
        <f t="shared" si="511"/>
        <v>1598596.3145221241</v>
      </c>
      <c r="AK1732" s="20">
        <f t="shared" si="501"/>
        <v>0.13756645766163331</v>
      </c>
      <c r="AL1732" s="17"/>
      <c r="AM1732" s="17"/>
      <c r="AN1732" s="17"/>
      <c r="AO1732" s="17"/>
      <c r="AP1732" s="28" t="str">
        <f t="shared" si="502"/>
        <v>20201</v>
      </c>
      <c r="AQ1732" s="28" t="str">
        <f t="shared" si="503"/>
        <v>20201JPY</v>
      </c>
      <c r="AR1732" s="206" t="str">
        <f t="shared" si="504"/>
        <v>YAMAHA_Mounter</v>
      </c>
      <c r="AS1732" s="22">
        <f t="shared" si="505"/>
        <v>0</v>
      </c>
      <c r="AT1732" s="24" t="str">
        <f t="shared" si="506"/>
        <v>0-3 months</v>
      </c>
      <c r="AU1732" s="22" t="s">
        <v>3744</v>
      </c>
    </row>
    <row r="1733" spans="1:47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98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507"/>
        <v>570000</v>
      </c>
      <c r="AA1733" s="13">
        <v>1.17</v>
      </c>
      <c r="AB1733" s="21">
        <f t="shared" si="509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10"/>
        <v>36480247.665929198</v>
      </c>
      <c r="AJ1733" s="19">
        <f t="shared" si="511"/>
        <v>5330996.6372757526</v>
      </c>
      <c r="AK1733" s="20">
        <f t="shared" si="501"/>
        <v>0.14613378412599562</v>
      </c>
      <c r="AL1733" s="17"/>
      <c r="AM1733" s="17"/>
      <c r="AN1733" s="17"/>
      <c r="AO1733" s="17"/>
      <c r="AP1733" s="28" t="str">
        <f t="shared" si="502"/>
        <v>20227</v>
      </c>
      <c r="AQ1733" s="28" t="str">
        <f t="shared" si="503"/>
        <v>20227RMB</v>
      </c>
      <c r="AR1733" s="206" t="str">
        <f t="shared" si="504"/>
        <v>YAMAHA_Mounter</v>
      </c>
      <c r="AS1733" s="22">
        <f t="shared" si="505"/>
        <v>1</v>
      </c>
      <c r="AT1733" s="24" t="str">
        <f t="shared" si="506"/>
        <v>0-3 months</v>
      </c>
      <c r="AU1733" s="22" t="s">
        <v>3750</v>
      </c>
    </row>
    <row r="1734" spans="1:47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507"/>
        <v>8730000</v>
      </c>
      <c r="AA1734" s="22">
        <v>5.6300000000000003E-2</v>
      </c>
      <c r="AB1734" s="21">
        <f t="shared" si="509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510"/>
        <v>23146578.081415929</v>
      </c>
      <c r="AJ1734" s="27">
        <f t="shared" si="511"/>
        <v>2745231.3889985834</v>
      </c>
      <c r="AK1734" s="28">
        <f t="shared" ref="AK1734:AK1797" si="518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19">IF(F1734="","",F1734&amp;G1734)</f>
        <v>20241</v>
      </c>
      <c r="AQ1734" s="28" t="str">
        <f t="shared" ref="AQ1734:AQ1797" si="520">IF(W1734="","",F1734&amp;G1734&amp;W1734)</f>
        <v>20241JPY</v>
      </c>
      <c r="AR1734" s="206" t="str">
        <f t="shared" ref="AR1734:AR1797" si="521">IFERROR(IF(AND(M1734="YAMAHA", R1734="C28"), "YAMAHA_Non_Mounter", IF(AND(M1734="YAMAHA", R1734="C49"), "YAMAHA_Mounter", M1734)),"")</f>
        <v>YAMAHA_Mounter</v>
      </c>
      <c r="AS1734" s="22">
        <f t="shared" ref="AS1734:AS1797" si="522">IFERROR(IF(OR(G1734="TBA", G1734=""), "", DATEDIF(DATE(B1734, C1734, 1), DATE(F1734, G1734, 1), "M")),"")</f>
        <v>1</v>
      </c>
      <c r="AT1734" s="24" t="str">
        <f t="shared" ref="AT1734:AT1797" si="523">IF(ISNUMBER(AS1734), IF(AS1734&gt;=0, IF(AS1734&lt;=3, "0-3 months", IF(AS1734&lt;=6, "4-6 months", "&gt; 6 months"))), "")</f>
        <v>0-3 months</v>
      </c>
      <c r="AU1734" s="22" t="s">
        <v>3744</v>
      </c>
    </row>
    <row r="1735" spans="1:47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515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507"/>
        <v>680000</v>
      </c>
      <c r="AA1735" s="13">
        <v>1.1100000000000001</v>
      </c>
      <c r="AB1735" s="21">
        <f t="shared" si="509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0"/>
        <v>23168285.927433632</v>
      </c>
      <c r="AJ1735" s="19">
        <f t="shared" si="511"/>
        <v>2764878.916878053</v>
      </c>
      <c r="AK1735" s="20">
        <f t="shared" si="518"/>
        <v>0.11933895004309111</v>
      </c>
      <c r="AL1735" s="17"/>
      <c r="AM1735" s="17"/>
      <c r="AN1735" s="17"/>
      <c r="AO1735" s="17"/>
      <c r="AP1735" s="28" t="str">
        <f t="shared" si="519"/>
        <v>20203</v>
      </c>
      <c r="AQ1735" s="28" t="str">
        <f t="shared" si="520"/>
        <v>20203RMB</v>
      </c>
      <c r="AR1735" s="206" t="str">
        <f t="shared" si="521"/>
        <v>YAMAHA_Mounter</v>
      </c>
      <c r="AS1735" s="22">
        <f t="shared" si="522"/>
        <v>0</v>
      </c>
      <c r="AT1735" s="24" t="str">
        <f t="shared" si="523"/>
        <v>0-3 months</v>
      </c>
      <c r="AU1735" s="22" t="s">
        <v>3743</v>
      </c>
    </row>
    <row r="1736" spans="1:47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524">IF(W1736="RMB","1.13", "1")</f>
        <v>1</v>
      </c>
      <c r="Z1736" s="18">
        <f t="shared" si="507"/>
        <v>18000000</v>
      </c>
      <c r="AA1736" s="13">
        <v>5.5199999999999999E-2</v>
      </c>
      <c r="AB1736" s="21">
        <f t="shared" si="509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0"/>
        <v>15951056.41591504</v>
      </c>
      <c r="AJ1736" s="19">
        <f t="shared" si="511"/>
        <v>1966354.6022462982</v>
      </c>
      <c r="AK1736" s="20">
        <f t="shared" si="518"/>
        <v>0.12327425538313459</v>
      </c>
      <c r="AL1736" s="17"/>
      <c r="AM1736" s="17"/>
      <c r="AN1736" s="17"/>
      <c r="AO1736" s="17"/>
      <c r="AP1736" s="28" t="str">
        <f t="shared" si="519"/>
        <v>20237</v>
      </c>
      <c r="AQ1736" s="28" t="str">
        <f t="shared" si="520"/>
        <v>20237JPY</v>
      </c>
      <c r="AR1736" s="206" t="str">
        <f t="shared" si="521"/>
        <v>YAMAHA_Mounter</v>
      </c>
      <c r="AS1736" s="22">
        <f t="shared" si="522"/>
        <v>1</v>
      </c>
      <c r="AT1736" s="24" t="str">
        <f t="shared" si="523"/>
        <v>0-3 months</v>
      </c>
      <c r="AU1736" s="22" t="s">
        <v>3240</v>
      </c>
    </row>
    <row r="1737" spans="1:47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515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524"/>
        <v>1</v>
      </c>
      <c r="Z1737" s="18">
        <f t="shared" si="507"/>
        <v>11538686</v>
      </c>
      <c r="AA1737" s="13">
        <v>5.5199999999999999E-2</v>
      </c>
      <c r="AB1737" s="21">
        <f t="shared" si="509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0"/>
        <v>15951056.41591504</v>
      </c>
      <c r="AJ1737" s="19">
        <f t="shared" si="511"/>
        <v>1966354.6022462982</v>
      </c>
      <c r="AK1737" s="20">
        <f t="shared" si="518"/>
        <v>0.12327425538313459</v>
      </c>
      <c r="AL1737" s="17"/>
      <c r="AM1737" s="17"/>
      <c r="AN1737" s="17"/>
      <c r="AO1737" s="17"/>
      <c r="AP1737" s="28" t="str">
        <f t="shared" si="519"/>
        <v>20237</v>
      </c>
      <c r="AQ1737" s="28" t="str">
        <f t="shared" si="520"/>
        <v>20237JPY</v>
      </c>
      <c r="AR1737" s="206" t="str">
        <f t="shared" si="521"/>
        <v>YAMAHA_Mounter</v>
      </c>
      <c r="AS1737" s="22">
        <f t="shared" si="522"/>
        <v>3</v>
      </c>
      <c r="AT1737" s="24" t="str">
        <f t="shared" si="523"/>
        <v>0-3 months</v>
      </c>
      <c r="AU1737" s="22" t="s">
        <v>3240</v>
      </c>
    </row>
    <row r="1738" spans="1:47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515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524"/>
        <v>1</v>
      </c>
      <c r="Z1738" s="18">
        <f t="shared" ref="Z1738:Z1801" si="525">IF(X1738="","",X1738*MAX(O1738,N1738))</f>
        <v>11538686</v>
      </c>
      <c r="AA1738" s="13">
        <v>5.5199999999999999E-2</v>
      </c>
      <c r="AB1738" s="21">
        <f t="shared" si="509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0"/>
        <v>15951056.41591504</v>
      </c>
      <c r="AJ1738" s="19">
        <f t="shared" si="511"/>
        <v>1966354.6022462982</v>
      </c>
      <c r="AK1738" s="20">
        <f t="shared" si="518"/>
        <v>0.12327425538313459</v>
      </c>
      <c r="AL1738" s="17"/>
      <c r="AM1738" s="17"/>
      <c r="AN1738" s="17"/>
      <c r="AO1738" s="17"/>
      <c r="AP1738" s="28" t="str">
        <f t="shared" si="519"/>
        <v>20237</v>
      </c>
      <c r="AQ1738" s="28" t="str">
        <f t="shared" si="520"/>
        <v>20237JPY</v>
      </c>
      <c r="AR1738" s="206" t="str">
        <f t="shared" si="521"/>
        <v>YAMAHA_Mounter</v>
      </c>
      <c r="AS1738" s="22">
        <f t="shared" si="522"/>
        <v>3</v>
      </c>
      <c r="AT1738" s="24" t="str">
        <f t="shared" si="523"/>
        <v>0-3 months</v>
      </c>
      <c r="AU1738" s="22" t="s">
        <v>3240</v>
      </c>
    </row>
    <row r="1739" spans="1:47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515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524"/>
        <v>1</v>
      </c>
      <c r="Z1739" s="18">
        <f t="shared" si="525"/>
        <v>11538686</v>
      </c>
      <c r="AA1739" s="13">
        <v>5.5199999999999999E-2</v>
      </c>
      <c r="AB1739" s="21">
        <f t="shared" si="509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0"/>
        <v>15951056.41591504</v>
      </c>
      <c r="AJ1739" s="19">
        <f t="shared" si="511"/>
        <v>1966354.6022462982</v>
      </c>
      <c r="AK1739" s="20">
        <f t="shared" si="518"/>
        <v>0.12327425538313459</v>
      </c>
      <c r="AL1739" s="17"/>
      <c r="AM1739" s="17"/>
      <c r="AN1739" s="17"/>
      <c r="AO1739" s="17"/>
      <c r="AP1739" s="28" t="str">
        <f t="shared" si="519"/>
        <v>20237</v>
      </c>
      <c r="AQ1739" s="28" t="str">
        <f t="shared" si="520"/>
        <v>20237JPY</v>
      </c>
      <c r="AR1739" s="206" t="str">
        <f t="shared" si="521"/>
        <v>YAMAHA_Mounter</v>
      </c>
      <c r="AS1739" s="22">
        <f t="shared" si="522"/>
        <v>3</v>
      </c>
      <c r="AT1739" s="24" t="str">
        <f t="shared" si="523"/>
        <v>0-3 months</v>
      </c>
      <c r="AU1739" s="22" t="s">
        <v>3240</v>
      </c>
    </row>
    <row r="1740" spans="1:47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515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524"/>
        <v>1</v>
      </c>
      <c r="Z1740" s="18">
        <f t="shared" si="525"/>
        <v>11538686</v>
      </c>
      <c r="AA1740" s="13">
        <v>5.5199999999999999E-2</v>
      </c>
      <c r="AB1740" s="21">
        <f t="shared" si="509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0"/>
        <v>15951056.41591504</v>
      </c>
      <c r="AJ1740" s="19">
        <f t="shared" si="511"/>
        <v>1966354.6022462982</v>
      </c>
      <c r="AK1740" s="20">
        <f t="shared" si="518"/>
        <v>0.12327425538313459</v>
      </c>
      <c r="AL1740" s="17"/>
      <c r="AM1740" s="17"/>
      <c r="AN1740" s="17"/>
      <c r="AO1740" s="17"/>
      <c r="AP1740" s="28" t="str">
        <f t="shared" si="519"/>
        <v>20237</v>
      </c>
      <c r="AQ1740" s="28" t="str">
        <f t="shared" si="520"/>
        <v>20237JPY</v>
      </c>
      <c r="AR1740" s="206" t="str">
        <f t="shared" si="521"/>
        <v>YAMAHA_Mounter</v>
      </c>
      <c r="AS1740" s="22">
        <f t="shared" si="522"/>
        <v>3</v>
      </c>
      <c r="AT1740" s="24" t="str">
        <f t="shared" si="523"/>
        <v>0-3 months</v>
      </c>
      <c r="AU1740" s="22" t="s">
        <v>3240</v>
      </c>
    </row>
    <row r="1741" spans="1:47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515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524"/>
        <v>1</v>
      </c>
      <c r="Z1741" s="18">
        <f t="shared" si="525"/>
        <v>11538686</v>
      </c>
      <c r="AA1741" s="13">
        <v>5.5199999999999999E-2</v>
      </c>
      <c r="AB1741" s="21">
        <f t="shared" si="509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0"/>
        <v>15951056.41591504</v>
      </c>
      <c r="AJ1741" s="19">
        <f t="shared" si="511"/>
        <v>1966354.6022462982</v>
      </c>
      <c r="AK1741" s="20">
        <f t="shared" si="518"/>
        <v>0.12327425538313459</v>
      </c>
      <c r="AL1741" s="17"/>
      <c r="AM1741" s="17"/>
      <c r="AN1741" s="17"/>
      <c r="AO1741" s="17"/>
      <c r="AP1741" s="28" t="str">
        <f t="shared" si="519"/>
        <v>20237</v>
      </c>
      <c r="AQ1741" s="28" t="str">
        <f t="shared" si="520"/>
        <v>20237JPY</v>
      </c>
      <c r="AR1741" s="206" t="str">
        <f t="shared" si="521"/>
        <v>YAMAHA_Mounter</v>
      </c>
      <c r="AS1741" s="22">
        <f t="shared" si="522"/>
        <v>3</v>
      </c>
      <c r="AT1741" s="24" t="str">
        <f t="shared" si="523"/>
        <v>0-3 months</v>
      </c>
      <c r="AU1741" s="22" t="s">
        <v>3240</v>
      </c>
    </row>
    <row r="1742" spans="1:47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515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524"/>
        <v>1</v>
      </c>
      <c r="Z1742" s="18">
        <f t="shared" si="525"/>
        <v>11538686</v>
      </c>
      <c r="AA1742" s="13">
        <v>5.5199999999999999E-2</v>
      </c>
      <c r="AB1742" s="21">
        <f t="shared" si="509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0"/>
        <v>15951056.41591504</v>
      </c>
      <c r="AJ1742" s="19">
        <f t="shared" si="511"/>
        <v>1966354.6022462982</v>
      </c>
      <c r="AK1742" s="20">
        <f t="shared" si="518"/>
        <v>0.12327425538313459</v>
      </c>
      <c r="AL1742" s="17"/>
      <c r="AM1742" s="17"/>
      <c r="AN1742" s="17"/>
      <c r="AO1742" s="17"/>
      <c r="AP1742" s="28" t="str">
        <f t="shared" si="519"/>
        <v>20237</v>
      </c>
      <c r="AQ1742" s="28" t="str">
        <f t="shared" si="520"/>
        <v>20237JPY</v>
      </c>
      <c r="AR1742" s="206" t="str">
        <f t="shared" si="521"/>
        <v>YAMAHA_Mounter</v>
      </c>
      <c r="AS1742" s="22">
        <f t="shared" si="522"/>
        <v>3</v>
      </c>
      <c r="AT1742" s="24" t="str">
        <f t="shared" si="523"/>
        <v>0-3 months</v>
      </c>
      <c r="AU1742" s="22" t="s">
        <v>3240</v>
      </c>
    </row>
    <row r="1743" spans="1:47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515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524"/>
        <v>1</v>
      </c>
      <c r="Z1743" s="18">
        <f t="shared" si="525"/>
        <v>7963342</v>
      </c>
      <c r="AA1743" s="13">
        <v>5.5199999999999999E-2</v>
      </c>
      <c r="AB1743" s="21">
        <f t="shared" si="509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0"/>
        <v>15951056.41591504</v>
      </c>
      <c r="AJ1743" s="19">
        <f t="shared" si="511"/>
        <v>1966354.6022462982</v>
      </c>
      <c r="AK1743" s="20">
        <f t="shared" si="518"/>
        <v>0.12327425538313459</v>
      </c>
      <c r="AL1743" s="17"/>
      <c r="AM1743" s="17"/>
      <c r="AN1743" s="17"/>
      <c r="AO1743" s="17"/>
      <c r="AP1743" s="28" t="str">
        <f t="shared" si="519"/>
        <v>20237</v>
      </c>
      <c r="AQ1743" s="28" t="str">
        <f t="shared" si="520"/>
        <v>20237JPY</v>
      </c>
      <c r="AR1743" s="206" t="str">
        <f t="shared" si="521"/>
        <v>YAMAHA_Mounter</v>
      </c>
      <c r="AS1743" s="22">
        <f t="shared" si="522"/>
        <v>3</v>
      </c>
      <c r="AT1743" s="24" t="str">
        <f t="shared" si="523"/>
        <v>0-3 months</v>
      </c>
      <c r="AU1743" s="22" t="s">
        <v>3240</v>
      </c>
    </row>
    <row r="1744" spans="1:47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515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524"/>
        <v>1</v>
      </c>
      <c r="Z1744" s="18">
        <f t="shared" si="525"/>
        <v>7963342</v>
      </c>
      <c r="AA1744" s="13">
        <v>5.5199999999999999E-2</v>
      </c>
      <c r="AB1744" s="21">
        <f t="shared" si="509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0"/>
        <v>15951056.41591504</v>
      </c>
      <c r="AJ1744" s="19">
        <f t="shared" si="511"/>
        <v>1966354.6022462982</v>
      </c>
      <c r="AK1744" s="20">
        <f t="shared" si="518"/>
        <v>0.12327425538313459</v>
      </c>
      <c r="AL1744" s="17"/>
      <c r="AM1744" s="17"/>
      <c r="AN1744" s="17"/>
      <c r="AO1744" s="17"/>
      <c r="AP1744" s="28" t="str">
        <f t="shared" si="519"/>
        <v>20237</v>
      </c>
      <c r="AQ1744" s="28" t="str">
        <f t="shared" si="520"/>
        <v>20237JPY</v>
      </c>
      <c r="AR1744" s="206" t="str">
        <f t="shared" si="521"/>
        <v>YAMAHA_Mounter</v>
      </c>
      <c r="AS1744" s="22">
        <f t="shared" si="522"/>
        <v>3</v>
      </c>
      <c r="AT1744" s="24" t="str">
        <f t="shared" si="523"/>
        <v>0-3 months</v>
      </c>
      <c r="AU1744" s="22" t="s">
        <v>3240</v>
      </c>
    </row>
    <row r="1745" spans="1:47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515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524"/>
        <v>1</v>
      </c>
      <c r="Z1745" s="18">
        <f t="shared" si="525"/>
        <v>7963342</v>
      </c>
      <c r="AA1745" s="13">
        <v>5.5199999999999999E-2</v>
      </c>
      <c r="AB1745" s="21">
        <f t="shared" si="509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0"/>
        <v>15951056.41591504</v>
      </c>
      <c r="AJ1745" s="19">
        <f t="shared" si="511"/>
        <v>1966354.6022462982</v>
      </c>
      <c r="AK1745" s="20">
        <f t="shared" si="518"/>
        <v>0.12327425538313459</v>
      </c>
      <c r="AL1745" s="17"/>
      <c r="AM1745" s="17"/>
      <c r="AN1745" s="17"/>
      <c r="AO1745" s="17"/>
      <c r="AP1745" s="28" t="str">
        <f t="shared" si="519"/>
        <v>20237</v>
      </c>
      <c r="AQ1745" s="28" t="str">
        <f t="shared" si="520"/>
        <v>20237JPY</v>
      </c>
      <c r="AR1745" s="206" t="str">
        <f t="shared" si="521"/>
        <v>YAMAHA_Mounter</v>
      </c>
      <c r="AS1745" s="22">
        <f t="shared" si="522"/>
        <v>3</v>
      </c>
      <c r="AT1745" s="24" t="str">
        <f t="shared" si="523"/>
        <v>0-3 months</v>
      </c>
      <c r="AU1745" s="22" t="s">
        <v>3240</v>
      </c>
    </row>
    <row r="1746" spans="1:47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515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524"/>
        <v>1</v>
      </c>
      <c r="Z1746" s="18">
        <f t="shared" si="525"/>
        <v>7963342</v>
      </c>
      <c r="AA1746" s="13">
        <v>5.5199999999999999E-2</v>
      </c>
      <c r="AB1746" s="21">
        <f t="shared" si="509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0"/>
        <v>15951056.41591504</v>
      </c>
      <c r="AJ1746" s="19">
        <f t="shared" si="511"/>
        <v>1966354.6022462982</v>
      </c>
      <c r="AK1746" s="20">
        <f t="shared" si="518"/>
        <v>0.12327425538313459</v>
      </c>
      <c r="AL1746" s="17"/>
      <c r="AM1746" s="17"/>
      <c r="AN1746" s="17"/>
      <c r="AO1746" s="17"/>
      <c r="AP1746" s="28" t="str">
        <f t="shared" si="519"/>
        <v>20237</v>
      </c>
      <c r="AQ1746" s="28" t="str">
        <f t="shared" si="520"/>
        <v>20237JPY</v>
      </c>
      <c r="AR1746" s="206" t="str">
        <f t="shared" si="521"/>
        <v>YAMAHA_Mounter</v>
      </c>
      <c r="AS1746" s="22">
        <f t="shared" si="522"/>
        <v>3</v>
      </c>
      <c r="AT1746" s="24" t="str">
        <f t="shared" si="523"/>
        <v>0-3 months</v>
      </c>
      <c r="AU1746" s="22" t="s">
        <v>3240</v>
      </c>
    </row>
    <row r="1747" spans="1:47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515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524"/>
        <v>1.13</v>
      </c>
      <c r="Z1747" s="18">
        <f t="shared" si="525"/>
        <v>568086</v>
      </c>
      <c r="AA1747" s="13">
        <v>1.2150000000000001</v>
      </c>
      <c r="AB1747" s="21">
        <f t="shared" si="509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0"/>
        <v>54700260.692079648</v>
      </c>
      <c r="AJ1747" s="19">
        <f t="shared" si="511"/>
        <v>7482899.5749188727</v>
      </c>
      <c r="AK1747" s="20">
        <f t="shared" si="518"/>
        <v>0.13679824337660537</v>
      </c>
      <c r="AL1747" s="17"/>
      <c r="AM1747" s="17"/>
      <c r="AN1747" s="17"/>
      <c r="AO1747" s="17"/>
      <c r="AP1747" s="28" t="str">
        <f t="shared" si="519"/>
        <v>20216</v>
      </c>
      <c r="AQ1747" s="28" t="str">
        <f t="shared" si="520"/>
        <v>20216RMB</v>
      </c>
      <c r="AR1747" s="206" t="str">
        <f t="shared" si="521"/>
        <v>YAMAHA_Mounter</v>
      </c>
      <c r="AS1747" s="22">
        <f t="shared" si="522"/>
        <v>3</v>
      </c>
      <c r="AT1747" s="24" t="str">
        <f t="shared" si="523"/>
        <v>0-3 months</v>
      </c>
      <c r="AU1747" s="22" t="s">
        <v>3240</v>
      </c>
    </row>
    <row r="1748" spans="1:47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515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524"/>
        <v>1.13</v>
      </c>
      <c r="Z1748" s="18">
        <f t="shared" si="525"/>
        <v>498000</v>
      </c>
      <c r="AA1748" s="13">
        <v>1.2</v>
      </c>
      <c r="AB1748" s="21">
        <f t="shared" si="509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0"/>
        <v>41443303.53761062</v>
      </c>
      <c r="AJ1748" s="19">
        <f t="shared" si="511"/>
        <v>6194988.76643031</v>
      </c>
      <c r="AK1748" s="20">
        <f t="shared" si="518"/>
        <v>0.1494810557466355</v>
      </c>
      <c r="AL1748" s="17"/>
      <c r="AM1748" s="17"/>
      <c r="AN1748" s="17"/>
      <c r="AO1748" s="17"/>
      <c r="AP1748" s="28" t="str">
        <f t="shared" si="519"/>
        <v>20217</v>
      </c>
      <c r="AQ1748" s="28" t="str">
        <f t="shared" si="520"/>
        <v>20217RMB</v>
      </c>
      <c r="AR1748" s="206" t="str">
        <f t="shared" si="521"/>
        <v>YAMAHA_Mounter</v>
      </c>
      <c r="AS1748" s="22">
        <f t="shared" si="522"/>
        <v>4</v>
      </c>
      <c r="AT1748" s="24" t="str">
        <f t="shared" si="523"/>
        <v>4-6 months</v>
      </c>
      <c r="AU1748" s="22" t="s">
        <v>3240</v>
      </c>
    </row>
    <row r="1749" spans="1:47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525"/>
        <v>295000</v>
      </c>
      <c r="AA1749" s="13">
        <v>1.095</v>
      </c>
      <c r="AB1749" s="21">
        <f t="shared" si="509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0"/>
        <v>35384300.169380538</v>
      </c>
      <c r="AJ1749" s="19">
        <f t="shared" si="511"/>
        <v>5044538.8896988509</v>
      </c>
      <c r="AK1749" s="20">
        <f t="shared" si="518"/>
        <v>0.14256432557804533</v>
      </c>
      <c r="AL1749" s="17"/>
      <c r="AM1749" s="17"/>
      <c r="AN1749" s="17"/>
      <c r="AO1749" s="17"/>
      <c r="AP1749" s="28" t="str">
        <f t="shared" si="519"/>
        <v>20207</v>
      </c>
      <c r="AQ1749" s="28" t="str">
        <f t="shared" si="520"/>
        <v>20207RMB</v>
      </c>
      <c r="AR1749" s="206" t="str">
        <f t="shared" si="521"/>
        <v>YAMAHA_Mounter</v>
      </c>
      <c r="AS1749" s="22">
        <f t="shared" si="522"/>
        <v>1</v>
      </c>
      <c r="AT1749" s="24" t="str">
        <f t="shared" si="523"/>
        <v>0-3 months</v>
      </c>
      <c r="AU1749" s="22" t="s">
        <v>3240</v>
      </c>
    </row>
    <row r="1750" spans="1:47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515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525"/>
        <v>843000</v>
      </c>
      <c r="AA1750" s="13">
        <v>1.135</v>
      </c>
      <c r="AB1750" s="21">
        <f t="shared" si="509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0"/>
        <v>31296887.037898075</v>
      </c>
      <c r="AJ1750" s="19">
        <f t="shared" si="511"/>
        <v>3588873.9502021763</v>
      </c>
      <c r="AK1750" s="20">
        <f t="shared" si="518"/>
        <v>0.11467191436184473</v>
      </c>
      <c r="AL1750" s="17"/>
      <c r="AM1750" s="17"/>
      <c r="AN1750" s="17"/>
      <c r="AO1750" s="17"/>
      <c r="AP1750" s="28" t="str">
        <f t="shared" si="519"/>
        <v>20196</v>
      </c>
      <c r="AQ1750" s="28" t="str">
        <f t="shared" si="520"/>
        <v>20196RMB</v>
      </c>
      <c r="AR1750" s="206" t="str">
        <f t="shared" si="521"/>
        <v>YAMAHA_Mounter</v>
      </c>
      <c r="AS1750" s="22">
        <f t="shared" si="522"/>
        <v>1</v>
      </c>
      <c r="AT1750" s="24" t="str">
        <f t="shared" si="523"/>
        <v>0-3 months</v>
      </c>
      <c r="AU1750" s="22" t="s">
        <v>3743</v>
      </c>
    </row>
    <row r="1751" spans="1:47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515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525"/>
        <v>1310000</v>
      </c>
      <c r="AA1751" s="13">
        <v>1.22</v>
      </c>
      <c r="AB1751" s="21">
        <f t="shared" si="509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0"/>
        <v>31750699.113741599</v>
      </c>
      <c r="AJ1751" s="19">
        <f t="shared" si="511"/>
        <v>4396077.3195289988</v>
      </c>
      <c r="AK1751" s="20">
        <f t="shared" si="518"/>
        <v>0.13845607946397598</v>
      </c>
      <c r="AL1751" s="17"/>
      <c r="AM1751" s="17"/>
      <c r="AN1751" s="17"/>
      <c r="AO1751" s="17"/>
      <c r="AP1751" s="28" t="str">
        <f t="shared" si="519"/>
        <v>20222</v>
      </c>
      <c r="AQ1751" s="28" t="str">
        <f t="shared" si="520"/>
        <v>20222RMB</v>
      </c>
      <c r="AR1751" s="206" t="str">
        <f t="shared" si="521"/>
        <v>YAMAHA_Mounter</v>
      </c>
      <c r="AS1751" s="22">
        <f t="shared" si="522"/>
        <v>5</v>
      </c>
      <c r="AT1751" s="24" t="str">
        <f t="shared" si="523"/>
        <v>4-6 months</v>
      </c>
      <c r="AU1751" s="22" t="s">
        <v>3750</v>
      </c>
    </row>
    <row r="1752" spans="1:47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515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525"/>
        <v>15450000</v>
      </c>
      <c r="AA1752" s="13">
        <v>7.6799999999999993E-2</v>
      </c>
      <c r="AB1752" s="21">
        <f t="shared" si="509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0"/>
        <v>45803245.025628321</v>
      </c>
      <c r="AJ1752" s="19">
        <f t="shared" si="511"/>
        <v>5664636.2584379362</v>
      </c>
      <c r="AK1752" s="20">
        <f t="shared" si="518"/>
        <v>0.12367325186825515</v>
      </c>
      <c r="AL1752" s="17"/>
      <c r="AM1752" s="17"/>
      <c r="AN1752" s="17"/>
      <c r="AO1752" s="17"/>
      <c r="AP1752" s="28" t="str">
        <f t="shared" si="519"/>
        <v>20211</v>
      </c>
      <c r="AQ1752" s="28" t="str">
        <f t="shared" si="520"/>
        <v>20211JPY</v>
      </c>
      <c r="AR1752" s="206" t="str">
        <f t="shared" si="521"/>
        <v>YAMAHA_Mounter</v>
      </c>
      <c r="AS1752" s="22">
        <f t="shared" si="522"/>
        <v>3</v>
      </c>
      <c r="AT1752" s="24" t="str">
        <f t="shared" si="523"/>
        <v>0-3 months</v>
      </c>
      <c r="AU1752" s="22" t="s">
        <v>3744</v>
      </c>
    </row>
    <row r="1753" spans="1:47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515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525"/>
        <v>15450000</v>
      </c>
      <c r="AA1753" s="13">
        <v>7.6799999999999993E-2</v>
      </c>
      <c r="AB1753" s="21">
        <f t="shared" si="509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0"/>
        <v>45803245.025628321</v>
      </c>
      <c r="AJ1753" s="19">
        <f t="shared" si="511"/>
        <v>5664636.2584379362</v>
      </c>
      <c r="AK1753" s="20">
        <f t="shared" si="518"/>
        <v>0.12367325186825515</v>
      </c>
      <c r="AL1753" s="17"/>
      <c r="AM1753" s="17"/>
      <c r="AN1753" s="17"/>
      <c r="AO1753" s="17"/>
      <c r="AP1753" s="28" t="str">
        <f t="shared" si="519"/>
        <v>20211</v>
      </c>
      <c r="AQ1753" s="28" t="str">
        <f t="shared" si="520"/>
        <v>20211JPY</v>
      </c>
      <c r="AR1753" s="206" t="str">
        <f t="shared" si="521"/>
        <v>YAMAHA_Mounter</v>
      </c>
      <c r="AS1753" s="22">
        <f t="shared" si="522"/>
        <v>3</v>
      </c>
      <c r="AT1753" s="24" t="str">
        <f t="shared" si="523"/>
        <v>0-3 months</v>
      </c>
      <c r="AU1753" s="22" t="s">
        <v>3744</v>
      </c>
    </row>
    <row r="1754" spans="1:47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515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525"/>
        <v>15300000</v>
      </c>
      <c r="AA1754" s="13">
        <v>7.0000000000000007E-2</v>
      </c>
      <c r="AB1754" s="21">
        <f t="shared" si="509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0"/>
        <v>29500529.005044252</v>
      </c>
      <c r="AJ1754" s="19">
        <f t="shared" si="511"/>
        <v>3253064.846231177</v>
      </c>
      <c r="AK1754" s="20">
        <f t="shared" si="518"/>
        <v>0.11027140718984871</v>
      </c>
      <c r="AL1754" s="17"/>
      <c r="AM1754" s="17"/>
      <c r="AN1754" s="17"/>
      <c r="AO1754" s="17"/>
      <c r="AP1754" s="28" t="str">
        <f t="shared" si="519"/>
        <v>202111</v>
      </c>
      <c r="AQ1754" s="28" t="str">
        <f t="shared" si="520"/>
        <v>202111JPY</v>
      </c>
      <c r="AR1754" s="206" t="str">
        <f t="shared" si="521"/>
        <v>YAMAHA_Mounter</v>
      </c>
      <c r="AS1754" s="22">
        <f t="shared" si="522"/>
        <v>5</v>
      </c>
      <c r="AT1754" s="24" t="str">
        <f t="shared" si="523"/>
        <v>4-6 months</v>
      </c>
      <c r="AU1754" s="22" t="s">
        <v>3744</v>
      </c>
    </row>
    <row r="1755" spans="1:47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515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525"/>
        <v>11000000</v>
      </c>
      <c r="AA1755" s="13">
        <v>7.0000000000000007E-2</v>
      </c>
      <c r="AB1755" s="21">
        <f t="shared" si="509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0"/>
        <v>29500529.005044252</v>
      </c>
      <c r="AJ1755" s="19">
        <f t="shared" si="511"/>
        <v>3253064.846231177</v>
      </c>
      <c r="AK1755" s="20">
        <f t="shared" si="518"/>
        <v>0.11027140718984871</v>
      </c>
      <c r="AL1755" s="17"/>
      <c r="AM1755" s="17"/>
      <c r="AN1755" s="17"/>
      <c r="AO1755" s="17"/>
      <c r="AP1755" s="28" t="str">
        <f t="shared" si="519"/>
        <v>202111</v>
      </c>
      <c r="AQ1755" s="28" t="str">
        <f t="shared" si="520"/>
        <v>202111JPY</v>
      </c>
      <c r="AR1755" s="206" t="str">
        <f t="shared" si="521"/>
        <v>YAMAHA_Mounter</v>
      </c>
      <c r="AS1755" s="22">
        <f t="shared" si="522"/>
        <v>5</v>
      </c>
      <c r="AT1755" s="24" t="str">
        <f t="shared" si="523"/>
        <v>4-6 months</v>
      </c>
      <c r="AU1755" s="22" t="s">
        <v>3744</v>
      </c>
    </row>
    <row r="1756" spans="1:47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515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525"/>
        <v>15200000</v>
      </c>
      <c r="AA1756" s="22">
        <v>5.4199999999999998E-2</v>
      </c>
      <c r="AB1756" s="21">
        <f t="shared" si="509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0"/>
        <v>10271727.486725664</v>
      </c>
      <c r="AJ1756" s="27">
        <f t="shared" si="511"/>
        <v>1227228.7260761063</v>
      </c>
      <c r="AK1756" s="28">
        <f t="shared" si="518"/>
        <v>0.11947637120066472</v>
      </c>
      <c r="AL1756" s="24"/>
      <c r="AM1756" s="24"/>
      <c r="AN1756" s="24"/>
      <c r="AO1756" s="24"/>
      <c r="AP1756" s="28" t="str">
        <f t="shared" si="519"/>
        <v>202312</v>
      </c>
      <c r="AQ1756" s="28" t="str">
        <f t="shared" si="520"/>
        <v>202312JPY</v>
      </c>
      <c r="AR1756" s="206" t="str">
        <f t="shared" si="521"/>
        <v>YAMAHA_Mounter</v>
      </c>
      <c r="AS1756" s="22">
        <f t="shared" si="522"/>
        <v>0</v>
      </c>
      <c r="AT1756" s="24" t="str">
        <f t="shared" si="523"/>
        <v>0-3 months</v>
      </c>
      <c r="AU1756" s="22" t="s">
        <v>3744</v>
      </c>
    </row>
    <row r="1757" spans="1:47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515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525"/>
        <v>1400000</v>
      </c>
      <c r="AA1757" s="13">
        <v>1.155</v>
      </c>
      <c r="AB1757" s="21">
        <f t="shared" si="509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0"/>
        <v>44078731.611185849</v>
      </c>
      <c r="AJ1757" s="19">
        <f t="shared" si="511"/>
        <v>5508173.2163771465</v>
      </c>
      <c r="AK1757" s="20">
        <f t="shared" si="518"/>
        <v>0.12496215328889679</v>
      </c>
      <c r="AL1757" s="17"/>
      <c r="AM1757" s="17"/>
      <c r="AN1757" s="17"/>
      <c r="AO1757" s="17"/>
      <c r="AP1757" s="28" t="str">
        <f t="shared" si="519"/>
        <v>202011</v>
      </c>
      <c r="AQ1757" s="28" t="str">
        <f t="shared" si="520"/>
        <v>202011RMB</v>
      </c>
      <c r="AR1757" s="206" t="str">
        <f t="shared" si="521"/>
        <v>YAMAHA_Mounter</v>
      </c>
      <c r="AS1757" s="22">
        <f t="shared" si="522"/>
        <v>2</v>
      </c>
      <c r="AT1757" s="24" t="str">
        <f t="shared" si="523"/>
        <v>0-3 months</v>
      </c>
      <c r="AU1757" s="22" t="s">
        <v>3743</v>
      </c>
    </row>
    <row r="1758" spans="1:47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515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525"/>
        <v>1400000</v>
      </c>
      <c r="AA1758" s="13">
        <v>1.155</v>
      </c>
      <c r="AB1758" s="21">
        <f t="shared" si="509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0"/>
        <v>44078731.611185849</v>
      </c>
      <c r="AJ1758" s="19">
        <f t="shared" si="511"/>
        <v>5508173.2163771465</v>
      </c>
      <c r="AK1758" s="20">
        <f t="shared" si="518"/>
        <v>0.12496215328889679</v>
      </c>
      <c r="AL1758" s="17"/>
      <c r="AM1758" s="17"/>
      <c r="AN1758" s="17"/>
      <c r="AO1758" s="17"/>
      <c r="AP1758" s="28" t="str">
        <f t="shared" si="519"/>
        <v>202011</v>
      </c>
      <c r="AQ1758" s="28" t="str">
        <f t="shared" si="520"/>
        <v>202011RMB</v>
      </c>
      <c r="AR1758" s="206" t="str">
        <f t="shared" si="521"/>
        <v>YAMAHA_Mounter</v>
      </c>
      <c r="AS1758" s="22">
        <f t="shared" si="522"/>
        <v>2</v>
      </c>
      <c r="AT1758" s="24" t="str">
        <f t="shared" si="523"/>
        <v>0-3 months</v>
      </c>
      <c r="AU1758" s="22" t="s">
        <v>3743</v>
      </c>
    </row>
    <row r="1759" spans="1:47" s="12" customFormat="1">
      <c r="A1759" s="33" t="str">
        <f t="shared" si="512"/>
        <v>cancel</v>
      </c>
      <c r="B1759" s="152"/>
      <c r="C1759" s="152" t="s">
        <v>185</v>
      </c>
      <c r="D1759" s="33" t="str">
        <f t="shared" si="513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514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515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525"/>
        <v>1416800</v>
      </c>
      <c r="AA1759" s="13">
        <v>1.095</v>
      </c>
      <c r="AB1759" s="21">
        <f t="shared" si="509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0"/>
        <v>499582152.5142017</v>
      </c>
      <c r="AJ1759" s="19">
        <f t="shared" si="511"/>
        <v>59520528.679470733</v>
      </c>
      <c r="AK1759" s="20">
        <f t="shared" si="518"/>
        <v>0.11914062257814291</v>
      </c>
      <c r="AL1759" s="17"/>
      <c r="AM1759" s="17"/>
      <c r="AN1759" s="17"/>
      <c r="AO1759" s="17"/>
      <c r="AP1759" s="28" t="str">
        <f t="shared" si="519"/>
        <v>CancelCancel</v>
      </c>
      <c r="AQ1759" s="28" t="str">
        <f t="shared" si="520"/>
        <v>CancelCancelRMB</v>
      </c>
      <c r="AR1759" s="206" t="str">
        <f t="shared" si="521"/>
        <v>YAMAHA_Mounter</v>
      </c>
      <c r="AS1759" s="22" t="str">
        <f t="shared" si="522"/>
        <v/>
      </c>
      <c r="AT1759" s="24" t="str">
        <f t="shared" si="523"/>
        <v/>
      </c>
      <c r="AU1759" s="22" t="s">
        <v>3743</v>
      </c>
    </row>
    <row r="1760" spans="1:47" s="12" customFormat="1">
      <c r="A1760" s="33" t="str">
        <f t="shared" si="512"/>
        <v>cancel</v>
      </c>
      <c r="B1760" s="152"/>
      <c r="C1760" s="152" t="s">
        <v>185</v>
      </c>
      <c r="D1760" s="33" t="str">
        <f t="shared" si="513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514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515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525"/>
        <v>1416800</v>
      </c>
      <c r="AA1760" s="13">
        <v>1.095</v>
      </c>
      <c r="AB1760" s="21">
        <f t="shared" si="509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0"/>
        <v>499582152.5142017</v>
      </c>
      <c r="AJ1760" s="19">
        <f t="shared" si="511"/>
        <v>59520528.679470733</v>
      </c>
      <c r="AK1760" s="20">
        <f t="shared" si="518"/>
        <v>0.11914062257814291</v>
      </c>
      <c r="AL1760" s="17"/>
      <c r="AM1760" s="17"/>
      <c r="AN1760" s="17"/>
      <c r="AO1760" s="17"/>
      <c r="AP1760" s="28" t="str">
        <f t="shared" si="519"/>
        <v>CancelCancel</v>
      </c>
      <c r="AQ1760" s="28" t="str">
        <f t="shared" si="520"/>
        <v>CancelCancelRMB</v>
      </c>
      <c r="AR1760" s="206" t="str">
        <f t="shared" si="521"/>
        <v>YAMAHA_Mounter</v>
      </c>
      <c r="AS1760" s="22" t="str">
        <f t="shared" si="522"/>
        <v/>
      </c>
      <c r="AT1760" s="24" t="str">
        <f t="shared" si="523"/>
        <v/>
      </c>
      <c r="AU1760" s="22" t="s">
        <v>3743</v>
      </c>
    </row>
    <row r="1761" spans="1:47" s="12" customFormat="1">
      <c r="A1761" s="33" t="str">
        <f t="shared" si="512"/>
        <v>cancel</v>
      </c>
      <c r="B1761" s="152"/>
      <c r="C1761" s="152" t="s">
        <v>185</v>
      </c>
      <c r="D1761" s="33" t="str">
        <f t="shared" si="513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514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515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525"/>
        <v>1416800</v>
      </c>
      <c r="AA1761" s="13">
        <v>1.095</v>
      </c>
      <c r="AB1761" s="21">
        <f t="shared" si="509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0"/>
        <v>499582152.5142017</v>
      </c>
      <c r="AJ1761" s="19">
        <f t="shared" si="511"/>
        <v>59520528.679470733</v>
      </c>
      <c r="AK1761" s="20">
        <f t="shared" si="518"/>
        <v>0.11914062257814291</v>
      </c>
      <c r="AL1761" s="17"/>
      <c r="AM1761" s="17"/>
      <c r="AN1761" s="17"/>
      <c r="AO1761" s="17"/>
      <c r="AP1761" s="28" t="str">
        <f t="shared" si="519"/>
        <v>CancelCancel</v>
      </c>
      <c r="AQ1761" s="28" t="str">
        <f t="shared" si="520"/>
        <v>CancelCancelRMB</v>
      </c>
      <c r="AR1761" s="206" t="str">
        <f t="shared" si="521"/>
        <v>YAMAHA_Mounter</v>
      </c>
      <c r="AS1761" s="22" t="str">
        <f t="shared" si="522"/>
        <v/>
      </c>
      <c r="AT1761" s="24" t="str">
        <f t="shared" si="523"/>
        <v/>
      </c>
      <c r="AU1761" s="22" t="s">
        <v>3743</v>
      </c>
    </row>
    <row r="1762" spans="1:47" s="12" customFormat="1">
      <c r="A1762" s="33" t="str">
        <f t="shared" si="512"/>
        <v>cancel</v>
      </c>
      <c r="B1762" s="152"/>
      <c r="C1762" s="152" t="s">
        <v>185</v>
      </c>
      <c r="D1762" s="33" t="str">
        <f t="shared" si="513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514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515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525"/>
        <v>1416800</v>
      </c>
      <c r="AA1762" s="13">
        <v>1.095</v>
      </c>
      <c r="AB1762" s="21">
        <f t="shared" si="509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0"/>
        <v>499582152.5142017</v>
      </c>
      <c r="AJ1762" s="19">
        <f t="shared" si="511"/>
        <v>59520528.679470733</v>
      </c>
      <c r="AK1762" s="20">
        <f t="shared" si="518"/>
        <v>0.11914062257814291</v>
      </c>
      <c r="AL1762" s="17"/>
      <c r="AM1762" s="17"/>
      <c r="AN1762" s="17"/>
      <c r="AO1762" s="17"/>
      <c r="AP1762" s="28" t="str">
        <f t="shared" si="519"/>
        <v>CancelCancel</v>
      </c>
      <c r="AQ1762" s="28" t="str">
        <f t="shared" si="520"/>
        <v>CancelCancelRMB</v>
      </c>
      <c r="AR1762" s="206" t="str">
        <f t="shared" si="521"/>
        <v>YAMAHA_Mounter</v>
      </c>
      <c r="AS1762" s="22" t="str">
        <f t="shared" si="522"/>
        <v/>
      </c>
      <c r="AT1762" s="24" t="str">
        <f t="shared" si="523"/>
        <v/>
      </c>
      <c r="AU1762" s="22" t="s">
        <v>3743</v>
      </c>
    </row>
    <row r="1763" spans="1:47" s="12" customFormat="1">
      <c r="A1763" s="33" t="str">
        <f t="shared" si="512"/>
        <v>cancel</v>
      </c>
      <c r="B1763" s="152"/>
      <c r="C1763" s="152" t="s">
        <v>185</v>
      </c>
      <c r="D1763" s="33" t="str">
        <f t="shared" si="513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514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515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525"/>
        <v>1416800</v>
      </c>
      <c r="AA1763" s="13">
        <v>1.095</v>
      </c>
      <c r="AB1763" s="21">
        <f t="shared" si="509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0"/>
        <v>499582152.5142017</v>
      </c>
      <c r="AJ1763" s="19">
        <f t="shared" si="511"/>
        <v>59520528.679470733</v>
      </c>
      <c r="AK1763" s="20">
        <f t="shared" si="518"/>
        <v>0.11914062257814291</v>
      </c>
      <c r="AL1763" s="17"/>
      <c r="AM1763" s="17"/>
      <c r="AN1763" s="17"/>
      <c r="AO1763" s="17"/>
      <c r="AP1763" s="28" t="str">
        <f t="shared" si="519"/>
        <v>CancelCancel</v>
      </c>
      <c r="AQ1763" s="28" t="str">
        <f t="shared" si="520"/>
        <v>CancelCancelRMB</v>
      </c>
      <c r="AR1763" s="206" t="str">
        <f t="shared" si="521"/>
        <v>YAMAHA_Mounter</v>
      </c>
      <c r="AS1763" s="22" t="str">
        <f t="shared" si="522"/>
        <v/>
      </c>
      <c r="AT1763" s="24" t="str">
        <f t="shared" si="523"/>
        <v/>
      </c>
      <c r="AU1763" s="22" t="s">
        <v>3743</v>
      </c>
    </row>
    <row r="1764" spans="1:47" s="12" customFormat="1">
      <c r="A1764" s="33" t="str">
        <f t="shared" si="512"/>
        <v>cancel</v>
      </c>
      <c r="B1764" s="152"/>
      <c r="C1764" s="152" t="s">
        <v>185</v>
      </c>
      <c r="D1764" s="33" t="str">
        <f t="shared" si="513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514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515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525"/>
        <v>1416800</v>
      </c>
      <c r="AA1764" s="13">
        <v>1.095</v>
      </c>
      <c r="AB1764" s="21">
        <f t="shared" si="509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0"/>
        <v>499582152.5142017</v>
      </c>
      <c r="AJ1764" s="19">
        <f t="shared" si="511"/>
        <v>59520528.679470733</v>
      </c>
      <c r="AK1764" s="20">
        <f t="shared" si="518"/>
        <v>0.11914062257814291</v>
      </c>
      <c r="AL1764" s="17"/>
      <c r="AM1764" s="17"/>
      <c r="AN1764" s="17"/>
      <c r="AO1764" s="17"/>
      <c r="AP1764" s="28" t="str">
        <f t="shared" si="519"/>
        <v>CancelCancel</v>
      </c>
      <c r="AQ1764" s="28" t="str">
        <f t="shared" si="520"/>
        <v>CancelCancelRMB</v>
      </c>
      <c r="AR1764" s="206" t="str">
        <f t="shared" si="521"/>
        <v>YAMAHA_Mounter</v>
      </c>
      <c r="AS1764" s="22" t="str">
        <f t="shared" si="522"/>
        <v/>
      </c>
      <c r="AT1764" s="24" t="str">
        <f t="shared" si="523"/>
        <v/>
      </c>
      <c r="AU1764" s="22" t="s">
        <v>3743</v>
      </c>
    </row>
    <row r="1765" spans="1:47" s="12" customFormat="1">
      <c r="A1765" s="33" t="str">
        <f t="shared" si="512"/>
        <v>cancel</v>
      </c>
      <c r="B1765" s="152"/>
      <c r="C1765" s="152" t="s">
        <v>185</v>
      </c>
      <c r="D1765" s="33" t="str">
        <f t="shared" si="513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514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515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525"/>
        <v>18880000</v>
      </c>
      <c r="AA1765" s="13">
        <v>7.4099999999999999E-2</v>
      </c>
      <c r="AB1765" s="21">
        <f t="shared" si="509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0"/>
        <v>499582152.5142017</v>
      </c>
      <c r="AJ1765" s="19">
        <f t="shared" si="511"/>
        <v>59520528.679470733</v>
      </c>
      <c r="AK1765" s="20">
        <f t="shared" si="518"/>
        <v>0.11914062257814291</v>
      </c>
      <c r="AL1765" s="17"/>
      <c r="AM1765" s="17"/>
      <c r="AN1765" s="17"/>
      <c r="AO1765" s="17"/>
      <c r="AP1765" s="28" t="str">
        <f t="shared" si="519"/>
        <v>CancelCancel</v>
      </c>
      <c r="AQ1765" s="28" t="str">
        <f t="shared" si="520"/>
        <v>CancelCancelJPY</v>
      </c>
      <c r="AR1765" s="206" t="str">
        <f t="shared" si="521"/>
        <v>YAMAHA_Mounter</v>
      </c>
      <c r="AS1765" s="22" t="str">
        <f t="shared" si="522"/>
        <v/>
      </c>
      <c r="AT1765" s="24" t="str">
        <f t="shared" si="523"/>
        <v/>
      </c>
      <c r="AU1765" s="22" t="s">
        <v>3745</v>
      </c>
    </row>
    <row r="1766" spans="1:47" s="12" customFormat="1">
      <c r="A1766" s="33" t="str">
        <f t="shared" si="512"/>
        <v>cancel</v>
      </c>
      <c r="B1766" s="152"/>
      <c r="C1766" s="152" t="s">
        <v>185</v>
      </c>
      <c r="D1766" s="33" t="str">
        <f t="shared" si="513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514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515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525"/>
        <v>18880000</v>
      </c>
      <c r="AA1766" s="13">
        <v>7.4099999999999999E-2</v>
      </c>
      <c r="AB1766" s="21">
        <f t="shared" si="509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0"/>
        <v>499582152.5142017</v>
      </c>
      <c r="AJ1766" s="19">
        <f t="shared" si="511"/>
        <v>59520528.679470733</v>
      </c>
      <c r="AK1766" s="20">
        <f t="shared" si="518"/>
        <v>0.11914062257814291</v>
      </c>
      <c r="AL1766" s="17"/>
      <c r="AM1766" s="17"/>
      <c r="AN1766" s="17"/>
      <c r="AO1766" s="17"/>
      <c r="AP1766" s="28" t="str">
        <f t="shared" si="519"/>
        <v>CancelCancel</v>
      </c>
      <c r="AQ1766" s="28" t="str">
        <f t="shared" si="520"/>
        <v>CancelCancelJPY</v>
      </c>
      <c r="AR1766" s="206" t="str">
        <f t="shared" si="521"/>
        <v>YAMAHA_Mounter</v>
      </c>
      <c r="AS1766" s="22" t="str">
        <f t="shared" si="522"/>
        <v/>
      </c>
      <c r="AT1766" s="24" t="str">
        <f t="shared" si="523"/>
        <v/>
      </c>
      <c r="AU1766" s="22" t="s">
        <v>3745</v>
      </c>
    </row>
    <row r="1767" spans="1:47" s="12" customFormat="1">
      <c r="A1767" s="33" t="str">
        <f t="shared" si="512"/>
        <v>cancel</v>
      </c>
      <c r="B1767" s="152"/>
      <c r="C1767" s="152" t="s">
        <v>185</v>
      </c>
      <c r="D1767" s="33" t="str">
        <f t="shared" si="513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514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515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525"/>
        <v>18880000</v>
      </c>
      <c r="AA1767" s="13">
        <v>7.4099999999999999E-2</v>
      </c>
      <c r="AB1767" s="21">
        <f t="shared" si="509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0"/>
        <v>499582152.5142017</v>
      </c>
      <c r="AJ1767" s="19">
        <f t="shared" si="511"/>
        <v>59520528.679470733</v>
      </c>
      <c r="AK1767" s="20">
        <f t="shared" si="518"/>
        <v>0.11914062257814291</v>
      </c>
      <c r="AL1767" s="17"/>
      <c r="AM1767" s="17"/>
      <c r="AN1767" s="17"/>
      <c r="AO1767" s="17"/>
      <c r="AP1767" s="28" t="str">
        <f t="shared" si="519"/>
        <v>CancelCancel</v>
      </c>
      <c r="AQ1767" s="28" t="str">
        <f t="shared" si="520"/>
        <v>CancelCancelJPY</v>
      </c>
      <c r="AR1767" s="206" t="str">
        <f t="shared" si="521"/>
        <v>YAMAHA_Mounter</v>
      </c>
      <c r="AS1767" s="22" t="str">
        <f t="shared" si="522"/>
        <v/>
      </c>
      <c r="AT1767" s="24" t="str">
        <f t="shared" si="523"/>
        <v/>
      </c>
      <c r="AU1767" s="22" t="s">
        <v>3745</v>
      </c>
    </row>
    <row r="1768" spans="1:47" s="12" customFormat="1">
      <c r="A1768" s="33" t="str">
        <f t="shared" si="512"/>
        <v>cancel</v>
      </c>
      <c r="B1768" s="152"/>
      <c r="C1768" s="152" t="s">
        <v>185</v>
      </c>
      <c r="D1768" s="33" t="str">
        <f t="shared" si="513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514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515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525"/>
        <v>18880000</v>
      </c>
      <c r="AA1768" s="13">
        <v>7.4099999999999999E-2</v>
      </c>
      <c r="AB1768" s="21">
        <f t="shared" si="509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0"/>
        <v>499582152.5142017</v>
      </c>
      <c r="AJ1768" s="19">
        <f t="shared" si="511"/>
        <v>59520528.679470733</v>
      </c>
      <c r="AK1768" s="20">
        <f t="shared" si="518"/>
        <v>0.11914062257814291</v>
      </c>
      <c r="AL1768" s="17"/>
      <c r="AM1768" s="17"/>
      <c r="AN1768" s="17"/>
      <c r="AO1768" s="17"/>
      <c r="AP1768" s="28" t="str">
        <f t="shared" si="519"/>
        <v>CancelCancel</v>
      </c>
      <c r="AQ1768" s="28" t="str">
        <f t="shared" si="520"/>
        <v>CancelCancelJPY</v>
      </c>
      <c r="AR1768" s="206" t="str">
        <f t="shared" si="521"/>
        <v>YAMAHA_Mounter</v>
      </c>
      <c r="AS1768" s="22" t="str">
        <f t="shared" si="522"/>
        <v/>
      </c>
      <c r="AT1768" s="24" t="str">
        <f t="shared" si="523"/>
        <v/>
      </c>
      <c r="AU1768" s="22" t="s">
        <v>3745</v>
      </c>
    </row>
    <row r="1769" spans="1:47" s="12" customFormat="1">
      <c r="A1769" s="33" t="str">
        <f t="shared" si="512"/>
        <v>cancel</v>
      </c>
      <c r="B1769" s="152"/>
      <c r="C1769" s="152" t="s">
        <v>185</v>
      </c>
      <c r="D1769" s="33" t="str">
        <f t="shared" si="513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514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515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525"/>
        <v>18880000</v>
      </c>
      <c r="AA1769" s="13">
        <v>7.4099999999999999E-2</v>
      </c>
      <c r="AB1769" s="21">
        <f t="shared" si="509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0"/>
        <v>499582152.5142017</v>
      </c>
      <c r="AJ1769" s="19">
        <f t="shared" si="511"/>
        <v>59520528.679470733</v>
      </c>
      <c r="AK1769" s="20">
        <f t="shared" si="518"/>
        <v>0.11914062257814291</v>
      </c>
      <c r="AL1769" s="17"/>
      <c r="AM1769" s="17"/>
      <c r="AN1769" s="17"/>
      <c r="AO1769" s="17"/>
      <c r="AP1769" s="28" t="str">
        <f t="shared" si="519"/>
        <v>CancelCancel</v>
      </c>
      <c r="AQ1769" s="28" t="str">
        <f t="shared" si="520"/>
        <v>CancelCancelJPY</v>
      </c>
      <c r="AR1769" s="206" t="str">
        <f t="shared" si="521"/>
        <v>YAMAHA_Mounter</v>
      </c>
      <c r="AS1769" s="22" t="str">
        <f t="shared" si="522"/>
        <v/>
      </c>
      <c r="AT1769" s="24" t="str">
        <f t="shared" si="523"/>
        <v/>
      </c>
      <c r="AU1769" s="22" t="s">
        <v>3745</v>
      </c>
    </row>
    <row r="1770" spans="1:47" s="12" customFormat="1">
      <c r="A1770" s="33" t="str">
        <f t="shared" si="512"/>
        <v>cancel</v>
      </c>
      <c r="B1770" s="152"/>
      <c r="C1770" s="152" t="s">
        <v>185</v>
      </c>
      <c r="D1770" s="33" t="str">
        <f t="shared" si="513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514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515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525"/>
        <v>18880000</v>
      </c>
      <c r="AA1770" s="13">
        <v>7.4099999999999999E-2</v>
      </c>
      <c r="AB1770" s="21">
        <f t="shared" si="509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0"/>
        <v>499582152.5142017</v>
      </c>
      <c r="AJ1770" s="19">
        <f t="shared" si="511"/>
        <v>59520528.679470733</v>
      </c>
      <c r="AK1770" s="20">
        <f t="shared" si="518"/>
        <v>0.11914062257814291</v>
      </c>
      <c r="AL1770" s="17"/>
      <c r="AM1770" s="17"/>
      <c r="AN1770" s="17"/>
      <c r="AO1770" s="17"/>
      <c r="AP1770" s="28" t="str">
        <f t="shared" si="519"/>
        <v>CancelCancel</v>
      </c>
      <c r="AQ1770" s="28" t="str">
        <f t="shared" si="520"/>
        <v>CancelCancelJPY</v>
      </c>
      <c r="AR1770" s="206" t="str">
        <f t="shared" si="521"/>
        <v>YAMAHA_Mounter</v>
      </c>
      <c r="AS1770" s="22" t="str">
        <f t="shared" si="522"/>
        <v/>
      </c>
      <c r="AT1770" s="24" t="str">
        <f t="shared" si="523"/>
        <v/>
      </c>
      <c r="AU1770" s="22" t="s">
        <v>3745</v>
      </c>
    </row>
    <row r="1771" spans="1:47" s="12" customFormat="1">
      <c r="A1771" s="33" t="str">
        <f t="shared" si="512"/>
        <v>cancel</v>
      </c>
      <c r="B1771" s="152"/>
      <c r="C1771" s="152" t="s">
        <v>185</v>
      </c>
      <c r="D1771" s="33" t="str">
        <f t="shared" si="513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514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515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525"/>
        <v>9500000</v>
      </c>
      <c r="AA1771" s="13">
        <v>7.4899999999999994E-2</v>
      </c>
      <c r="AB1771" s="21">
        <f t="shared" si="509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0"/>
        <v>499582152.5142017</v>
      </c>
      <c r="AJ1771" s="19">
        <f t="shared" si="511"/>
        <v>59520528.679470733</v>
      </c>
      <c r="AK1771" s="20">
        <f t="shared" si="518"/>
        <v>0.11914062257814291</v>
      </c>
      <c r="AL1771" s="17"/>
      <c r="AM1771" s="17"/>
      <c r="AN1771" s="17"/>
      <c r="AO1771" s="17"/>
      <c r="AP1771" s="28" t="str">
        <f t="shared" si="519"/>
        <v>CancelCancel</v>
      </c>
      <c r="AQ1771" s="28" t="str">
        <f t="shared" si="520"/>
        <v>CancelCancelJPY</v>
      </c>
      <c r="AR1771" s="206" t="str">
        <f t="shared" si="521"/>
        <v>YAMAHA_Mounter</v>
      </c>
      <c r="AS1771" s="22" t="str">
        <f t="shared" si="522"/>
        <v/>
      </c>
      <c r="AT1771" s="24" t="str">
        <f t="shared" si="523"/>
        <v/>
      </c>
      <c r="AU1771" s="22" t="s">
        <v>3744</v>
      </c>
    </row>
    <row r="1772" spans="1:47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515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526">IF(W1772="RMB","1.13", "1")</f>
        <v>1</v>
      </c>
      <c r="Z1772" s="18">
        <f t="shared" si="525"/>
        <v>7940000</v>
      </c>
      <c r="AA1772" s="13">
        <v>7.6799999999999993E-2</v>
      </c>
      <c r="AB1772" s="21">
        <f t="shared" si="509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0"/>
        <v>45803245.025628321</v>
      </c>
      <c r="AJ1772" s="19">
        <f t="shared" si="511"/>
        <v>5664636.2584379362</v>
      </c>
      <c r="AK1772" s="20">
        <f t="shared" si="518"/>
        <v>0.12367325186825515</v>
      </c>
      <c r="AL1772" s="17"/>
      <c r="AM1772" s="17"/>
      <c r="AN1772" s="17"/>
      <c r="AO1772" s="17"/>
      <c r="AP1772" s="28" t="str">
        <f t="shared" si="519"/>
        <v>20211</v>
      </c>
      <c r="AQ1772" s="28" t="str">
        <f t="shared" si="520"/>
        <v>20211JPY</v>
      </c>
      <c r="AR1772" s="206" t="str">
        <f t="shared" si="521"/>
        <v>YAMAHA_Mounter</v>
      </c>
      <c r="AS1772" s="22">
        <f t="shared" si="522"/>
        <v>2</v>
      </c>
      <c r="AT1772" s="24" t="str">
        <f t="shared" si="523"/>
        <v>0-3 months</v>
      </c>
      <c r="AU1772" s="22" t="s">
        <v>3744</v>
      </c>
    </row>
    <row r="1773" spans="1:47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515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526"/>
        <v>1</v>
      </c>
      <c r="Z1773" s="18">
        <f t="shared" si="525"/>
        <v>7940000</v>
      </c>
      <c r="AA1773" s="13">
        <v>7.6799999999999993E-2</v>
      </c>
      <c r="AB1773" s="21">
        <f t="shared" si="509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0"/>
        <v>45803245.025628321</v>
      </c>
      <c r="AJ1773" s="19">
        <f t="shared" si="511"/>
        <v>5664636.2584379362</v>
      </c>
      <c r="AK1773" s="20">
        <f t="shared" si="518"/>
        <v>0.12367325186825515</v>
      </c>
      <c r="AL1773" s="17"/>
      <c r="AM1773" s="17"/>
      <c r="AN1773" s="17"/>
      <c r="AO1773" s="17"/>
      <c r="AP1773" s="28" t="str">
        <f t="shared" si="519"/>
        <v>20211</v>
      </c>
      <c r="AQ1773" s="28" t="str">
        <f t="shared" si="520"/>
        <v>20211JPY</v>
      </c>
      <c r="AR1773" s="206" t="str">
        <f t="shared" si="521"/>
        <v>YAMAHA_Mounter</v>
      </c>
      <c r="AS1773" s="22">
        <f t="shared" si="522"/>
        <v>2</v>
      </c>
      <c r="AT1773" s="24" t="str">
        <f t="shared" si="523"/>
        <v>0-3 months</v>
      </c>
      <c r="AU1773" s="22" t="s">
        <v>3744</v>
      </c>
    </row>
    <row r="1774" spans="1:47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515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526"/>
        <v>1</v>
      </c>
      <c r="Z1774" s="18">
        <f t="shared" si="525"/>
        <v>7940000</v>
      </c>
      <c r="AA1774" s="13">
        <v>7.5700000000000003E-2</v>
      </c>
      <c r="AB1774" s="21">
        <f t="shared" si="509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0"/>
        <v>31097187.02948761</v>
      </c>
      <c r="AJ1774" s="19">
        <f t="shared" si="511"/>
        <v>3892353.6644401965</v>
      </c>
      <c r="AK1774" s="20">
        <f t="shared" si="518"/>
        <v>0.12516738767237401</v>
      </c>
      <c r="AL1774" s="17"/>
      <c r="AM1774" s="17"/>
      <c r="AN1774" s="17"/>
      <c r="AO1774" s="17"/>
      <c r="AP1774" s="28" t="str">
        <f t="shared" si="519"/>
        <v>20212</v>
      </c>
      <c r="AQ1774" s="28" t="str">
        <f t="shared" si="520"/>
        <v>20212JPY</v>
      </c>
      <c r="AR1774" s="206" t="str">
        <f t="shared" si="521"/>
        <v>YAMAHA_Mounter</v>
      </c>
      <c r="AS1774" s="22">
        <f t="shared" si="522"/>
        <v>3</v>
      </c>
      <c r="AT1774" s="24" t="str">
        <f t="shared" si="523"/>
        <v>0-3 months</v>
      </c>
      <c r="AU1774" s="22" t="s">
        <v>3744</v>
      </c>
    </row>
    <row r="1775" spans="1:47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515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526"/>
        <v>1</v>
      </c>
      <c r="Z1775" s="18">
        <f t="shared" si="525"/>
        <v>7590000</v>
      </c>
      <c r="AA1775" s="13">
        <v>7.5700000000000003E-2</v>
      </c>
      <c r="AB1775" s="21">
        <f t="shared" si="509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0"/>
        <v>31097187.02948761</v>
      </c>
      <c r="AJ1775" s="19">
        <f t="shared" si="511"/>
        <v>3892353.6644401965</v>
      </c>
      <c r="AK1775" s="20">
        <f t="shared" si="518"/>
        <v>0.12516738767237401</v>
      </c>
      <c r="AL1775" s="17"/>
      <c r="AM1775" s="17"/>
      <c r="AN1775" s="17"/>
      <c r="AO1775" s="17"/>
      <c r="AP1775" s="28" t="str">
        <f t="shared" si="519"/>
        <v>20212</v>
      </c>
      <c r="AQ1775" s="28" t="str">
        <f t="shared" si="520"/>
        <v>20212JPY</v>
      </c>
      <c r="AR1775" s="206" t="str">
        <f t="shared" si="521"/>
        <v>YAMAHA_Mounter</v>
      </c>
      <c r="AS1775" s="22">
        <f t="shared" si="522"/>
        <v>3</v>
      </c>
      <c r="AT1775" s="24" t="str">
        <f t="shared" si="523"/>
        <v>0-3 months</v>
      </c>
      <c r="AU1775" s="22" t="s">
        <v>3744</v>
      </c>
    </row>
    <row r="1776" spans="1:47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514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515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526"/>
        <v>1</v>
      </c>
      <c r="Z1776" s="18">
        <f t="shared" si="525"/>
        <v>6500000</v>
      </c>
      <c r="AA1776" s="13">
        <v>7.2400000000000006E-2</v>
      </c>
      <c r="AB1776" s="21">
        <f t="shared" si="509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0"/>
        <v>499582152.5142017</v>
      </c>
      <c r="AJ1776" s="19">
        <f t="shared" si="511"/>
        <v>59520528.679470733</v>
      </c>
      <c r="AK1776" s="20">
        <f t="shared" si="518"/>
        <v>0.11914062257814291</v>
      </c>
      <c r="AL1776" s="17"/>
      <c r="AM1776" s="17"/>
      <c r="AN1776" s="17"/>
      <c r="AO1776" s="17"/>
      <c r="AP1776" s="28" t="str">
        <f t="shared" si="519"/>
        <v>CancelCancel</v>
      </c>
      <c r="AQ1776" s="28" t="str">
        <f t="shared" si="520"/>
        <v>CancelCancelJPY</v>
      </c>
      <c r="AR1776" s="206" t="str">
        <f t="shared" si="521"/>
        <v>YAMAHA_Mounter</v>
      </c>
      <c r="AS1776" s="22" t="str">
        <f t="shared" si="522"/>
        <v/>
      </c>
      <c r="AT1776" s="24" t="str">
        <f t="shared" si="523"/>
        <v/>
      </c>
      <c r="AU1776" s="22" t="s">
        <v>3744</v>
      </c>
    </row>
    <row r="1777" spans="1:47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514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515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526"/>
        <v>1</v>
      </c>
      <c r="Z1777" s="18">
        <f t="shared" si="525"/>
        <v>6500000</v>
      </c>
      <c r="AA1777" s="13">
        <v>7.2400000000000006E-2</v>
      </c>
      <c r="AB1777" s="21">
        <f t="shared" si="509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0"/>
        <v>499582152.5142017</v>
      </c>
      <c r="AJ1777" s="19">
        <f t="shared" si="511"/>
        <v>59520528.679470733</v>
      </c>
      <c r="AK1777" s="20">
        <f t="shared" si="518"/>
        <v>0.11914062257814291</v>
      </c>
      <c r="AL1777" s="17"/>
      <c r="AM1777" s="17"/>
      <c r="AN1777" s="17"/>
      <c r="AO1777" s="17"/>
      <c r="AP1777" s="28" t="str">
        <f t="shared" si="519"/>
        <v>CancelCancel</v>
      </c>
      <c r="AQ1777" s="28" t="str">
        <f t="shared" si="520"/>
        <v>CancelCancelJPY</v>
      </c>
      <c r="AR1777" s="206" t="str">
        <f t="shared" si="521"/>
        <v>YAMAHA_Mounter</v>
      </c>
      <c r="AS1777" s="22" t="str">
        <f t="shared" si="522"/>
        <v/>
      </c>
      <c r="AT1777" s="24" t="str">
        <f t="shared" si="523"/>
        <v/>
      </c>
      <c r="AU1777" s="22" t="s">
        <v>3744</v>
      </c>
    </row>
    <row r="1778" spans="1:47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515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526"/>
        <v>1</v>
      </c>
      <c r="Z1778" s="18">
        <f t="shared" si="525"/>
        <v>8300000</v>
      </c>
      <c r="AA1778" s="13">
        <v>6.54E-2</v>
      </c>
      <c r="AB1778" s="21">
        <f t="shared" si="509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0"/>
        <v>46600814.041769907</v>
      </c>
      <c r="AJ1778" s="19">
        <f t="shared" si="511"/>
        <v>5956366.3435927071</v>
      </c>
      <c r="AK1778" s="20">
        <f t="shared" si="518"/>
        <v>0.1278167874546958</v>
      </c>
      <c r="AL1778" s="17"/>
      <c r="AM1778" s="17"/>
      <c r="AN1778" s="17"/>
      <c r="AO1778" s="17"/>
      <c r="AP1778" s="28" t="str">
        <f t="shared" si="519"/>
        <v>20224</v>
      </c>
      <c r="AQ1778" s="28" t="str">
        <f t="shared" si="520"/>
        <v>20224JPY</v>
      </c>
      <c r="AR1778" s="206" t="str">
        <f t="shared" si="521"/>
        <v>YAMAHA_Mounter</v>
      </c>
      <c r="AS1778" s="22">
        <f t="shared" si="522"/>
        <v>8</v>
      </c>
      <c r="AT1778" s="24" t="str">
        <f t="shared" si="523"/>
        <v>&gt; 6 months</v>
      </c>
      <c r="AU1778" s="22" t="s">
        <v>3744</v>
      </c>
    </row>
    <row r="1779" spans="1:47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515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526"/>
        <v>1</v>
      </c>
      <c r="Z1779" s="18">
        <f t="shared" si="525"/>
        <v>12700000</v>
      </c>
      <c r="AA1779" s="13">
        <v>6.54E-2</v>
      </c>
      <c r="AB1779" s="21">
        <f t="shared" si="509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0"/>
        <v>46600814.041769907</v>
      </c>
      <c r="AJ1779" s="19">
        <f t="shared" si="511"/>
        <v>5956366.3435927071</v>
      </c>
      <c r="AK1779" s="20">
        <f t="shared" si="518"/>
        <v>0.1278167874546958</v>
      </c>
      <c r="AL1779" s="17"/>
      <c r="AM1779" s="17"/>
      <c r="AN1779" s="17"/>
      <c r="AO1779" s="17"/>
      <c r="AP1779" s="28" t="str">
        <f t="shared" si="519"/>
        <v>20224</v>
      </c>
      <c r="AQ1779" s="28" t="str">
        <f t="shared" si="520"/>
        <v>20224JPY</v>
      </c>
      <c r="AR1779" s="206" t="str">
        <f t="shared" si="521"/>
        <v>YAMAHA_Mounter</v>
      </c>
      <c r="AS1779" s="22">
        <f t="shared" si="522"/>
        <v>8</v>
      </c>
      <c r="AT1779" s="24" t="str">
        <f t="shared" si="523"/>
        <v>&gt; 6 months</v>
      </c>
      <c r="AU1779" s="22" t="s">
        <v>3744</v>
      </c>
    </row>
    <row r="1780" spans="1:47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514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515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526"/>
        <v>1.13</v>
      </c>
      <c r="Z1780" s="18">
        <f t="shared" si="525"/>
        <v>490000</v>
      </c>
      <c r="AA1780" s="13">
        <v>1.22</v>
      </c>
      <c r="AB1780" s="21">
        <f t="shared" si="509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0"/>
        <v>499582152.5142017</v>
      </c>
      <c r="AJ1780" s="19">
        <f t="shared" si="511"/>
        <v>59520528.679470733</v>
      </c>
      <c r="AK1780" s="20">
        <f t="shared" si="518"/>
        <v>0.11914062257814291</v>
      </c>
      <c r="AL1780" s="17"/>
      <c r="AM1780" s="17"/>
      <c r="AN1780" s="17"/>
      <c r="AO1780" s="17"/>
      <c r="AP1780" s="28" t="str">
        <f t="shared" si="519"/>
        <v>CancelCancel</v>
      </c>
      <c r="AQ1780" s="28" t="str">
        <f t="shared" si="520"/>
        <v>CancelCancelRMB</v>
      </c>
      <c r="AR1780" s="206" t="str">
        <f t="shared" si="521"/>
        <v>YAMAHA_Mounter</v>
      </c>
      <c r="AS1780" s="22" t="str">
        <f t="shared" si="522"/>
        <v/>
      </c>
      <c r="AT1780" s="24" t="str">
        <f t="shared" si="523"/>
        <v/>
      </c>
      <c r="AU1780" s="22" t="s">
        <v>3750</v>
      </c>
    </row>
    <row r="1781" spans="1:47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514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515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526"/>
        <v>1.13</v>
      </c>
      <c r="Z1781" s="18">
        <f t="shared" si="525"/>
        <v>803285</v>
      </c>
      <c r="AA1781" s="13">
        <v>1.22</v>
      </c>
      <c r="AB1781" s="21">
        <f t="shared" si="509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0"/>
        <v>499582152.5142017</v>
      </c>
      <c r="AJ1781" s="19">
        <f t="shared" si="511"/>
        <v>59520528.679470733</v>
      </c>
      <c r="AK1781" s="20">
        <f t="shared" si="518"/>
        <v>0.11914062257814291</v>
      </c>
      <c r="AL1781" s="17"/>
      <c r="AM1781" s="17"/>
      <c r="AN1781" s="17"/>
      <c r="AO1781" s="17"/>
      <c r="AP1781" s="28" t="str">
        <f t="shared" si="519"/>
        <v>CancelCancel</v>
      </c>
      <c r="AQ1781" s="28" t="str">
        <f t="shared" si="520"/>
        <v>CancelCancelRMB</v>
      </c>
      <c r="AR1781" s="206" t="str">
        <f t="shared" si="521"/>
        <v>YAMAHA_Mounter</v>
      </c>
      <c r="AS1781" s="22" t="str">
        <f t="shared" si="522"/>
        <v/>
      </c>
      <c r="AT1781" s="24" t="str">
        <f t="shared" si="523"/>
        <v/>
      </c>
      <c r="AU1781" s="22" t="s">
        <v>3750</v>
      </c>
    </row>
    <row r="1782" spans="1:47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7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515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528">IF(W1782="","",IF(W1782="RMB","1.13", "1"))</f>
        <v>1</v>
      </c>
      <c r="Z1782" s="18">
        <f t="shared" si="525"/>
        <v>6600000</v>
      </c>
      <c r="AA1782" s="22">
        <v>5.6300000000000003E-2</v>
      </c>
      <c r="AB1782" s="21">
        <f t="shared" ref="AB1782:AB1845" si="529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0"/>
        <v>23146578.081415929</v>
      </c>
      <c r="AJ1782" s="27">
        <f t="shared" si="511"/>
        <v>2745231.3889985834</v>
      </c>
      <c r="AK1782" s="28">
        <f t="shared" si="518"/>
        <v>0.11860204041143742</v>
      </c>
      <c r="AL1782" s="24"/>
      <c r="AM1782" s="24"/>
      <c r="AN1782" s="24"/>
      <c r="AO1782" s="24"/>
      <c r="AP1782" s="28" t="str">
        <f t="shared" si="519"/>
        <v>20241</v>
      </c>
      <c r="AQ1782" s="28" t="str">
        <f t="shared" si="520"/>
        <v>20241JPY</v>
      </c>
      <c r="AR1782" s="206" t="str">
        <f t="shared" si="521"/>
        <v>YAMAHA_Mounter</v>
      </c>
      <c r="AS1782" s="22">
        <f t="shared" si="522"/>
        <v>1</v>
      </c>
      <c r="AT1782" s="24" t="str">
        <f t="shared" si="523"/>
        <v>0-3 months</v>
      </c>
      <c r="AU1782" s="22" t="s">
        <v>3744</v>
      </c>
    </row>
    <row r="1783" spans="1:47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7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515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528"/>
        <v>1</v>
      </c>
      <c r="Z1783" s="18">
        <f t="shared" si="525"/>
        <v>6600000</v>
      </c>
      <c r="AA1783" s="22">
        <v>5.6300000000000003E-2</v>
      </c>
      <c r="AB1783" s="21">
        <f t="shared" si="529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0"/>
        <v>23146578.081415929</v>
      </c>
      <c r="AJ1783" s="27">
        <f t="shared" si="511"/>
        <v>2745231.3889985834</v>
      </c>
      <c r="AK1783" s="28">
        <f t="shared" si="518"/>
        <v>0.11860204041143742</v>
      </c>
      <c r="AL1783" s="24"/>
      <c r="AM1783" s="24"/>
      <c r="AN1783" s="24"/>
      <c r="AO1783" s="24"/>
      <c r="AP1783" s="28" t="str">
        <f t="shared" si="519"/>
        <v>20241</v>
      </c>
      <c r="AQ1783" s="28" t="str">
        <f t="shared" si="520"/>
        <v>20241JPY</v>
      </c>
      <c r="AR1783" s="206" t="str">
        <f t="shared" si="521"/>
        <v>YAMAHA_Mounter</v>
      </c>
      <c r="AS1783" s="22">
        <f t="shared" si="522"/>
        <v>1</v>
      </c>
      <c r="AT1783" s="24" t="str">
        <f t="shared" si="523"/>
        <v>0-3 months</v>
      </c>
      <c r="AU1783" s="22" t="s">
        <v>3744</v>
      </c>
    </row>
    <row r="1784" spans="1:47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7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515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528"/>
        <v>1</v>
      </c>
      <c r="Z1784" s="18">
        <f t="shared" si="525"/>
        <v>6600000</v>
      </c>
      <c r="AA1784" s="22">
        <v>5.6300000000000003E-2</v>
      </c>
      <c r="AB1784" s="21">
        <f t="shared" si="529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0"/>
        <v>23146578.081415929</v>
      </c>
      <c r="AJ1784" s="27">
        <f t="shared" si="511"/>
        <v>2745231.3889985834</v>
      </c>
      <c r="AK1784" s="28">
        <f t="shared" si="518"/>
        <v>0.11860204041143742</v>
      </c>
      <c r="AL1784" s="24"/>
      <c r="AM1784" s="24"/>
      <c r="AN1784" s="24"/>
      <c r="AO1784" s="24"/>
      <c r="AP1784" s="28" t="str">
        <f t="shared" si="519"/>
        <v>20241</v>
      </c>
      <c r="AQ1784" s="28" t="str">
        <f t="shared" si="520"/>
        <v>20241JPY</v>
      </c>
      <c r="AR1784" s="206" t="str">
        <f t="shared" si="521"/>
        <v>YAMAHA_Mounter</v>
      </c>
      <c r="AS1784" s="22">
        <f t="shared" si="522"/>
        <v>1</v>
      </c>
      <c r="AT1784" s="24" t="str">
        <f t="shared" si="523"/>
        <v>0-3 months</v>
      </c>
      <c r="AU1784" s="22" t="s">
        <v>3744</v>
      </c>
    </row>
    <row r="1785" spans="1:47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7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515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528"/>
        <v>1</v>
      </c>
      <c r="Z1785" s="18">
        <f t="shared" si="525"/>
        <v>6600000</v>
      </c>
      <c r="AA1785" s="22">
        <v>5.6300000000000003E-2</v>
      </c>
      <c r="AB1785" s="21">
        <f t="shared" si="529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0"/>
        <v>23146578.081415929</v>
      </c>
      <c r="AJ1785" s="27">
        <f t="shared" si="511"/>
        <v>2745231.3889985834</v>
      </c>
      <c r="AK1785" s="28">
        <f t="shared" si="518"/>
        <v>0.11860204041143742</v>
      </c>
      <c r="AL1785" s="24"/>
      <c r="AM1785" s="24"/>
      <c r="AN1785" s="24"/>
      <c r="AO1785" s="24"/>
      <c r="AP1785" s="28" t="str">
        <f t="shared" si="519"/>
        <v>20241</v>
      </c>
      <c r="AQ1785" s="28" t="str">
        <f t="shared" si="520"/>
        <v>20241JPY</v>
      </c>
      <c r="AR1785" s="206" t="str">
        <f t="shared" si="521"/>
        <v>YAMAHA_Mounter</v>
      </c>
      <c r="AS1785" s="22">
        <f t="shared" si="522"/>
        <v>1</v>
      </c>
      <c r="AT1785" s="24" t="str">
        <f t="shared" si="523"/>
        <v>0-3 months</v>
      </c>
      <c r="AU1785" s="22" t="s">
        <v>3744</v>
      </c>
    </row>
    <row r="1786" spans="1:47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7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515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528"/>
        <v>1</v>
      </c>
      <c r="Z1786" s="18">
        <f t="shared" si="525"/>
        <v>12044000</v>
      </c>
      <c r="AA1786" s="22">
        <v>5.6300000000000003E-2</v>
      </c>
      <c r="AB1786" s="21">
        <f t="shared" si="529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0"/>
        <v>23146578.081415929</v>
      </c>
      <c r="AJ1786" s="27">
        <f t="shared" si="511"/>
        <v>2745231.3889985834</v>
      </c>
      <c r="AK1786" s="28">
        <f t="shared" si="518"/>
        <v>0.11860204041143742</v>
      </c>
      <c r="AL1786" s="24"/>
      <c r="AM1786" s="24"/>
      <c r="AN1786" s="24"/>
      <c r="AO1786" s="24"/>
      <c r="AP1786" s="28" t="str">
        <f t="shared" si="519"/>
        <v>20241</v>
      </c>
      <c r="AQ1786" s="28" t="str">
        <f t="shared" si="520"/>
        <v>20241JPY</v>
      </c>
      <c r="AR1786" s="206" t="str">
        <f t="shared" si="521"/>
        <v>YAMAHA_Mounter</v>
      </c>
      <c r="AS1786" s="22">
        <f t="shared" si="522"/>
        <v>1</v>
      </c>
      <c r="AT1786" s="24" t="str">
        <f t="shared" si="523"/>
        <v>0-3 months</v>
      </c>
      <c r="AU1786" s="22" t="s">
        <v>3744</v>
      </c>
    </row>
    <row r="1787" spans="1:47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7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515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528"/>
        <v>1</v>
      </c>
      <c r="Z1787" s="18">
        <f t="shared" si="525"/>
        <v>12044000</v>
      </c>
      <c r="AA1787" s="22">
        <v>5.6300000000000003E-2</v>
      </c>
      <c r="AB1787" s="21">
        <f t="shared" si="529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0"/>
        <v>23146578.081415929</v>
      </c>
      <c r="AJ1787" s="27">
        <f t="shared" si="511"/>
        <v>2745231.3889985834</v>
      </c>
      <c r="AK1787" s="28">
        <f t="shared" si="518"/>
        <v>0.11860204041143742</v>
      </c>
      <c r="AL1787" s="24"/>
      <c r="AM1787" s="24"/>
      <c r="AN1787" s="24"/>
      <c r="AO1787" s="24"/>
      <c r="AP1787" s="28" t="str">
        <f t="shared" si="519"/>
        <v>20241</v>
      </c>
      <c r="AQ1787" s="28" t="str">
        <f t="shared" si="520"/>
        <v>20241JPY</v>
      </c>
      <c r="AR1787" s="206" t="str">
        <f t="shared" si="521"/>
        <v>YAMAHA_Mounter</v>
      </c>
      <c r="AS1787" s="22">
        <f t="shared" si="522"/>
        <v>1</v>
      </c>
      <c r="AT1787" s="24" t="str">
        <f t="shared" si="523"/>
        <v>0-3 months</v>
      </c>
      <c r="AU1787" s="22" t="s">
        <v>3744</v>
      </c>
    </row>
    <row r="1788" spans="1:47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515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525"/>
        <v>520000</v>
      </c>
      <c r="AA1788" s="13">
        <v>1.095</v>
      </c>
      <c r="AB1788" s="21">
        <f t="shared" si="529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0"/>
        <v>37599388.802345134</v>
      </c>
      <c r="AJ1788" s="19">
        <f t="shared" si="511"/>
        <v>4866784.3630338367</v>
      </c>
      <c r="AK1788" s="20">
        <f t="shared" si="518"/>
        <v>0.12943785838163113</v>
      </c>
      <c r="AL1788" s="17"/>
      <c r="AM1788" s="17"/>
      <c r="AN1788" s="17"/>
      <c r="AO1788" s="17"/>
      <c r="AP1788" s="28" t="str">
        <f t="shared" si="519"/>
        <v>20199</v>
      </c>
      <c r="AQ1788" s="28" t="str">
        <f t="shared" si="520"/>
        <v>20199RMB</v>
      </c>
      <c r="AR1788" s="206" t="str">
        <f t="shared" si="521"/>
        <v>YAMAHA_Non_Mounter</v>
      </c>
      <c r="AS1788" s="22">
        <f t="shared" si="522"/>
        <v>2</v>
      </c>
      <c r="AT1788" s="24" t="str">
        <f t="shared" si="523"/>
        <v>0-3 months</v>
      </c>
      <c r="AU1788" s="22" t="s">
        <v>3743</v>
      </c>
    </row>
    <row r="1789" spans="1:47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515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525"/>
        <v>570000</v>
      </c>
      <c r="AA1789" s="13">
        <v>1.089</v>
      </c>
      <c r="AB1789" s="21">
        <f t="shared" si="529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0"/>
        <v>29183109.05575221</v>
      </c>
      <c r="AJ1789" s="19">
        <f t="shared" si="511"/>
        <v>3741266.5648721238</v>
      </c>
      <c r="AK1789" s="20">
        <f t="shared" si="518"/>
        <v>0.12819972531798121</v>
      </c>
      <c r="AL1789" s="17"/>
      <c r="AM1789" s="17"/>
      <c r="AN1789" s="17"/>
      <c r="AO1789" s="17"/>
      <c r="AP1789" s="28" t="str">
        <f t="shared" si="519"/>
        <v>20206</v>
      </c>
      <c r="AQ1789" s="28" t="str">
        <f t="shared" si="520"/>
        <v>20206RMB</v>
      </c>
      <c r="AR1789" s="206" t="str">
        <f t="shared" si="521"/>
        <v>YAMAHA_Mounter</v>
      </c>
      <c r="AS1789" s="22">
        <f t="shared" si="522"/>
        <v>0</v>
      </c>
      <c r="AT1789" s="24" t="str">
        <f t="shared" si="523"/>
        <v>0-3 months</v>
      </c>
      <c r="AU1789" s="22" t="s">
        <v>3743</v>
      </c>
    </row>
    <row r="1790" spans="1:47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515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525"/>
        <v>670000</v>
      </c>
      <c r="AA1790" s="13">
        <v>1.21</v>
      </c>
      <c r="AB1790" s="21">
        <f t="shared" si="529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0"/>
        <v>29500529.005044252</v>
      </c>
      <c r="AJ1790" s="19">
        <f t="shared" si="511"/>
        <v>3253064.846231177</v>
      </c>
      <c r="AK1790" s="20">
        <f t="shared" si="518"/>
        <v>0.11027140718984871</v>
      </c>
      <c r="AL1790" s="17"/>
      <c r="AM1790" s="17"/>
      <c r="AN1790" s="17"/>
      <c r="AO1790" s="17"/>
      <c r="AP1790" s="28" t="str">
        <f t="shared" si="519"/>
        <v>202111</v>
      </c>
      <c r="AQ1790" s="28" t="str">
        <f t="shared" si="520"/>
        <v>202111RMB</v>
      </c>
      <c r="AR1790" s="206" t="str">
        <f t="shared" si="521"/>
        <v>YAMAHA_Mounter</v>
      </c>
      <c r="AS1790" s="22">
        <f t="shared" si="522"/>
        <v>5</v>
      </c>
      <c r="AT1790" s="24" t="str">
        <f t="shared" si="523"/>
        <v>4-6 months</v>
      </c>
      <c r="AU1790" s="22" t="s">
        <v>3750</v>
      </c>
    </row>
    <row r="1791" spans="1:47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515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525"/>
        <v>18500000</v>
      </c>
      <c r="AA1791" s="13">
        <v>7.22E-2</v>
      </c>
      <c r="AB1791" s="21">
        <f t="shared" si="529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0"/>
        <v>29946107.503386207</v>
      </c>
      <c r="AJ1791" s="19">
        <f t="shared" si="511"/>
        <v>3987206.4954923098</v>
      </c>
      <c r="AK1791" s="20">
        <f t="shared" si="518"/>
        <v>0.13314606898547499</v>
      </c>
      <c r="AL1791" s="17"/>
      <c r="AM1791" s="17"/>
      <c r="AN1791" s="17"/>
      <c r="AO1791" s="17"/>
      <c r="AP1791" s="28" t="str">
        <f t="shared" si="519"/>
        <v>20187</v>
      </c>
      <c r="AQ1791" s="28" t="str">
        <f t="shared" si="520"/>
        <v>20187JPY</v>
      </c>
      <c r="AR1791" s="206" t="str">
        <f t="shared" si="521"/>
        <v>YAMAHA_Mounter</v>
      </c>
      <c r="AS1791" s="22">
        <f t="shared" si="522"/>
        <v>1</v>
      </c>
      <c r="AT1791" s="24" t="str">
        <f t="shared" si="523"/>
        <v>0-3 months</v>
      </c>
      <c r="AU1791" s="22" t="s">
        <v>3744</v>
      </c>
    </row>
    <row r="1792" spans="1:47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515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525"/>
        <v>0</v>
      </c>
      <c r="AA1792" s="13">
        <v>1.22</v>
      </c>
      <c r="AB1792" s="21">
        <f t="shared" si="529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0"/>
        <v>28726768.133805312</v>
      </c>
      <c r="AJ1792" s="19">
        <f t="shared" si="511"/>
        <v>3853638.1988864429</v>
      </c>
      <c r="AK1792" s="20">
        <f t="shared" si="518"/>
        <v>0.1341479898099476</v>
      </c>
      <c r="AL1792" s="17"/>
      <c r="AM1792" s="17"/>
      <c r="AN1792" s="17"/>
      <c r="AO1792" s="17"/>
      <c r="AP1792" s="28" t="str">
        <f t="shared" si="519"/>
        <v>20223</v>
      </c>
      <c r="AQ1792" s="28" t="str">
        <f t="shared" si="520"/>
        <v>20223RMB</v>
      </c>
      <c r="AR1792" s="206">
        <f t="shared" si="521"/>
        <v>0</v>
      </c>
      <c r="AS1792" s="22">
        <f t="shared" si="522"/>
        <v>33</v>
      </c>
      <c r="AT1792" s="24" t="str">
        <f t="shared" si="523"/>
        <v>&gt; 6 months</v>
      </c>
      <c r="AU1792" s="22" t="s">
        <v>3240</v>
      </c>
    </row>
    <row r="1793" spans="1:47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514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515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525"/>
        <v>550000</v>
      </c>
      <c r="AA1793" s="13">
        <v>1.095</v>
      </c>
      <c r="AB1793" s="21">
        <f t="shared" si="529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0"/>
        <v>499582152.5142017</v>
      </c>
      <c r="AJ1793" s="19">
        <f t="shared" si="511"/>
        <v>59520528.679470733</v>
      </c>
      <c r="AK1793" s="20">
        <f t="shared" si="518"/>
        <v>0.11914062257814291</v>
      </c>
      <c r="AL1793" s="17"/>
      <c r="AM1793" s="17"/>
      <c r="AN1793" s="17"/>
      <c r="AO1793" s="17"/>
      <c r="AP1793" s="28" t="str">
        <f t="shared" si="519"/>
        <v>CancelCancel</v>
      </c>
      <c r="AQ1793" s="28" t="str">
        <f t="shared" si="520"/>
        <v>CancelCancelRMB</v>
      </c>
      <c r="AR1793" s="206" t="str">
        <f t="shared" si="521"/>
        <v>YAMAHA_Mounter</v>
      </c>
      <c r="AS1793" s="22" t="str">
        <f t="shared" si="522"/>
        <v/>
      </c>
      <c r="AT1793" s="24" t="str">
        <f t="shared" si="523"/>
        <v/>
      </c>
      <c r="AU1793" s="22" t="s">
        <v>3746</v>
      </c>
    </row>
    <row r="1794" spans="1:47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514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515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525"/>
        <v>550000</v>
      </c>
      <c r="AA1794" s="13">
        <v>1.095</v>
      </c>
      <c r="AB1794" s="21">
        <f t="shared" si="529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ref="AI1794:AI1857" si="530">IF(P1794="C66 SERVICE","",SUMIFS(AB:AB,F:F,F1794,G:G,G1794,E:E,E1794))</f>
        <v>499582152.5142017</v>
      </c>
      <c r="AJ1794" s="19">
        <f t="shared" ref="AJ1794:AJ1857" si="531">IF(P1794="C66 SERVICE","",SUMIFS(AC:AC,F:F,F1794,G:G,G1794,E:E,E1794))</f>
        <v>59520528.679470733</v>
      </c>
      <c r="AK1794" s="20">
        <f t="shared" si="518"/>
        <v>0.11914062257814291</v>
      </c>
      <c r="AL1794" s="17"/>
      <c r="AM1794" s="17"/>
      <c r="AN1794" s="17"/>
      <c r="AO1794" s="17"/>
      <c r="AP1794" s="28" t="str">
        <f t="shared" si="519"/>
        <v>CancelCancel</v>
      </c>
      <c r="AQ1794" s="28" t="str">
        <f t="shared" si="520"/>
        <v>CancelCancelRMB</v>
      </c>
      <c r="AR1794" s="206" t="str">
        <f t="shared" si="521"/>
        <v>YAMAHA_Mounter</v>
      </c>
      <c r="AS1794" s="22" t="str">
        <f t="shared" si="522"/>
        <v/>
      </c>
      <c r="AT1794" s="24" t="str">
        <f t="shared" si="523"/>
        <v/>
      </c>
      <c r="AU1794" s="22" t="s">
        <v>3746</v>
      </c>
    </row>
    <row r="1795" spans="1:47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514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515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525"/>
        <v>9300000</v>
      </c>
      <c r="AA1795" s="13">
        <v>7.0000000000000007E-2</v>
      </c>
      <c r="AB1795" s="21">
        <f t="shared" si="529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30"/>
        <v>499582152.5142017</v>
      </c>
      <c r="AJ1795" s="19">
        <f t="shared" si="531"/>
        <v>59520528.679470733</v>
      </c>
      <c r="AK1795" s="20">
        <f t="shared" si="518"/>
        <v>0.11914062257814291</v>
      </c>
      <c r="AL1795" s="17"/>
      <c r="AM1795" s="17"/>
      <c r="AN1795" s="17"/>
      <c r="AO1795" s="17"/>
      <c r="AP1795" s="28" t="str">
        <f t="shared" si="519"/>
        <v>CancelCancel</v>
      </c>
      <c r="AQ1795" s="28" t="str">
        <f t="shared" si="520"/>
        <v>CancelCancelJPY</v>
      </c>
      <c r="AR1795" s="206" t="str">
        <f t="shared" si="521"/>
        <v>YAMAHA_Mounter</v>
      </c>
      <c r="AS1795" s="22" t="str">
        <f t="shared" si="522"/>
        <v/>
      </c>
      <c r="AT1795" s="24" t="str">
        <f t="shared" si="523"/>
        <v/>
      </c>
      <c r="AU1795" s="22" t="s">
        <v>3744</v>
      </c>
    </row>
    <row r="1796" spans="1:47" s="12" customFormat="1">
      <c r="A1796" s="33" t="str">
        <f t="shared" si="512"/>
        <v>cancel</v>
      </c>
      <c r="B1796" s="152"/>
      <c r="C1796" s="152" t="s">
        <v>185</v>
      </c>
      <c r="D1796" s="33" t="str">
        <f t="shared" si="513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514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515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525"/>
        <v>891600</v>
      </c>
      <c r="AA1796" s="13">
        <v>1.135</v>
      </c>
      <c r="AB1796" s="21">
        <f t="shared" si="529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30"/>
        <v>499582152.5142017</v>
      </c>
      <c r="AJ1796" s="19">
        <f t="shared" si="531"/>
        <v>59520528.679470733</v>
      </c>
      <c r="AK1796" s="20">
        <f t="shared" si="518"/>
        <v>0.11914062257814291</v>
      </c>
      <c r="AL1796" s="17"/>
      <c r="AM1796" s="17"/>
      <c r="AN1796" s="17"/>
      <c r="AO1796" s="17"/>
      <c r="AP1796" s="28" t="str">
        <f t="shared" si="519"/>
        <v>CancelCancel</v>
      </c>
      <c r="AQ1796" s="28" t="str">
        <f t="shared" si="520"/>
        <v>CancelCancelRMB</v>
      </c>
      <c r="AR1796" s="206" t="str">
        <f t="shared" si="521"/>
        <v>YAMAHA_Mounter</v>
      </c>
      <c r="AS1796" s="22" t="str">
        <f t="shared" si="522"/>
        <v/>
      </c>
      <c r="AT1796" s="24" t="str">
        <f t="shared" si="523"/>
        <v/>
      </c>
      <c r="AU1796" s="22" t="s">
        <v>3240</v>
      </c>
    </row>
    <row r="1797" spans="1:47" s="12" customFormat="1">
      <c r="A1797" s="33" t="str">
        <f t="shared" si="512"/>
        <v>cancel</v>
      </c>
      <c r="B1797" s="152"/>
      <c r="C1797" s="152" t="s">
        <v>185</v>
      </c>
      <c r="D1797" s="33" t="str">
        <f t="shared" si="513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514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515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525"/>
        <v>818400</v>
      </c>
      <c r="AA1797" s="13">
        <v>1.135</v>
      </c>
      <c r="AB1797" s="21">
        <f t="shared" si="529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30"/>
        <v>499582152.5142017</v>
      </c>
      <c r="AJ1797" s="19">
        <f t="shared" si="531"/>
        <v>59520528.679470733</v>
      </c>
      <c r="AK1797" s="20">
        <f t="shared" si="518"/>
        <v>0.11914062257814291</v>
      </c>
      <c r="AL1797" s="17"/>
      <c r="AM1797" s="17"/>
      <c r="AN1797" s="17"/>
      <c r="AO1797" s="17"/>
      <c r="AP1797" s="28" t="str">
        <f t="shared" si="519"/>
        <v>CancelCancel</v>
      </c>
      <c r="AQ1797" s="28" t="str">
        <f t="shared" si="520"/>
        <v>CancelCancelRMB</v>
      </c>
      <c r="AR1797" s="206" t="str">
        <f t="shared" si="521"/>
        <v>YAMAHA_Mounter</v>
      </c>
      <c r="AS1797" s="22" t="str">
        <f t="shared" si="522"/>
        <v/>
      </c>
      <c r="AT1797" s="24" t="str">
        <f t="shared" si="523"/>
        <v/>
      </c>
      <c r="AU1797" s="22" t="s">
        <v>3240</v>
      </c>
    </row>
    <row r="1798" spans="1:47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525"/>
        <v>11110000</v>
      </c>
      <c r="AA1798" s="13">
        <v>7.2300000000000003E-2</v>
      </c>
      <c r="AB1798" s="21">
        <f t="shared" si="529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si="530"/>
        <v>32843736.557277881</v>
      </c>
      <c r="AJ1798" s="19">
        <f t="shared" si="531"/>
        <v>3921470.6822663117</v>
      </c>
      <c r="AK1798" s="20">
        <f t="shared" ref="AK1798:AK1861" si="538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39">IF(F1798="","",F1798&amp;G1798)</f>
        <v>20194</v>
      </c>
      <c r="AQ1798" s="28" t="str">
        <f t="shared" ref="AQ1798:AQ1861" si="540">IF(W1798="","",F1798&amp;G1798&amp;W1798)</f>
        <v>20194JPY</v>
      </c>
      <c r="AR1798" s="206" t="str">
        <f t="shared" ref="AR1798:AR1861" si="541">IFERROR(IF(AND(M1798="YAMAHA", R1798="C28"), "YAMAHA_Non_Mounter", IF(AND(M1798="YAMAHA", R1798="C49"), "YAMAHA_Mounter", M1798)),"")</f>
        <v>YAMAHA_Mounter</v>
      </c>
      <c r="AS1798" s="22">
        <f t="shared" ref="AS1798:AS1861" si="542">IFERROR(IF(OR(G1798="TBA", G1798=""), "", DATEDIF(DATE(B1798, C1798, 1), DATE(F1798, G1798, 1), "M")),"")</f>
        <v>0</v>
      </c>
      <c r="AT1798" s="24" t="str">
        <f t="shared" ref="AT1798:AT1861" si="543">IF(ISNUMBER(AS1798), IF(AS1798&gt;=0, IF(AS1798&lt;=3, "0-3 months", IF(AS1798&lt;=6, "4-6 months", "&gt; 6 months"))), "")</f>
        <v>0-3 months</v>
      </c>
      <c r="AU1798" s="22" t="s">
        <v>3744</v>
      </c>
    </row>
    <row r="1799" spans="1:47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535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525"/>
        <v>942920</v>
      </c>
      <c r="AA1799" s="13">
        <v>1.095</v>
      </c>
      <c r="AB1799" s="21">
        <f t="shared" si="529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0"/>
        <v>33477255.428389374</v>
      </c>
      <c r="AJ1799" s="19">
        <f t="shared" si="531"/>
        <v>4578663.362915583</v>
      </c>
      <c r="AK1799" s="20">
        <f t="shared" si="538"/>
        <v>0.13676937682988152</v>
      </c>
      <c r="AL1799" s="17"/>
      <c r="AM1799" s="17"/>
      <c r="AN1799" s="17"/>
      <c r="AO1799" s="17"/>
      <c r="AP1799" s="28" t="str">
        <f t="shared" si="539"/>
        <v>20204</v>
      </c>
      <c r="AQ1799" s="28" t="str">
        <f t="shared" si="540"/>
        <v>20204RMB</v>
      </c>
      <c r="AR1799" s="206" t="str">
        <f t="shared" si="541"/>
        <v>YAMAHA_Mounter</v>
      </c>
      <c r="AS1799" s="22">
        <f t="shared" si="542"/>
        <v>1</v>
      </c>
      <c r="AT1799" s="24" t="str">
        <f t="shared" si="543"/>
        <v>0-3 months</v>
      </c>
      <c r="AU1799" s="22" t="s">
        <v>3744</v>
      </c>
    </row>
    <row r="1800" spans="1:47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535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525"/>
        <v>650000</v>
      </c>
      <c r="AA1800" s="13">
        <v>1.095</v>
      </c>
      <c r="AB1800" s="21">
        <f t="shared" si="529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0"/>
        <v>33477255.428389374</v>
      </c>
      <c r="AJ1800" s="19">
        <f t="shared" si="531"/>
        <v>4578663.362915583</v>
      </c>
      <c r="AK1800" s="20">
        <f t="shared" si="538"/>
        <v>0.13676937682988152</v>
      </c>
      <c r="AL1800" s="17"/>
      <c r="AM1800" s="17"/>
      <c r="AN1800" s="17"/>
      <c r="AO1800" s="17"/>
      <c r="AP1800" s="28" t="str">
        <f t="shared" si="539"/>
        <v>20204</v>
      </c>
      <c r="AQ1800" s="28" t="str">
        <f t="shared" si="540"/>
        <v>20204RMB</v>
      </c>
      <c r="AR1800" s="206" t="str">
        <f t="shared" si="541"/>
        <v>YAMAHA_Mounter</v>
      </c>
      <c r="AS1800" s="22">
        <f t="shared" si="542"/>
        <v>1</v>
      </c>
      <c r="AT1800" s="24" t="str">
        <f t="shared" si="543"/>
        <v>0-3 months</v>
      </c>
      <c r="AU1800" s="22" t="s">
        <v>3744</v>
      </c>
    </row>
    <row r="1801" spans="1:47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535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544">IF(W1801="RMB","1.13", "1")</f>
        <v>1</v>
      </c>
      <c r="Z1801" s="18">
        <f t="shared" si="525"/>
        <v>13700000</v>
      </c>
      <c r="AA1801" s="13">
        <v>7.17E-2</v>
      </c>
      <c r="AB1801" s="21">
        <f t="shared" si="529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0"/>
        <v>43684091.636631854</v>
      </c>
      <c r="AJ1801" s="19">
        <f t="shared" si="531"/>
        <v>6483951.8242071122</v>
      </c>
      <c r="AK1801" s="20">
        <f t="shared" si="538"/>
        <v>0.14842821680123736</v>
      </c>
      <c r="AL1801" s="17"/>
      <c r="AM1801" s="17"/>
      <c r="AN1801" s="17"/>
      <c r="AO1801" s="17"/>
      <c r="AP1801" s="28" t="str">
        <f t="shared" si="539"/>
        <v>20214</v>
      </c>
      <c r="AQ1801" s="28" t="str">
        <f t="shared" si="540"/>
        <v>20214JPY</v>
      </c>
      <c r="AR1801" s="206" t="str">
        <f t="shared" si="541"/>
        <v>YAMAHA_Mounter</v>
      </c>
      <c r="AS1801" s="22">
        <f t="shared" si="542"/>
        <v>1</v>
      </c>
      <c r="AT1801" s="24" t="str">
        <f t="shared" si="543"/>
        <v>0-3 months</v>
      </c>
      <c r="AU1801" s="22" t="s">
        <v>3745</v>
      </c>
    </row>
    <row r="1802" spans="1:47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535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544"/>
        <v>1</v>
      </c>
      <c r="Z1802" s="18">
        <f t="shared" ref="Z1802:Z1865" si="545">IF(X1802="","",X1802*MAX(O1802,N1802))</f>
        <v>7580700</v>
      </c>
      <c r="AA1802" s="13">
        <v>7.17E-2</v>
      </c>
      <c r="AB1802" s="21">
        <f t="shared" si="529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0"/>
        <v>43684091.636631854</v>
      </c>
      <c r="AJ1802" s="19">
        <f t="shared" si="531"/>
        <v>6483951.8242071122</v>
      </c>
      <c r="AK1802" s="20">
        <f t="shared" si="538"/>
        <v>0.14842821680123736</v>
      </c>
      <c r="AL1802" s="17"/>
      <c r="AM1802" s="17"/>
      <c r="AN1802" s="17"/>
      <c r="AO1802" s="17"/>
      <c r="AP1802" s="28" t="str">
        <f t="shared" si="539"/>
        <v>20214</v>
      </c>
      <c r="AQ1802" s="28" t="str">
        <f t="shared" si="540"/>
        <v>20214JPY</v>
      </c>
      <c r="AR1802" s="206" t="str">
        <f t="shared" si="541"/>
        <v>YAMAHA_Mounter</v>
      </c>
      <c r="AS1802" s="22">
        <f t="shared" si="542"/>
        <v>1</v>
      </c>
      <c r="AT1802" s="24" t="str">
        <f t="shared" si="543"/>
        <v>0-3 months</v>
      </c>
      <c r="AU1802" s="22" t="s">
        <v>3745</v>
      </c>
    </row>
    <row r="1803" spans="1:47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535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544"/>
        <v>1.13</v>
      </c>
      <c r="Z1803" s="18">
        <f t="shared" si="545"/>
        <v>825000</v>
      </c>
      <c r="AA1803" s="13">
        <v>1.2150000000000001</v>
      </c>
      <c r="AB1803" s="21">
        <f t="shared" si="529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0"/>
        <v>54700260.692079648</v>
      </c>
      <c r="AJ1803" s="19">
        <f t="shared" si="531"/>
        <v>7482899.5749188727</v>
      </c>
      <c r="AK1803" s="20">
        <f t="shared" si="538"/>
        <v>0.13679824337660537</v>
      </c>
      <c r="AL1803" s="17"/>
      <c r="AM1803" s="17"/>
      <c r="AN1803" s="17"/>
      <c r="AO1803" s="17"/>
      <c r="AP1803" s="28" t="str">
        <f t="shared" si="539"/>
        <v>20216</v>
      </c>
      <c r="AQ1803" s="28" t="str">
        <f t="shared" si="540"/>
        <v>20216RMB</v>
      </c>
      <c r="AR1803" s="206" t="str">
        <f t="shared" si="541"/>
        <v>YAMAHA_Mounter</v>
      </c>
      <c r="AS1803" s="22">
        <f t="shared" si="542"/>
        <v>4</v>
      </c>
      <c r="AT1803" s="24" t="str">
        <f t="shared" si="543"/>
        <v>4-6 months</v>
      </c>
      <c r="AU1803" s="22" t="s">
        <v>3743</v>
      </c>
    </row>
    <row r="1804" spans="1:47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535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544"/>
        <v>1.13</v>
      </c>
      <c r="Z1804" s="18">
        <f t="shared" si="545"/>
        <v>825000</v>
      </c>
      <c r="AA1804" s="13">
        <v>1.2150000000000001</v>
      </c>
      <c r="AB1804" s="21">
        <f t="shared" si="529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0"/>
        <v>54700260.692079648</v>
      </c>
      <c r="AJ1804" s="19">
        <f t="shared" si="531"/>
        <v>7482899.5749188727</v>
      </c>
      <c r="AK1804" s="20">
        <f t="shared" si="538"/>
        <v>0.13679824337660537</v>
      </c>
      <c r="AL1804" s="17"/>
      <c r="AM1804" s="17"/>
      <c r="AN1804" s="17"/>
      <c r="AO1804" s="17"/>
      <c r="AP1804" s="28" t="str">
        <f t="shared" si="539"/>
        <v>20216</v>
      </c>
      <c r="AQ1804" s="28" t="str">
        <f t="shared" si="540"/>
        <v>20216RMB</v>
      </c>
      <c r="AR1804" s="206" t="str">
        <f t="shared" si="541"/>
        <v>YAMAHA_Mounter</v>
      </c>
      <c r="AS1804" s="22">
        <f t="shared" si="542"/>
        <v>4</v>
      </c>
      <c r="AT1804" s="24" t="str">
        <f t="shared" si="543"/>
        <v>4-6 months</v>
      </c>
      <c r="AU1804" s="22" t="s">
        <v>3743</v>
      </c>
    </row>
    <row r="1805" spans="1:47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535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544"/>
        <v>1.13</v>
      </c>
      <c r="Z1805" s="18">
        <f t="shared" si="545"/>
        <v>1125000</v>
      </c>
      <c r="AA1805" s="13">
        <v>1.2150000000000001</v>
      </c>
      <c r="AB1805" s="21">
        <f t="shared" si="529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0"/>
        <v>54700260.692079648</v>
      </c>
      <c r="AJ1805" s="19">
        <f t="shared" si="531"/>
        <v>7482899.5749188727</v>
      </c>
      <c r="AK1805" s="20">
        <f t="shared" si="538"/>
        <v>0.13679824337660537</v>
      </c>
      <c r="AL1805" s="17"/>
      <c r="AM1805" s="17"/>
      <c r="AN1805" s="17"/>
      <c r="AO1805" s="17"/>
      <c r="AP1805" s="28" t="str">
        <f t="shared" si="539"/>
        <v>20216</v>
      </c>
      <c r="AQ1805" s="28" t="str">
        <f t="shared" si="540"/>
        <v>20216RMB</v>
      </c>
      <c r="AR1805" s="206" t="str">
        <f t="shared" si="541"/>
        <v>YAMAHA_Mounter</v>
      </c>
      <c r="AS1805" s="22">
        <f t="shared" si="542"/>
        <v>4</v>
      </c>
      <c r="AT1805" s="24" t="str">
        <f t="shared" si="543"/>
        <v>4-6 months</v>
      </c>
      <c r="AU1805" s="22" t="s">
        <v>3743</v>
      </c>
    </row>
    <row r="1806" spans="1:47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535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544"/>
        <v>1.13</v>
      </c>
      <c r="Z1806" s="18">
        <f t="shared" si="545"/>
        <v>1125000</v>
      </c>
      <c r="AA1806" s="13">
        <v>1.2150000000000001</v>
      </c>
      <c r="AB1806" s="21">
        <f t="shared" si="529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0"/>
        <v>54700260.692079648</v>
      </c>
      <c r="AJ1806" s="19">
        <f t="shared" si="531"/>
        <v>7482899.5749188727</v>
      </c>
      <c r="AK1806" s="20">
        <f t="shared" si="538"/>
        <v>0.13679824337660537</v>
      </c>
      <c r="AL1806" s="17"/>
      <c r="AM1806" s="17"/>
      <c r="AN1806" s="17"/>
      <c r="AO1806" s="17"/>
      <c r="AP1806" s="28" t="str">
        <f t="shared" si="539"/>
        <v>20216</v>
      </c>
      <c r="AQ1806" s="28" t="str">
        <f t="shared" si="540"/>
        <v>20216RMB</v>
      </c>
      <c r="AR1806" s="206" t="str">
        <f t="shared" si="541"/>
        <v>YAMAHA_Mounter</v>
      </c>
      <c r="AS1806" s="22">
        <f t="shared" si="542"/>
        <v>4</v>
      </c>
      <c r="AT1806" s="24" t="str">
        <f t="shared" si="543"/>
        <v>4-6 months</v>
      </c>
      <c r="AU1806" s="22" t="s">
        <v>3743</v>
      </c>
    </row>
    <row r="1807" spans="1:47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535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544"/>
        <v>1.13</v>
      </c>
      <c r="Z1807" s="18">
        <f t="shared" si="545"/>
        <v>720000</v>
      </c>
      <c r="AA1807" s="13">
        <v>1.22</v>
      </c>
      <c r="AB1807" s="21">
        <f t="shared" si="529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0"/>
        <v>28726768.133805312</v>
      </c>
      <c r="AJ1807" s="19">
        <f t="shared" si="531"/>
        <v>3853638.1988864429</v>
      </c>
      <c r="AK1807" s="20">
        <f t="shared" si="538"/>
        <v>0.1341479898099476</v>
      </c>
      <c r="AL1807" s="17"/>
      <c r="AM1807" s="17"/>
      <c r="AN1807" s="17"/>
      <c r="AO1807" s="17"/>
      <c r="AP1807" s="28" t="str">
        <f t="shared" si="539"/>
        <v>20223</v>
      </c>
      <c r="AQ1807" s="28" t="str">
        <f t="shared" si="540"/>
        <v>20223RMB</v>
      </c>
      <c r="AR1807" s="206" t="str">
        <f t="shared" si="541"/>
        <v>PEMTRON</v>
      </c>
      <c r="AS1807" s="22">
        <f t="shared" si="542"/>
        <v>3</v>
      </c>
      <c r="AT1807" s="24" t="str">
        <f t="shared" si="543"/>
        <v>0-3 months</v>
      </c>
      <c r="AU1807" s="22" t="s">
        <v>3240</v>
      </c>
    </row>
    <row r="1808" spans="1:47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535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544"/>
        <v>1.13</v>
      </c>
      <c r="Z1808" s="18">
        <f t="shared" si="545"/>
        <v>720000</v>
      </c>
      <c r="AA1808" s="13">
        <v>1.22</v>
      </c>
      <c r="AB1808" s="21">
        <f t="shared" si="529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0"/>
        <v>28726768.133805312</v>
      </c>
      <c r="AJ1808" s="19">
        <f t="shared" si="531"/>
        <v>3853638.1988864429</v>
      </c>
      <c r="AK1808" s="20">
        <f t="shared" si="538"/>
        <v>0.1341479898099476</v>
      </c>
      <c r="AL1808" s="17"/>
      <c r="AM1808" s="17"/>
      <c r="AN1808" s="17"/>
      <c r="AO1808" s="17"/>
      <c r="AP1808" s="28" t="str">
        <f t="shared" si="539"/>
        <v>20223</v>
      </c>
      <c r="AQ1808" s="28" t="str">
        <f t="shared" si="540"/>
        <v>20223RMB</v>
      </c>
      <c r="AR1808" s="206" t="str">
        <f t="shared" si="541"/>
        <v>PEMTRON</v>
      </c>
      <c r="AS1808" s="22">
        <f t="shared" si="542"/>
        <v>3</v>
      </c>
      <c r="AT1808" s="24" t="str">
        <f t="shared" si="543"/>
        <v>0-3 months</v>
      </c>
      <c r="AU1808" s="22" t="s">
        <v>3240</v>
      </c>
    </row>
    <row r="1809" spans="1:47" s="12" customFormat="1">
      <c r="A1809" s="33" t="str">
        <f t="shared" si="532"/>
        <v>cancel</v>
      </c>
      <c r="B1809" s="152"/>
      <c r="C1809" s="152" t="s">
        <v>185</v>
      </c>
      <c r="D1809" s="33" t="str">
        <f t="shared" si="533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534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535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544"/>
        <v>1</v>
      </c>
      <c r="Z1809" s="18">
        <f t="shared" si="545"/>
        <v>6600000</v>
      </c>
      <c r="AA1809" s="13">
        <v>7.4499999999999997E-2</v>
      </c>
      <c r="AB1809" s="21">
        <f t="shared" si="529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0"/>
        <v>499582152.5142017</v>
      </c>
      <c r="AJ1809" s="19">
        <f t="shared" si="531"/>
        <v>59520528.679470733</v>
      </c>
      <c r="AK1809" s="20">
        <f t="shared" si="538"/>
        <v>0.11914062257814291</v>
      </c>
      <c r="AL1809" s="17"/>
      <c r="AM1809" s="17"/>
      <c r="AN1809" s="17"/>
      <c r="AO1809" s="17"/>
      <c r="AP1809" s="28" t="str">
        <f t="shared" si="539"/>
        <v>CancelCANCEL</v>
      </c>
      <c r="AQ1809" s="28" t="str">
        <f t="shared" si="540"/>
        <v>CancelCANCELJPY</v>
      </c>
      <c r="AR1809" s="206" t="str">
        <f t="shared" si="541"/>
        <v>YAMAHA_Mounter</v>
      </c>
      <c r="AS1809" s="22" t="str">
        <f t="shared" si="542"/>
        <v/>
      </c>
      <c r="AT1809" s="24" t="str">
        <f t="shared" si="543"/>
        <v/>
      </c>
      <c r="AU1809" s="22" t="s">
        <v>3744</v>
      </c>
    </row>
    <row r="1810" spans="1:47" s="12" customFormat="1">
      <c r="A1810" s="33" t="str">
        <f t="shared" si="532"/>
        <v>cancel</v>
      </c>
      <c r="B1810" s="152"/>
      <c r="C1810" s="152" t="s">
        <v>185</v>
      </c>
      <c r="D1810" s="33" t="str">
        <f t="shared" si="533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534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535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544"/>
        <v>1</v>
      </c>
      <c r="Z1810" s="18">
        <f t="shared" si="545"/>
        <v>11500000</v>
      </c>
      <c r="AA1810" s="13">
        <v>6.25E-2</v>
      </c>
      <c r="AB1810" s="21">
        <f t="shared" si="529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0"/>
        <v>499582152.5142017</v>
      </c>
      <c r="AJ1810" s="19">
        <f t="shared" si="531"/>
        <v>59520528.679470733</v>
      </c>
      <c r="AK1810" s="20">
        <f t="shared" si="538"/>
        <v>0.11914062257814291</v>
      </c>
      <c r="AL1810" s="17"/>
      <c r="AM1810" s="17"/>
      <c r="AN1810" s="17"/>
      <c r="AO1810" s="17"/>
      <c r="AP1810" s="28" t="str">
        <f t="shared" si="539"/>
        <v>CancelCancel</v>
      </c>
      <c r="AQ1810" s="28" t="str">
        <f t="shared" si="540"/>
        <v>CancelCancelJPY</v>
      </c>
      <c r="AR1810" s="206" t="str">
        <f t="shared" si="541"/>
        <v>YAMAHA_Mounter</v>
      </c>
      <c r="AS1810" s="22" t="str">
        <f t="shared" si="542"/>
        <v/>
      </c>
      <c r="AT1810" s="24" t="str">
        <f t="shared" si="543"/>
        <v/>
      </c>
      <c r="AU1810" s="22" t="s">
        <v>3744</v>
      </c>
    </row>
    <row r="1811" spans="1:47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535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545"/>
        <v>605000</v>
      </c>
      <c r="AA1811" s="13">
        <v>1.1499999999999999</v>
      </c>
      <c r="AB1811" s="21">
        <f t="shared" si="529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0"/>
        <v>26492741.106427077</v>
      </c>
      <c r="AJ1811" s="19">
        <f t="shared" si="531"/>
        <v>3348032.1325698122</v>
      </c>
      <c r="AK1811" s="20">
        <f t="shared" si="538"/>
        <v>0.12637545201985867</v>
      </c>
      <c r="AL1811" s="17"/>
      <c r="AM1811" s="17"/>
      <c r="AN1811" s="17"/>
      <c r="AO1811" s="17"/>
      <c r="AP1811" s="28" t="str">
        <f t="shared" si="539"/>
        <v>20189</v>
      </c>
      <c r="AQ1811" s="28" t="str">
        <f t="shared" si="540"/>
        <v>20189RMB</v>
      </c>
      <c r="AR1811" s="206" t="str">
        <f t="shared" si="541"/>
        <v>YAMAHA_Mounter</v>
      </c>
      <c r="AS1811" s="22">
        <f t="shared" si="542"/>
        <v>2</v>
      </c>
      <c r="AT1811" s="24" t="str">
        <f t="shared" si="543"/>
        <v>0-3 months</v>
      </c>
      <c r="AU1811" s="22" t="s">
        <v>3743</v>
      </c>
    </row>
    <row r="1812" spans="1:47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535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545"/>
        <v>1000000</v>
      </c>
      <c r="AA1812" s="13">
        <v>1.1499999999999999</v>
      </c>
      <c r="AB1812" s="21">
        <f t="shared" si="529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0"/>
        <v>16455710.386637932</v>
      </c>
      <c r="AJ1812" s="19">
        <f t="shared" si="531"/>
        <v>2150644.6466930606</v>
      </c>
      <c r="AK1812" s="20">
        <f t="shared" si="538"/>
        <v>0.13069290818580451</v>
      </c>
      <c r="AL1812" s="17"/>
      <c r="AM1812" s="17"/>
      <c r="AN1812" s="17"/>
      <c r="AO1812" s="17"/>
      <c r="AP1812" s="28" t="str">
        <f t="shared" si="539"/>
        <v>20192</v>
      </c>
      <c r="AQ1812" s="28" t="str">
        <f t="shared" si="540"/>
        <v>20192RMB</v>
      </c>
      <c r="AR1812" s="206" t="str">
        <f t="shared" si="541"/>
        <v>YAMAHA_Mounter</v>
      </c>
      <c r="AS1812" s="22">
        <f t="shared" si="542"/>
        <v>2</v>
      </c>
      <c r="AT1812" s="24" t="str">
        <f t="shared" si="543"/>
        <v>0-3 months</v>
      </c>
      <c r="AU1812" s="22" t="s">
        <v>3743</v>
      </c>
    </row>
    <row r="1813" spans="1:47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534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535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545"/>
        <v>32300000</v>
      </c>
      <c r="AA1813" s="13">
        <v>7.51E-2</v>
      </c>
      <c r="AB1813" s="21">
        <f t="shared" si="529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0"/>
        <v>499582152.5142017</v>
      </c>
      <c r="AJ1813" s="19">
        <f t="shared" si="531"/>
        <v>59520528.679470733</v>
      </c>
      <c r="AK1813" s="20">
        <f t="shared" si="538"/>
        <v>0.11914062257814291</v>
      </c>
      <c r="AL1813" s="17"/>
      <c r="AM1813" s="17"/>
      <c r="AN1813" s="17"/>
      <c r="AO1813" s="17"/>
      <c r="AP1813" s="28" t="str">
        <f t="shared" si="539"/>
        <v>CancelCancel</v>
      </c>
      <c r="AQ1813" s="28" t="str">
        <f t="shared" si="540"/>
        <v>CancelCancelJPY</v>
      </c>
      <c r="AR1813" s="206" t="str">
        <f t="shared" si="541"/>
        <v>YAMAHA_Mounter</v>
      </c>
      <c r="AS1813" s="22" t="str">
        <f t="shared" si="542"/>
        <v/>
      </c>
      <c r="AT1813" s="24" t="str">
        <f t="shared" si="543"/>
        <v/>
      </c>
      <c r="AU1813" s="22" t="s">
        <v>3744</v>
      </c>
    </row>
    <row r="1814" spans="1:47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535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545"/>
        <v>12000000</v>
      </c>
      <c r="AA1814" s="13">
        <v>7.3400000000000007E-2</v>
      </c>
      <c r="AB1814" s="21">
        <f t="shared" si="529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0"/>
        <v>29183109.05575221</v>
      </c>
      <c r="AJ1814" s="19">
        <f t="shared" si="531"/>
        <v>3741266.5648721238</v>
      </c>
      <c r="AK1814" s="20">
        <f t="shared" si="538"/>
        <v>0.12819972531798121</v>
      </c>
      <c r="AL1814" s="17"/>
      <c r="AM1814" s="17"/>
      <c r="AN1814" s="17"/>
      <c r="AO1814" s="17"/>
      <c r="AP1814" s="28" t="str">
        <f t="shared" si="539"/>
        <v>20206</v>
      </c>
      <c r="AQ1814" s="28" t="str">
        <f t="shared" si="540"/>
        <v>20206JPY</v>
      </c>
      <c r="AR1814" s="206" t="str">
        <f t="shared" si="541"/>
        <v>YAMAHA_Mounter</v>
      </c>
      <c r="AS1814" s="22">
        <f t="shared" si="542"/>
        <v>0</v>
      </c>
      <c r="AT1814" s="24" t="str">
        <f t="shared" si="543"/>
        <v>0-3 months</v>
      </c>
      <c r="AU1814" s="22" t="s">
        <v>3744</v>
      </c>
    </row>
    <row r="1815" spans="1:47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535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545"/>
        <v>8200000</v>
      </c>
      <c r="AA1815" s="13">
        <v>7.3400000000000007E-2</v>
      </c>
      <c r="AB1815" s="21">
        <f t="shared" si="529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0"/>
        <v>29183109.05575221</v>
      </c>
      <c r="AJ1815" s="19">
        <f t="shared" si="531"/>
        <v>3741266.5648721238</v>
      </c>
      <c r="AK1815" s="20">
        <f t="shared" si="538"/>
        <v>0.12819972531798121</v>
      </c>
      <c r="AL1815" s="17"/>
      <c r="AM1815" s="17"/>
      <c r="AN1815" s="17"/>
      <c r="AO1815" s="17"/>
      <c r="AP1815" s="28" t="str">
        <f t="shared" si="539"/>
        <v>20206</v>
      </c>
      <c r="AQ1815" s="28" t="str">
        <f t="shared" si="540"/>
        <v>20206JPY</v>
      </c>
      <c r="AR1815" s="206" t="str">
        <f t="shared" si="541"/>
        <v>YAMAHA_Mounter</v>
      </c>
      <c r="AS1815" s="22">
        <f t="shared" si="542"/>
        <v>0</v>
      </c>
      <c r="AT1815" s="24" t="str">
        <f t="shared" si="543"/>
        <v>0-3 months</v>
      </c>
      <c r="AU1815" s="22" t="s">
        <v>3744</v>
      </c>
    </row>
    <row r="1816" spans="1:47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534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535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546">IF(W1816="RMB","1.13", "1")</f>
        <v>1</v>
      </c>
      <c r="Z1816" s="18">
        <f t="shared" si="545"/>
        <v>13450000</v>
      </c>
      <c r="AA1816" s="13">
        <v>6.25E-2</v>
      </c>
      <c r="AB1816" s="21">
        <f t="shared" si="529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0"/>
        <v>499582152.5142017</v>
      </c>
      <c r="AJ1816" s="19">
        <f t="shared" si="531"/>
        <v>59520528.679470733</v>
      </c>
      <c r="AK1816" s="20">
        <f t="shared" si="538"/>
        <v>0.11914062257814291</v>
      </c>
      <c r="AL1816" s="17"/>
      <c r="AM1816" s="17"/>
      <c r="AN1816" s="17"/>
      <c r="AO1816" s="17"/>
      <c r="AP1816" s="28" t="str">
        <f t="shared" si="539"/>
        <v>CancelCancel</v>
      </c>
      <c r="AQ1816" s="28" t="str">
        <f t="shared" si="540"/>
        <v>CancelCancelJPY</v>
      </c>
      <c r="AR1816" s="206" t="str">
        <f t="shared" si="541"/>
        <v>YAMAHA_Mounter</v>
      </c>
      <c r="AS1816" s="22" t="str">
        <f t="shared" si="542"/>
        <v/>
      </c>
      <c r="AT1816" s="24" t="str">
        <f t="shared" si="543"/>
        <v/>
      </c>
      <c r="AU1816" s="22" t="s">
        <v>3745</v>
      </c>
    </row>
    <row r="1817" spans="1:47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534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535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546"/>
        <v>1</v>
      </c>
      <c r="Z1817" s="18">
        <f t="shared" si="545"/>
        <v>13450000</v>
      </c>
      <c r="AA1817" s="13">
        <v>6.25E-2</v>
      </c>
      <c r="AB1817" s="21">
        <f t="shared" si="529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0"/>
        <v>499582152.5142017</v>
      </c>
      <c r="AJ1817" s="19">
        <f t="shared" si="531"/>
        <v>59520528.679470733</v>
      </c>
      <c r="AK1817" s="20">
        <f t="shared" si="538"/>
        <v>0.11914062257814291</v>
      </c>
      <c r="AL1817" s="17"/>
      <c r="AM1817" s="17"/>
      <c r="AN1817" s="17"/>
      <c r="AO1817" s="17"/>
      <c r="AP1817" s="28" t="str">
        <f t="shared" si="539"/>
        <v>CancelCancel</v>
      </c>
      <c r="AQ1817" s="28" t="str">
        <f t="shared" si="540"/>
        <v>CancelCancelJPY</v>
      </c>
      <c r="AR1817" s="206" t="str">
        <f t="shared" si="541"/>
        <v>YAMAHA_Mounter</v>
      </c>
      <c r="AS1817" s="22" t="str">
        <f t="shared" si="542"/>
        <v/>
      </c>
      <c r="AT1817" s="24" t="str">
        <f t="shared" si="543"/>
        <v/>
      </c>
      <c r="AU1817" s="22" t="s">
        <v>3745</v>
      </c>
    </row>
    <row r="1818" spans="1:47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534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535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546"/>
        <v>1</v>
      </c>
      <c r="Z1818" s="18">
        <f t="shared" si="545"/>
        <v>13450000</v>
      </c>
      <c r="AA1818" s="13">
        <v>6.25E-2</v>
      </c>
      <c r="AB1818" s="21">
        <f t="shared" si="529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0"/>
        <v>499582152.5142017</v>
      </c>
      <c r="AJ1818" s="19">
        <f t="shared" si="531"/>
        <v>59520528.679470733</v>
      </c>
      <c r="AK1818" s="20">
        <f t="shared" si="538"/>
        <v>0.11914062257814291</v>
      </c>
      <c r="AL1818" s="17"/>
      <c r="AM1818" s="17"/>
      <c r="AN1818" s="17"/>
      <c r="AO1818" s="17"/>
      <c r="AP1818" s="28" t="str">
        <f t="shared" si="539"/>
        <v>CancelCancel</v>
      </c>
      <c r="AQ1818" s="28" t="str">
        <f t="shared" si="540"/>
        <v>CancelCancelJPY</v>
      </c>
      <c r="AR1818" s="206" t="str">
        <f t="shared" si="541"/>
        <v>YAMAHA_Mounter</v>
      </c>
      <c r="AS1818" s="22" t="str">
        <f t="shared" si="542"/>
        <v/>
      </c>
      <c r="AT1818" s="24" t="str">
        <f t="shared" si="543"/>
        <v/>
      </c>
      <c r="AU1818" s="22" t="s">
        <v>3745</v>
      </c>
    </row>
    <row r="1819" spans="1:47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534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535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546"/>
        <v>1</v>
      </c>
      <c r="Z1819" s="18">
        <f t="shared" si="545"/>
        <v>13450000</v>
      </c>
      <c r="AA1819" s="13">
        <v>6.25E-2</v>
      </c>
      <c r="AB1819" s="21">
        <f t="shared" si="529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0"/>
        <v>499582152.5142017</v>
      </c>
      <c r="AJ1819" s="19">
        <f t="shared" si="531"/>
        <v>59520528.679470733</v>
      </c>
      <c r="AK1819" s="20">
        <f t="shared" si="538"/>
        <v>0.11914062257814291</v>
      </c>
      <c r="AL1819" s="17"/>
      <c r="AM1819" s="17"/>
      <c r="AN1819" s="17"/>
      <c r="AO1819" s="17"/>
      <c r="AP1819" s="28" t="str">
        <f t="shared" si="539"/>
        <v>CancelCancel</v>
      </c>
      <c r="AQ1819" s="28" t="str">
        <f t="shared" si="540"/>
        <v>CancelCancelJPY</v>
      </c>
      <c r="AR1819" s="206" t="str">
        <f t="shared" si="541"/>
        <v>YAMAHA_Mounter</v>
      </c>
      <c r="AS1819" s="22" t="str">
        <f t="shared" si="542"/>
        <v/>
      </c>
      <c r="AT1819" s="24" t="str">
        <f t="shared" si="543"/>
        <v/>
      </c>
      <c r="AU1819" s="22" t="s">
        <v>3745</v>
      </c>
    </row>
    <row r="1820" spans="1:47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534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535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546"/>
        <v>1</v>
      </c>
      <c r="Z1820" s="18">
        <f t="shared" si="545"/>
        <v>9000000</v>
      </c>
      <c r="AA1820" s="13">
        <v>6.25E-2</v>
      </c>
      <c r="AB1820" s="21">
        <f t="shared" si="529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0"/>
        <v>499582152.5142017</v>
      </c>
      <c r="AJ1820" s="19">
        <f t="shared" si="531"/>
        <v>59520528.679470733</v>
      </c>
      <c r="AK1820" s="20">
        <f t="shared" si="538"/>
        <v>0.11914062257814291</v>
      </c>
      <c r="AL1820" s="17"/>
      <c r="AM1820" s="17"/>
      <c r="AN1820" s="17"/>
      <c r="AO1820" s="17"/>
      <c r="AP1820" s="28" t="str">
        <f t="shared" si="539"/>
        <v>CancelCancel</v>
      </c>
      <c r="AQ1820" s="28" t="str">
        <f t="shared" si="540"/>
        <v>CancelCancelJPY</v>
      </c>
      <c r="AR1820" s="206" t="str">
        <f t="shared" si="541"/>
        <v>YAMAHA_Mounter</v>
      </c>
      <c r="AS1820" s="22" t="str">
        <f t="shared" si="542"/>
        <v/>
      </c>
      <c r="AT1820" s="24" t="str">
        <f t="shared" si="543"/>
        <v/>
      </c>
      <c r="AU1820" s="22" t="s">
        <v>3745</v>
      </c>
    </row>
    <row r="1821" spans="1:47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534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535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546"/>
        <v>1</v>
      </c>
      <c r="Z1821" s="18">
        <f t="shared" si="545"/>
        <v>9000000</v>
      </c>
      <c r="AA1821" s="13">
        <v>6.25E-2</v>
      </c>
      <c r="AB1821" s="21">
        <f t="shared" si="529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0"/>
        <v>499582152.5142017</v>
      </c>
      <c r="AJ1821" s="19">
        <f t="shared" si="531"/>
        <v>59520528.679470733</v>
      </c>
      <c r="AK1821" s="20">
        <f t="shared" si="538"/>
        <v>0.11914062257814291</v>
      </c>
      <c r="AL1821" s="17"/>
      <c r="AM1821" s="17"/>
      <c r="AN1821" s="17"/>
      <c r="AO1821" s="17"/>
      <c r="AP1821" s="28" t="str">
        <f t="shared" si="539"/>
        <v>CancelCancel</v>
      </c>
      <c r="AQ1821" s="28" t="str">
        <f t="shared" si="540"/>
        <v>CancelCancelJPY</v>
      </c>
      <c r="AR1821" s="206" t="str">
        <f t="shared" si="541"/>
        <v>YAMAHA_Mounter</v>
      </c>
      <c r="AS1821" s="22" t="str">
        <f t="shared" si="542"/>
        <v/>
      </c>
      <c r="AT1821" s="24" t="str">
        <f t="shared" si="543"/>
        <v/>
      </c>
      <c r="AU1821" s="22" t="s">
        <v>3745</v>
      </c>
    </row>
    <row r="1822" spans="1:47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534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535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546"/>
        <v>1</v>
      </c>
      <c r="Z1822" s="18">
        <f t="shared" si="545"/>
        <v>9000000</v>
      </c>
      <c r="AA1822" s="13">
        <v>6.25E-2</v>
      </c>
      <c r="AB1822" s="21">
        <f t="shared" si="529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0"/>
        <v>499582152.5142017</v>
      </c>
      <c r="AJ1822" s="19">
        <f t="shared" si="531"/>
        <v>59520528.679470733</v>
      </c>
      <c r="AK1822" s="20">
        <f t="shared" si="538"/>
        <v>0.11914062257814291</v>
      </c>
      <c r="AL1822" s="17"/>
      <c r="AM1822" s="17"/>
      <c r="AN1822" s="17"/>
      <c r="AO1822" s="17"/>
      <c r="AP1822" s="28" t="str">
        <f t="shared" si="539"/>
        <v>CancelCancel</v>
      </c>
      <c r="AQ1822" s="28" t="str">
        <f t="shared" si="540"/>
        <v>CancelCancelJPY</v>
      </c>
      <c r="AR1822" s="206" t="str">
        <f t="shared" si="541"/>
        <v>YAMAHA_Mounter</v>
      </c>
      <c r="AS1822" s="22" t="str">
        <f t="shared" si="542"/>
        <v/>
      </c>
      <c r="AT1822" s="24" t="str">
        <f t="shared" si="543"/>
        <v/>
      </c>
      <c r="AU1822" s="22" t="s">
        <v>3745</v>
      </c>
    </row>
    <row r="1823" spans="1:47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534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535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546"/>
        <v>1</v>
      </c>
      <c r="Z1823" s="18">
        <f t="shared" si="545"/>
        <v>9000000</v>
      </c>
      <c r="AA1823" s="13">
        <v>6.25E-2</v>
      </c>
      <c r="AB1823" s="21">
        <f t="shared" si="529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0"/>
        <v>499582152.5142017</v>
      </c>
      <c r="AJ1823" s="19">
        <f t="shared" si="531"/>
        <v>59520528.679470733</v>
      </c>
      <c r="AK1823" s="20">
        <f t="shared" si="538"/>
        <v>0.11914062257814291</v>
      </c>
      <c r="AL1823" s="17"/>
      <c r="AM1823" s="17"/>
      <c r="AN1823" s="17"/>
      <c r="AO1823" s="17"/>
      <c r="AP1823" s="28" t="str">
        <f t="shared" si="539"/>
        <v>CancelCancel</v>
      </c>
      <c r="AQ1823" s="28" t="str">
        <f t="shared" si="540"/>
        <v>CancelCancelJPY</v>
      </c>
      <c r="AR1823" s="206" t="str">
        <f t="shared" si="541"/>
        <v>YAMAHA_Mounter</v>
      </c>
      <c r="AS1823" s="22" t="str">
        <f t="shared" si="542"/>
        <v/>
      </c>
      <c r="AT1823" s="24" t="str">
        <f t="shared" si="543"/>
        <v/>
      </c>
      <c r="AU1823" s="22" t="s">
        <v>3745</v>
      </c>
    </row>
    <row r="1824" spans="1:47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534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535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546"/>
        <v>1</v>
      </c>
      <c r="Z1824" s="18">
        <f t="shared" si="545"/>
        <v>13450000</v>
      </c>
      <c r="AA1824" s="13">
        <v>7.4499999999999997E-2</v>
      </c>
      <c r="AB1824" s="21">
        <f t="shared" si="529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0"/>
        <v>499582152.5142017</v>
      </c>
      <c r="AJ1824" s="19">
        <f t="shared" si="531"/>
        <v>59520528.679470733</v>
      </c>
      <c r="AK1824" s="20">
        <f t="shared" si="538"/>
        <v>0.11914062257814291</v>
      </c>
      <c r="AL1824" s="17"/>
      <c r="AM1824" s="17"/>
      <c r="AN1824" s="17"/>
      <c r="AO1824" s="17"/>
      <c r="AP1824" s="28" t="str">
        <f t="shared" si="539"/>
        <v>CancelCancel</v>
      </c>
      <c r="AQ1824" s="28" t="str">
        <f t="shared" si="540"/>
        <v>CancelCancelJPY</v>
      </c>
      <c r="AR1824" s="206" t="str">
        <f t="shared" si="541"/>
        <v>YAMAHA_Mounter</v>
      </c>
      <c r="AS1824" s="22" t="str">
        <f t="shared" si="542"/>
        <v/>
      </c>
      <c r="AT1824" s="24" t="str">
        <f t="shared" si="543"/>
        <v/>
      </c>
      <c r="AU1824" s="22" t="s">
        <v>3745</v>
      </c>
    </row>
    <row r="1825" spans="1:47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534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535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546"/>
        <v>1</v>
      </c>
      <c r="Z1825" s="18">
        <f t="shared" si="545"/>
        <v>13450000</v>
      </c>
      <c r="AA1825" s="13">
        <v>7.4499999999999997E-2</v>
      </c>
      <c r="AB1825" s="21">
        <f t="shared" si="529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0"/>
        <v>499582152.5142017</v>
      </c>
      <c r="AJ1825" s="19">
        <f t="shared" si="531"/>
        <v>59520528.679470733</v>
      </c>
      <c r="AK1825" s="20">
        <f t="shared" si="538"/>
        <v>0.11914062257814291</v>
      </c>
      <c r="AL1825" s="17"/>
      <c r="AM1825" s="17"/>
      <c r="AN1825" s="17"/>
      <c r="AO1825" s="17"/>
      <c r="AP1825" s="28" t="str">
        <f t="shared" si="539"/>
        <v>CancelCancel</v>
      </c>
      <c r="AQ1825" s="28" t="str">
        <f t="shared" si="540"/>
        <v>CancelCancelJPY</v>
      </c>
      <c r="AR1825" s="206" t="str">
        <f t="shared" si="541"/>
        <v>YAMAHA_Mounter</v>
      </c>
      <c r="AS1825" s="22" t="str">
        <f t="shared" si="542"/>
        <v/>
      </c>
      <c r="AT1825" s="24" t="str">
        <f t="shared" si="543"/>
        <v/>
      </c>
      <c r="AU1825" s="22" t="s">
        <v>3745</v>
      </c>
    </row>
    <row r="1826" spans="1:47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534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535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546"/>
        <v>1</v>
      </c>
      <c r="Z1826" s="18">
        <f t="shared" si="545"/>
        <v>13450000</v>
      </c>
      <c r="AA1826" s="13">
        <v>7.4499999999999997E-2</v>
      </c>
      <c r="AB1826" s="21">
        <f t="shared" si="529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0"/>
        <v>499582152.5142017</v>
      </c>
      <c r="AJ1826" s="19">
        <f t="shared" si="531"/>
        <v>59520528.679470733</v>
      </c>
      <c r="AK1826" s="20">
        <f t="shared" si="538"/>
        <v>0.11914062257814291</v>
      </c>
      <c r="AL1826" s="17"/>
      <c r="AM1826" s="17"/>
      <c r="AN1826" s="17"/>
      <c r="AO1826" s="17"/>
      <c r="AP1826" s="28" t="str">
        <f t="shared" si="539"/>
        <v>CancelCancel</v>
      </c>
      <c r="AQ1826" s="28" t="str">
        <f t="shared" si="540"/>
        <v>CancelCancelJPY</v>
      </c>
      <c r="AR1826" s="206" t="str">
        <f t="shared" si="541"/>
        <v>YAMAHA_Mounter</v>
      </c>
      <c r="AS1826" s="22" t="str">
        <f t="shared" si="542"/>
        <v/>
      </c>
      <c r="AT1826" s="24" t="str">
        <f t="shared" si="543"/>
        <v/>
      </c>
      <c r="AU1826" s="22" t="s">
        <v>3745</v>
      </c>
    </row>
    <row r="1827" spans="1:47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534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535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546"/>
        <v>1</v>
      </c>
      <c r="Z1827" s="18">
        <f t="shared" si="545"/>
        <v>13450000</v>
      </c>
      <c r="AA1827" s="13">
        <v>7.4499999999999997E-2</v>
      </c>
      <c r="AB1827" s="21">
        <f t="shared" si="529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0"/>
        <v>499582152.5142017</v>
      </c>
      <c r="AJ1827" s="19">
        <f t="shared" si="531"/>
        <v>59520528.679470733</v>
      </c>
      <c r="AK1827" s="20">
        <f t="shared" si="538"/>
        <v>0.11914062257814291</v>
      </c>
      <c r="AL1827" s="17"/>
      <c r="AM1827" s="17"/>
      <c r="AN1827" s="17"/>
      <c r="AO1827" s="17"/>
      <c r="AP1827" s="28" t="str">
        <f t="shared" si="539"/>
        <v>CancelCancel</v>
      </c>
      <c r="AQ1827" s="28" t="str">
        <f t="shared" si="540"/>
        <v>CancelCancelJPY</v>
      </c>
      <c r="AR1827" s="206" t="str">
        <f t="shared" si="541"/>
        <v>YAMAHA_Mounter</v>
      </c>
      <c r="AS1827" s="22" t="str">
        <f t="shared" si="542"/>
        <v/>
      </c>
      <c r="AT1827" s="24" t="str">
        <f t="shared" si="543"/>
        <v/>
      </c>
      <c r="AU1827" s="22" t="s">
        <v>3745</v>
      </c>
    </row>
    <row r="1828" spans="1:47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534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535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546"/>
        <v>1</v>
      </c>
      <c r="Z1828" s="18">
        <f t="shared" si="545"/>
        <v>9000000</v>
      </c>
      <c r="AA1828" s="13">
        <v>7.4499999999999997E-2</v>
      </c>
      <c r="AB1828" s="21">
        <f t="shared" si="529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0"/>
        <v>499582152.5142017</v>
      </c>
      <c r="AJ1828" s="19">
        <f t="shared" si="531"/>
        <v>59520528.679470733</v>
      </c>
      <c r="AK1828" s="20">
        <f t="shared" si="538"/>
        <v>0.11914062257814291</v>
      </c>
      <c r="AL1828" s="17"/>
      <c r="AM1828" s="17"/>
      <c r="AN1828" s="17"/>
      <c r="AO1828" s="17"/>
      <c r="AP1828" s="28" t="str">
        <f t="shared" si="539"/>
        <v>CancelCancel</v>
      </c>
      <c r="AQ1828" s="28" t="str">
        <f t="shared" si="540"/>
        <v>CancelCancelJPY</v>
      </c>
      <c r="AR1828" s="206" t="str">
        <f t="shared" si="541"/>
        <v>YAMAHA_Mounter</v>
      </c>
      <c r="AS1828" s="22" t="str">
        <f t="shared" si="542"/>
        <v/>
      </c>
      <c r="AT1828" s="24" t="str">
        <f t="shared" si="543"/>
        <v/>
      </c>
      <c r="AU1828" s="22" t="s">
        <v>3745</v>
      </c>
    </row>
    <row r="1829" spans="1:47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534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535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546"/>
        <v>1</v>
      </c>
      <c r="Z1829" s="18">
        <f t="shared" si="545"/>
        <v>9000000</v>
      </c>
      <c r="AA1829" s="13">
        <v>7.4499999999999997E-2</v>
      </c>
      <c r="AB1829" s="21">
        <f t="shared" si="529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0"/>
        <v>499582152.5142017</v>
      </c>
      <c r="AJ1829" s="19">
        <f t="shared" si="531"/>
        <v>59520528.679470733</v>
      </c>
      <c r="AK1829" s="20">
        <f t="shared" si="538"/>
        <v>0.11914062257814291</v>
      </c>
      <c r="AL1829" s="17"/>
      <c r="AM1829" s="17"/>
      <c r="AN1829" s="17"/>
      <c r="AO1829" s="17"/>
      <c r="AP1829" s="28" t="str">
        <f t="shared" si="539"/>
        <v>CancelCancel</v>
      </c>
      <c r="AQ1829" s="28" t="str">
        <f t="shared" si="540"/>
        <v>CancelCancelJPY</v>
      </c>
      <c r="AR1829" s="206" t="str">
        <f t="shared" si="541"/>
        <v>YAMAHA_Mounter</v>
      </c>
      <c r="AS1829" s="22" t="str">
        <f t="shared" si="542"/>
        <v/>
      </c>
      <c r="AT1829" s="24" t="str">
        <f t="shared" si="543"/>
        <v/>
      </c>
      <c r="AU1829" s="22" t="s">
        <v>3745</v>
      </c>
    </row>
    <row r="1830" spans="1:47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534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535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546"/>
        <v>1</v>
      </c>
      <c r="Z1830" s="18">
        <f t="shared" si="545"/>
        <v>9000000</v>
      </c>
      <c r="AA1830" s="13">
        <v>7.4499999999999997E-2</v>
      </c>
      <c r="AB1830" s="21">
        <f t="shared" si="529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0"/>
        <v>499582152.5142017</v>
      </c>
      <c r="AJ1830" s="19">
        <f t="shared" si="531"/>
        <v>59520528.679470733</v>
      </c>
      <c r="AK1830" s="20">
        <f t="shared" si="538"/>
        <v>0.11914062257814291</v>
      </c>
      <c r="AL1830" s="17"/>
      <c r="AM1830" s="17"/>
      <c r="AN1830" s="17"/>
      <c r="AO1830" s="17"/>
      <c r="AP1830" s="28" t="str">
        <f t="shared" si="539"/>
        <v>CancelCancel</v>
      </c>
      <c r="AQ1830" s="28" t="str">
        <f t="shared" si="540"/>
        <v>CancelCancelJPY</v>
      </c>
      <c r="AR1830" s="206" t="str">
        <f t="shared" si="541"/>
        <v>YAMAHA_Mounter</v>
      </c>
      <c r="AS1830" s="22" t="str">
        <f t="shared" si="542"/>
        <v/>
      </c>
      <c r="AT1830" s="24" t="str">
        <f t="shared" si="543"/>
        <v/>
      </c>
      <c r="AU1830" s="22" t="s">
        <v>3745</v>
      </c>
    </row>
    <row r="1831" spans="1:47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534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535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546"/>
        <v>1</v>
      </c>
      <c r="Z1831" s="18">
        <f t="shared" si="545"/>
        <v>9000000</v>
      </c>
      <c r="AA1831" s="13">
        <v>7.4499999999999997E-2</v>
      </c>
      <c r="AB1831" s="21">
        <f t="shared" si="529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0"/>
        <v>499582152.5142017</v>
      </c>
      <c r="AJ1831" s="19">
        <f t="shared" si="531"/>
        <v>59520528.679470733</v>
      </c>
      <c r="AK1831" s="20">
        <f t="shared" si="538"/>
        <v>0.11914062257814291</v>
      </c>
      <c r="AL1831" s="17"/>
      <c r="AM1831" s="17"/>
      <c r="AN1831" s="17"/>
      <c r="AO1831" s="17"/>
      <c r="AP1831" s="28" t="str">
        <f t="shared" si="539"/>
        <v>CancelCancel</v>
      </c>
      <c r="AQ1831" s="28" t="str">
        <f t="shared" si="540"/>
        <v>CancelCancelJPY</v>
      </c>
      <c r="AR1831" s="206" t="str">
        <f t="shared" si="541"/>
        <v>YAMAHA_Mounter</v>
      </c>
      <c r="AS1831" s="22" t="str">
        <f t="shared" si="542"/>
        <v/>
      </c>
      <c r="AT1831" s="24" t="str">
        <f t="shared" si="543"/>
        <v/>
      </c>
      <c r="AU1831" s="22" t="s">
        <v>3745</v>
      </c>
    </row>
    <row r="1832" spans="1:47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535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546"/>
        <v>1</v>
      </c>
      <c r="Z1832" s="18">
        <f t="shared" si="545"/>
        <v>13450000</v>
      </c>
      <c r="AA1832" s="13">
        <v>7.4499999999999997E-2</v>
      </c>
      <c r="AB1832" s="21">
        <f t="shared" si="529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0"/>
        <v>57778307.282035396</v>
      </c>
      <c r="AJ1832" s="19">
        <f t="shared" si="531"/>
        <v>7259860.7225420559</v>
      </c>
      <c r="AK1832" s="20">
        <f t="shared" si="538"/>
        <v>0.12565028406083667</v>
      </c>
      <c r="AL1832" s="17"/>
      <c r="AM1832" s="17"/>
      <c r="AN1832" s="17"/>
      <c r="AO1832" s="17"/>
      <c r="AP1832" s="28" t="str">
        <f t="shared" si="539"/>
        <v>20213</v>
      </c>
      <c r="AQ1832" s="28" t="str">
        <f t="shared" si="540"/>
        <v>20213JPY</v>
      </c>
      <c r="AR1832" s="206" t="str">
        <f t="shared" si="541"/>
        <v>YAMAHA_Mounter</v>
      </c>
      <c r="AS1832" s="22">
        <f t="shared" si="542"/>
        <v>2</v>
      </c>
      <c r="AT1832" s="24" t="str">
        <f t="shared" si="543"/>
        <v>0-3 months</v>
      </c>
      <c r="AU1832" s="22" t="s">
        <v>3745</v>
      </c>
    </row>
    <row r="1833" spans="1:47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535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546"/>
        <v>1</v>
      </c>
      <c r="Z1833" s="18">
        <f t="shared" si="545"/>
        <v>13450000</v>
      </c>
      <c r="AA1833" s="13">
        <v>7.4499999999999997E-2</v>
      </c>
      <c r="AB1833" s="21">
        <f t="shared" si="529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0"/>
        <v>57778307.282035396</v>
      </c>
      <c r="AJ1833" s="19">
        <f t="shared" si="531"/>
        <v>7259860.7225420559</v>
      </c>
      <c r="AK1833" s="20">
        <f t="shared" si="538"/>
        <v>0.12565028406083667</v>
      </c>
      <c r="AL1833" s="17"/>
      <c r="AM1833" s="17"/>
      <c r="AN1833" s="17"/>
      <c r="AO1833" s="17"/>
      <c r="AP1833" s="28" t="str">
        <f t="shared" si="539"/>
        <v>20213</v>
      </c>
      <c r="AQ1833" s="28" t="str">
        <f t="shared" si="540"/>
        <v>20213JPY</v>
      </c>
      <c r="AR1833" s="206" t="str">
        <f t="shared" si="541"/>
        <v>YAMAHA_Mounter</v>
      </c>
      <c r="AS1833" s="22">
        <f t="shared" si="542"/>
        <v>2</v>
      </c>
      <c r="AT1833" s="24" t="str">
        <f t="shared" si="543"/>
        <v>0-3 months</v>
      </c>
      <c r="AU1833" s="22" t="s">
        <v>3745</v>
      </c>
    </row>
    <row r="1834" spans="1:47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535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546"/>
        <v>1</v>
      </c>
      <c r="Z1834" s="18">
        <f t="shared" si="545"/>
        <v>13450000</v>
      </c>
      <c r="AA1834" s="13">
        <v>7.4499999999999997E-2</v>
      </c>
      <c r="AB1834" s="21">
        <f t="shared" si="529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0"/>
        <v>57778307.282035396</v>
      </c>
      <c r="AJ1834" s="19">
        <f t="shared" si="531"/>
        <v>7259860.7225420559</v>
      </c>
      <c r="AK1834" s="20">
        <f t="shared" si="538"/>
        <v>0.12565028406083667</v>
      </c>
      <c r="AL1834" s="17"/>
      <c r="AM1834" s="17"/>
      <c r="AN1834" s="17"/>
      <c r="AO1834" s="17"/>
      <c r="AP1834" s="28" t="str">
        <f t="shared" si="539"/>
        <v>20213</v>
      </c>
      <c r="AQ1834" s="28" t="str">
        <f t="shared" si="540"/>
        <v>20213JPY</v>
      </c>
      <c r="AR1834" s="206" t="str">
        <f t="shared" si="541"/>
        <v>YAMAHA_Mounter</v>
      </c>
      <c r="AS1834" s="22">
        <f t="shared" si="542"/>
        <v>2</v>
      </c>
      <c r="AT1834" s="24" t="str">
        <f t="shared" si="543"/>
        <v>0-3 months</v>
      </c>
      <c r="AU1834" s="22" t="s">
        <v>3745</v>
      </c>
    </row>
    <row r="1835" spans="1:47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535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546"/>
        <v>1</v>
      </c>
      <c r="Z1835" s="18">
        <f t="shared" si="545"/>
        <v>13450000</v>
      </c>
      <c r="AA1835" s="13">
        <v>7.4499999999999997E-2</v>
      </c>
      <c r="AB1835" s="21">
        <f t="shared" si="529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0"/>
        <v>57778307.282035396</v>
      </c>
      <c r="AJ1835" s="19">
        <f t="shared" si="531"/>
        <v>7259860.7225420559</v>
      </c>
      <c r="AK1835" s="20">
        <f t="shared" si="538"/>
        <v>0.12565028406083667</v>
      </c>
      <c r="AL1835" s="17"/>
      <c r="AM1835" s="17"/>
      <c r="AN1835" s="17"/>
      <c r="AO1835" s="17"/>
      <c r="AP1835" s="28" t="str">
        <f t="shared" si="539"/>
        <v>20213</v>
      </c>
      <c r="AQ1835" s="28" t="str">
        <f t="shared" si="540"/>
        <v>20213JPY</v>
      </c>
      <c r="AR1835" s="206" t="str">
        <f t="shared" si="541"/>
        <v>YAMAHA_Mounter</v>
      </c>
      <c r="AS1835" s="22">
        <f t="shared" si="542"/>
        <v>2</v>
      </c>
      <c r="AT1835" s="24" t="str">
        <f t="shared" si="543"/>
        <v>0-3 months</v>
      </c>
      <c r="AU1835" s="22" t="s">
        <v>3745</v>
      </c>
    </row>
    <row r="1836" spans="1:47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535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546"/>
        <v>1</v>
      </c>
      <c r="Z1836" s="18">
        <f t="shared" si="545"/>
        <v>9000000</v>
      </c>
      <c r="AA1836" s="13">
        <v>7.4499999999999997E-2</v>
      </c>
      <c r="AB1836" s="21">
        <f t="shared" si="529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0"/>
        <v>57778307.282035396</v>
      </c>
      <c r="AJ1836" s="19">
        <f t="shared" si="531"/>
        <v>7259860.7225420559</v>
      </c>
      <c r="AK1836" s="20">
        <f t="shared" si="538"/>
        <v>0.12565028406083667</v>
      </c>
      <c r="AL1836" s="17"/>
      <c r="AM1836" s="17"/>
      <c r="AN1836" s="17"/>
      <c r="AO1836" s="17"/>
      <c r="AP1836" s="28" t="str">
        <f t="shared" si="539"/>
        <v>20213</v>
      </c>
      <c r="AQ1836" s="28" t="str">
        <f t="shared" si="540"/>
        <v>20213JPY</v>
      </c>
      <c r="AR1836" s="206" t="str">
        <f t="shared" si="541"/>
        <v>YAMAHA_Mounter</v>
      </c>
      <c r="AS1836" s="22">
        <f t="shared" si="542"/>
        <v>2</v>
      </c>
      <c r="AT1836" s="24" t="str">
        <f t="shared" si="543"/>
        <v>0-3 months</v>
      </c>
      <c r="AU1836" s="22" t="s">
        <v>3745</v>
      </c>
    </row>
    <row r="1837" spans="1:47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535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546"/>
        <v>1</v>
      </c>
      <c r="Z1837" s="18">
        <f t="shared" si="545"/>
        <v>9000000</v>
      </c>
      <c r="AA1837" s="13">
        <v>7.4499999999999997E-2</v>
      </c>
      <c r="AB1837" s="21">
        <f t="shared" si="529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0"/>
        <v>57778307.282035396</v>
      </c>
      <c r="AJ1837" s="19">
        <f t="shared" si="531"/>
        <v>7259860.7225420559</v>
      </c>
      <c r="AK1837" s="20">
        <f t="shared" si="538"/>
        <v>0.12565028406083667</v>
      </c>
      <c r="AL1837" s="17"/>
      <c r="AM1837" s="17"/>
      <c r="AN1837" s="17"/>
      <c r="AO1837" s="17"/>
      <c r="AP1837" s="28" t="str">
        <f t="shared" si="539"/>
        <v>20213</v>
      </c>
      <c r="AQ1837" s="28" t="str">
        <f t="shared" si="540"/>
        <v>20213JPY</v>
      </c>
      <c r="AR1837" s="206" t="str">
        <f t="shared" si="541"/>
        <v>YAMAHA_Mounter</v>
      </c>
      <c r="AS1837" s="22">
        <f t="shared" si="542"/>
        <v>2</v>
      </c>
      <c r="AT1837" s="24" t="str">
        <f t="shared" si="543"/>
        <v>0-3 months</v>
      </c>
      <c r="AU1837" s="22" t="s">
        <v>3745</v>
      </c>
    </row>
    <row r="1838" spans="1:47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535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546"/>
        <v>1</v>
      </c>
      <c r="Z1838" s="18">
        <f t="shared" si="545"/>
        <v>9000000</v>
      </c>
      <c r="AA1838" s="13">
        <v>7.4499999999999997E-2</v>
      </c>
      <c r="AB1838" s="21">
        <f t="shared" si="529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0"/>
        <v>57778307.282035396</v>
      </c>
      <c r="AJ1838" s="19">
        <f t="shared" si="531"/>
        <v>7259860.7225420559</v>
      </c>
      <c r="AK1838" s="20">
        <f t="shared" si="538"/>
        <v>0.12565028406083667</v>
      </c>
      <c r="AL1838" s="17"/>
      <c r="AM1838" s="17"/>
      <c r="AN1838" s="17"/>
      <c r="AO1838" s="17"/>
      <c r="AP1838" s="28" t="str">
        <f t="shared" si="539"/>
        <v>20213</v>
      </c>
      <c r="AQ1838" s="28" t="str">
        <f t="shared" si="540"/>
        <v>20213JPY</v>
      </c>
      <c r="AR1838" s="206" t="str">
        <f t="shared" si="541"/>
        <v>YAMAHA_Mounter</v>
      </c>
      <c r="AS1838" s="22">
        <f t="shared" si="542"/>
        <v>2</v>
      </c>
      <c r="AT1838" s="24" t="str">
        <f t="shared" si="543"/>
        <v>0-3 months</v>
      </c>
      <c r="AU1838" s="22" t="s">
        <v>3745</v>
      </c>
    </row>
    <row r="1839" spans="1:47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535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546"/>
        <v>1</v>
      </c>
      <c r="Z1839" s="18">
        <f t="shared" si="545"/>
        <v>9000000</v>
      </c>
      <c r="AA1839" s="13">
        <v>7.4499999999999997E-2</v>
      </c>
      <c r="AB1839" s="21">
        <f t="shared" si="529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0"/>
        <v>57778307.282035396</v>
      </c>
      <c r="AJ1839" s="19">
        <f t="shared" si="531"/>
        <v>7259860.7225420559</v>
      </c>
      <c r="AK1839" s="20">
        <f t="shared" si="538"/>
        <v>0.12565028406083667</v>
      </c>
      <c r="AL1839" s="17"/>
      <c r="AM1839" s="17"/>
      <c r="AN1839" s="17"/>
      <c r="AO1839" s="17"/>
      <c r="AP1839" s="28" t="str">
        <f t="shared" si="539"/>
        <v>20213</v>
      </c>
      <c r="AQ1839" s="28" t="str">
        <f t="shared" si="540"/>
        <v>20213JPY</v>
      </c>
      <c r="AR1839" s="206" t="str">
        <f t="shared" si="541"/>
        <v>YAMAHA_Mounter</v>
      </c>
      <c r="AS1839" s="22">
        <f t="shared" si="542"/>
        <v>2</v>
      </c>
      <c r="AT1839" s="24" t="str">
        <f t="shared" si="543"/>
        <v>0-3 months</v>
      </c>
      <c r="AU1839" s="22" t="s">
        <v>3745</v>
      </c>
    </row>
    <row r="1840" spans="1:47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535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546"/>
        <v>1</v>
      </c>
      <c r="Z1840" s="18">
        <f t="shared" si="545"/>
        <v>16500000</v>
      </c>
      <c r="AA1840" s="13">
        <v>6.9199999999999998E-2</v>
      </c>
      <c r="AB1840" s="21">
        <f t="shared" si="529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0"/>
        <v>28726768.133805312</v>
      </c>
      <c r="AJ1840" s="19">
        <f t="shared" si="531"/>
        <v>3853638.1988864429</v>
      </c>
      <c r="AK1840" s="20">
        <f t="shared" si="538"/>
        <v>0.1341479898099476</v>
      </c>
      <c r="AL1840" s="17"/>
      <c r="AM1840" s="17"/>
      <c r="AN1840" s="17"/>
      <c r="AO1840" s="17"/>
      <c r="AP1840" s="28" t="str">
        <f t="shared" si="539"/>
        <v>20223</v>
      </c>
      <c r="AQ1840" s="28" t="str">
        <f t="shared" si="540"/>
        <v>20223JPY</v>
      </c>
      <c r="AR1840" s="206" t="str">
        <f t="shared" si="541"/>
        <v>YAMAHA_Mounter</v>
      </c>
      <c r="AS1840" s="22">
        <f t="shared" si="542"/>
        <v>5</v>
      </c>
      <c r="AT1840" s="24" t="str">
        <f t="shared" si="543"/>
        <v>4-6 months</v>
      </c>
      <c r="AU1840" s="22" t="s">
        <v>3745</v>
      </c>
    </row>
    <row r="1841" spans="1:47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535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546"/>
        <v>1</v>
      </c>
      <c r="Z1841" s="18">
        <f t="shared" si="545"/>
        <v>9000000</v>
      </c>
      <c r="AA1841" s="13">
        <v>6.9199999999999998E-2</v>
      </c>
      <c r="AB1841" s="21">
        <f t="shared" si="529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0"/>
        <v>28726768.133805312</v>
      </c>
      <c r="AJ1841" s="19">
        <f t="shared" si="531"/>
        <v>3853638.1988864429</v>
      </c>
      <c r="AK1841" s="20">
        <f t="shared" si="538"/>
        <v>0.1341479898099476</v>
      </c>
      <c r="AL1841" s="17"/>
      <c r="AM1841" s="17"/>
      <c r="AN1841" s="17"/>
      <c r="AO1841" s="17"/>
      <c r="AP1841" s="28" t="str">
        <f t="shared" si="539"/>
        <v>20223</v>
      </c>
      <c r="AQ1841" s="28" t="str">
        <f t="shared" si="540"/>
        <v>20223JPY</v>
      </c>
      <c r="AR1841" s="206" t="str">
        <f t="shared" si="541"/>
        <v>YAMAHA_Mounter</v>
      </c>
      <c r="AS1841" s="22">
        <f t="shared" si="542"/>
        <v>5</v>
      </c>
      <c r="AT1841" s="24" t="str">
        <f t="shared" si="543"/>
        <v>4-6 months</v>
      </c>
      <c r="AU1841" s="22" t="s">
        <v>3745</v>
      </c>
    </row>
    <row r="1842" spans="1:47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535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546"/>
        <v>1</v>
      </c>
      <c r="Z1842" s="18">
        <f t="shared" si="545"/>
        <v>16500000</v>
      </c>
      <c r="AA1842" s="13">
        <v>6.54E-2</v>
      </c>
      <c r="AB1842" s="21">
        <f t="shared" si="529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0"/>
        <v>46600814.041769907</v>
      </c>
      <c r="AJ1842" s="19">
        <f t="shared" si="531"/>
        <v>5956366.3435927071</v>
      </c>
      <c r="AK1842" s="20">
        <f t="shared" si="538"/>
        <v>0.1278167874546958</v>
      </c>
      <c r="AL1842" s="17"/>
      <c r="AM1842" s="17"/>
      <c r="AN1842" s="17"/>
      <c r="AO1842" s="17"/>
      <c r="AP1842" s="28" t="str">
        <f t="shared" si="539"/>
        <v>20224</v>
      </c>
      <c r="AQ1842" s="28" t="str">
        <f t="shared" si="540"/>
        <v>20224JPY</v>
      </c>
      <c r="AR1842" s="206" t="str">
        <f t="shared" si="541"/>
        <v>YAMAHA_Mounter</v>
      </c>
      <c r="AS1842" s="22">
        <f t="shared" si="542"/>
        <v>6</v>
      </c>
      <c r="AT1842" s="24" t="str">
        <f t="shared" si="543"/>
        <v>4-6 months</v>
      </c>
      <c r="AU1842" s="22" t="s">
        <v>3745</v>
      </c>
    </row>
    <row r="1843" spans="1:47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535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546"/>
        <v>1</v>
      </c>
      <c r="Z1843" s="18">
        <f t="shared" si="545"/>
        <v>9000000</v>
      </c>
      <c r="AA1843" s="13">
        <v>6.54E-2</v>
      </c>
      <c r="AB1843" s="21">
        <f t="shared" si="529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0"/>
        <v>46600814.041769907</v>
      </c>
      <c r="AJ1843" s="19">
        <f t="shared" si="531"/>
        <v>5956366.3435927071</v>
      </c>
      <c r="AK1843" s="20">
        <f t="shared" si="538"/>
        <v>0.1278167874546958</v>
      </c>
      <c r="AL1843" s="17"/>
      <c r="AM1843" s="17"/>
      <c r="AN1843" s="17"/>
      <c r="AO1843" s="17"/>
      <c r="AP1843" s="28" t="str">
        <f t="shared" si="539"/>
        <v>20224</v>
      </c>
      <c r="AQ1843" s="28" t="str">
        <f t="shared" si="540"/>
        <v>20224JPY</v>
      </c>
      <c r="AR1843" s="206" t="str">
        <f t="shared" si="541"/>
        <v>YAMAHA_Mounter</v>
      </c>
      <c r="AS1843" s="22">
        <f t="shared" si="542"/>
        <v>6</v>
      </c>
      <c r="AT1843" s="24" t="str">
        <f t="shared" si="543"/>
        <v>4-6 months</v>
      </c>
      <c r="AU1843" s="22" t="s">
        <v>3745</v>
      </c>
    </row>
    <row r="1844" spans="1:47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535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546"/>
        <v>1</v>
      </c>
      <c r="Z1844" s="18">
        <f t="shared" si="545"/>
        <v>9000000</v>
      </c>
      <c r="AA1844" s="13">
        <v>6.54E-2</v>
      </c>
      <c r="AB1844" s="21">
        <f t="shared" si="529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0"/>
        <v>46600814.041769907</v>
      </c>
      <c r="AJ1844" s="19">
        <f t="shared" si="531"/>
        <v>5956366.3435927071</v>
      </c>
      <c r="AK1844" s="20">
        <f t="shared" si="538"/>
        <v>0.1278167874546958</v>
      </c>
      <c r="AL1844" s="17"/>
      <c r="AM1844" s="17"/>
      <c r="AN1844" s="17"/>
      <c r="AO1844" s="17"/>
      <c r="AP1844" s="28" t="str">
        <f t="shared" si="539"/>
        <v>20224</v>
      </c>
      <c r="AQ1844" s="28" t="str">
        <f t="shared" si="540"/>
        <v>20224JPY</v>
      </c>
      <c r="AR1844" s="206" t="str">
        <f t="shared" si="541"/>
        <v>YAMAHA_Mounter</v>
      </c>
      <c r="AS1844" s="22">
        <f t="shared" si="542"/>
        <v>6</v>
      </c>
      <c r="AT1844" s="24" t="str">
        <f t="shared" si="543"/>
        <v>4-6 months</v>
      </c>
      <c r="AU1844" s="22" t="s">
        <v>3745</v>
      </c>
    </row>
    <row r="1845" spans="1:47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534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535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546"/>
        <v>1</v>
      </c>
      <c r="Z1845" s="18">
        <f t="shared" si="545"/>
        <v>14400000</v>
      </c>
      <c r="AA1845" s="13">
        <v>7.17E-2</v>
      </c>
      <c r="AB1845" s="21">
        <f t="shared" si="529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0"/>
        <v>499582152.5142017</v>
      </c>
      <c r="AJ1845" s="19">
        <f t="shared" si="531"/>
        <v>59520528.679470733</v>
      </c>
      <c r="AK1845" s="20">
        <f t="shared" si="538"/>
        <v>0.11914062257814291</v>
      </c>
      <c r="AL1845" s="17"/>
      <c r="AM1845" s="17"/>
      <c r="AN1845" s="17"/>
      <c r="AO1845" s="17"/>
      <c r="AP1845" s="28" t="str">
        <f t="shared" si="539"/>
        <v>CancelCancel</v>
      </c>
      <c r="AQ1845" s="28" t="str">
        <f t="shared" si="540"/>
        <v>CancelCancelJPY</v>
      </c>
      <c r="AR1845" s="206" t="str">
        <f t="shared" si="541"/>
        <v>YAMAHA_Mounter</v>
      </c>
      <c r="AS1845" s="22" t="str">
        <f t="shared" si="542"/>
        <v/>
      </c>
      <c r="AT1845" s="24" t="str">
        <f t="shared" si="543"/>
        <v/>
      </c>
      <c r="AU1845" s="22" t="s">
        <v>3745</v>
      </c>
    </row>
    <row r="1846" spans="1:47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534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535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546"/>
        <v>1</v>
      </c>
      <c r="Z1846" s="18">
        <f t="shared" si="545"/>
        <v>14400000</v>
      </c>
      <c r="AA1846" s="13">
        <v>7.17E-2</v>
      </c>
      <c r="AB1846" s="21">
        <f t="shared" ref="AB1846:AB1909" si="547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0"/>
        <v>499582152.5142017</v>
      </c>
      <c r="AJ1846" s="19">
        <f t="shared" si="531"/>
        <v>59520528.679470733</v>
      </c>
      <c r="AK1846" s="20">
        <f t="shared" si="538"/>
        <v>0.11914062257814291</v>
      </c>
      <c r="AL1846" s="17"/>
      <c r="AM1846" s="17"/>
      <c r="AN1846" s="17"/>
      <c r="AO1846" s="17"/>
      <c r="AP1846" s="28" t="str">
        <f t="shared" si="539"/>
        <v>CancelCancel</v>
      </c>
      <c r="AQ1846" s="28" t="str">
        <f t="shared" si="540"/>
        <v>CancelCancelJPY</v>
      </c>
      <c r="AR1846" s="206" t="str">
        <f t="shared" si="541"/>
        <v>YAMAHA_Mounter</v>
      </c>
      <c r="AS1846" s="22" t="str">
        <f t="shared" si="542"/>
        <v/>
      </c>
      <c r="AT1846" s="24" t="str">
        <f t="shared" si="543"/>
        <v/>
      </c>
      <c r="AU1846" s="22" t="s">
        <v>3745</v>
      </c>
    </row>
    <row r="1847" spans="1:47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534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535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546"/>
        <v>1</v>
      </c>
      <c r="Z1847" s="18">
        <f t="shared" si="545"/>
        <v>14400000</v>
      </c>
      <c r="AA1847" s="13">
        <v>7.17E-2</v>
      </c>
      <c r="AB1847" s="21">
        <f t="shared" si="547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0"/>
        <v>499582152.5142017</v>
      </c>
      <c r="AJ1847" s="19">
        <f t="shared" si="531"/>
        <v>59520528.679470733</v>
      </c>
      <c r="AK1847" s="20">
        <f t="shared" si="538"/>
        <v>0.11914062257814291</v>
      </c>
      <c r="AL1847" s="17"/>
      <c r="AM1847" s="17"/>
      <c r="AN1847" s="17"/>
      <c r="AO1847" s="17"/>
      <c r="AP1847" s="28" t="str">
        <f t="shared" si="539"/>
        <v>CancelCancel</v>
      </c>
      <c r="AQ1847" s="28" t="str">
        <f t="shared" si="540"/>
        <v>CancelCancelJPY</v>
      </c>
      <c r="AR1847" s="206" t="str">
        <f t="shared" si="541"/>
        <v>YAMAHA_Mounter</v>
      </c>
      <c r="AS1847" s="22" t="str">
        <f t="shared" si="542"/>
        <v/>
      </c>
      <c r="AT1847" s="24" t="str">
        <f t="shared" si="543"/>
        <v/>
      </c>
      <c r="AU1847" s="22" t="s">
        <v>3745</v>
      </c>
    </row>
    <row r="1848" spans="1:47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534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535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546"/>
        <v>1</v>
      </c>
      <c r="Z1848" s="18">
        <f t="shared" si="545"/>
        <v>9000000</v>
      </c>
      <c r="AA1848" s="13">
        <v>7.17E-2</v>
      </c>
      <c r="AB1848" s="21">
        <f t="shared" si="547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0"/>
        <v>499582152.5142017</v>
      </c>
      <c r="AJ1848" s="19">
        <f t="shared" si="531"/>
        <v>59520528.679470733</v>
      </c>
      <c r="AK1848" s="20">
        <f t="shared" si="538"/>
        <v>0.11914062257814291</v>
      </c>
      <c r="AL1848" s="17"/>
      <c r="AM1848" s="17"/>
      <c r="AN1848" s="17"/>
      <c r="AO1848" s="17"/>
      <c r="AP1848" s="28" t="str">
        <f t="shared" si="539"/>
        <v>CancelCancel</v>
      </c>
      <c r="AQ1848" s="28" t="str">
        <f t="shared" si="540"/>
        <v>CancelCancelJPY</v>
      </c>
      <c r="AR1848" s="206" t="str">
        <f t="shared" si="541"/>
        <v>YAMAHA_Mounter</v>
      </c>
      <c r="AS1848" s="22" t="str">
        <f t="shared" si="542"/>
        <v/>
      </c>
      <c r="AT1848" s="24" t="str">
        <f t="shared" si="543"/>
        <v/>
      </c>
      <c r="AU1848" s="22" t="s">
        <v>3745</v>
      </c>
    </row>
    <row r="1849" spans="1:47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534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535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546"/>
        <v>1</v>
      </c>
      <c r="Z1849" s="18">
        <f t="shared" si="545"/>
        <v>9000000</v>
      </c>
      <c r="AA1849" s="13">
        <v>7.17E-2</v>
      </c>
      <c r="AB1849" s="21">
        <f t="shared" si="547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0"/>
        <v>499582152.5142017</v>
      </c>
      <c r="AJ1849" s="19">
        <f t="shared" si="531"/>
        <v>59520528.679470733</v>
      </c>
      <c r="AK1849" s="20">
        <f t="shared" si="538"/>
        <v>0.11914062257814291</v>
      </c>
      <c r="AL1849" s="17"/>
      <c r="AM1849" s="17"/>
      <c r="AN1849" s="17"/>
      <c r="AO1849" s="17"/>
      <c r="AP1849" s="28" t="str">
        <f t="shared" si="539"/>
        <v>CancelCancel</v>
      </c>
      <c r="AQ1849" s="28" t="str">
        <f t="shared" si="540"/>
        <v>CancelCancelJPY</v>
      </c>
      <c r="AR1849" s="206" t="str">
        <f t="shared" si="541"/>
        <v>YAMAHA_Mounter</v>
      </c>
      <c r="AS1849" s="22" t="str">
        <f t="shared" si="542"/>
        <v/>
      </c>
      <c r="AT1849" s="24" t="str">
        <f t="shared" si="543"/>
        <v/>
      </c>
      <c r="AU1849" s="22" t="s">
        <v>3745</v>
      </c>
    </row>
    <row r="1850" spans="1:47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534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535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546"/>
        <v>1</v>
      </c>
      <c r="Z1850" s="18">
        <f t="shared" si="545"/>
        <v>9000000</v>
      </c>
      <c r="AA1850" s="13">
        <v>7.17E-2</v>
      </c>
      <c r="AB1850" s="21">
        <f t="shared" si="547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0"/>
        <v>499582152.5142017</v>
      </c>
      <c r="AJ1850" s="19">
        <f t="shared" si="531"/>
        <v>59520528.679470733</v>
      </c>
      <c r="AK1850" s="20">
        <f t="shared" si="538"/>
        <v>0.11914062257814291</v>
      </c>
      <c r="AL1850" s="17"/>
      <c r="AM1850" s="17"/>
      <c r="AN1850" s="17"/>
      <c r="AO1850" s="17"/>
      <c r="AP1850" s="28" t="str">
        <f t="shared" si="539"/>
        <v>CancelCancel</v>
      </c>
      <c r="AQ1850" s="28" t="str">
        <f t="shared" si="540"/>
        <v>CancelCancelJPY</v>
      </c>
      <c r="AR1850" s="206" t="str">
        <f t="shared" si="541"/>
        <v>YAMAHA_Mounter</v>
      </c>
      <c r="AS1850" s="22" t="str">
        <f t="shared" si="542"/>
        <v/>
      </c>
      <c r="AT1850" s="24" t="str">
        <f t="shared" si="543"/>
        <v/>
      </c>
      <c r="AU1850" s="22" t="s">
        <v>3745</v>
      </c>
    </row>
    <row r="1851" spans="1:47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534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535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546"/>
        <v>1</v>
      </c>
      <c r="Z1851" s="18">
        <f t="shared" si="545"/>
        <v>9000000</v>
      </c>
      <c r="AA1851" s="13">
        <v>7.17E-2</v>
      </c>
      <c r="AB1851" s="21">
        <f t="shared" si="547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0"/>
        <v>499582152.5142017</v>
      </c>
      <c r="AJ1851" s="19">
        <f t="shared" si="531"/>
        <v>59520528.679470733</v>
      </c>
      <c r="AK1851" s="20">
        <f t="shared" si="538"/>
        <v>0.11914062257814291</v>
      </c>
      <c r="AL1851" s="17"/>
      <c r="AM1851" s="17"/>
      <c r="AN1851" s="17"/>
      <c r="AO1851" s="17"/>
      <c r="AP1851" s="28" t="str">
        <f t="shared" si="539"/>
        <v>CancelCancel</v>
      </c>
      <c r="AQ1851" s="28" t="str">
        <f t="shared" si="540"/>
        <v>CancelCancelJPY</v>
      </c>
      <c r="AR1851" s="206" t="str">
        <f t="shared" si="541"/>
        <v>YAMAHA_Mounter</v>
      </c>
      <c r="AS1851" s="22" t="str">
        <f t="shared" si="542"/>
        <v/>
      </c>
      <c r="AT1851" s="24" t="str">
        <f t="shared" si="543"/>
        <v/>
      </c>
      <c r="AU1851" s="22" t="s">
        <v>3745</v>
      </c>
    </row>
    <row r="1852" spans="1:47" s="12" customFormat="1">
      <c r="A1852" s="33" t="str">
        <f t="shared" si="532"/>
        <v>cancel</v>
      </c>
      <c r="B1852" s="152"/>
      <c r="C1852" s="152" t="s">
        <v>185</v>
      </c>
      <c r="D1852" s="33" t="str">
        <f t="shared" si="533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534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535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545"/>
        <v>16150000</v>
      </c>
      <c r="AA1852" s="13">
        <v>7.2999999999999995E-2</v>
      </c>
      <c r="AB1852" s="21">
        <f t="shared" si="547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0"/>
        <v>499582152.5142017</v>
      </c>
      <c r="AJ1852" s="19">
        <f t="shared" si="531"/>
        <v>59520528.679470733</v>
      </c>
      <c r="AK1852" s="20">
        <f t="shared" si="538"/>
        <v>0.11914062257814291</v>
      </c>
      <c r="AL1852" s="17"/>
      <c r="AM1852" s="17"/>
      <c r="AN1852" s="17"/>
      <c r="AO1852" s="17"/>
      <c r="AP1852" s="28" t="str">
        <f t="shared" si="539"/>
        <v>CancelCancel</v>
      </c>
      <c r="AQ1852" s="28" t="str">
        <f t="shared" si="540"/>
        <v>CancelCancelJPY</v>
      </c>
      <c r="AR1852" s="206" t="str">
        <f t="shared" si="541"/>
        <v>YAMAHA_Mounter</v>
      </c>
      <c r="AS1852" s="22" t="str">
        <f t="shared" si="542"/>
        <v/>
      </c>
      <c r="AT1852" s="24" t="str">
        <f t="shared" si="543"/>
        <v/>
      </c>
      <c r="AU1852" s="22" t="s">
        <v>3744</v>
      </c>
    </row>
    <row r="1853" spans="1:47" s="12" customFormat="1">
      <c r="A1853" s="33" t="str">
        <f t="shared" si="532"/>
        <v>cancel</v>
      </c>
      <c r="B1853" s="152"/>
      <c r="C1853" s="152" t="s">
        <v>185</v>
      </c>
      <c r="D1853" s="33" t="str">
        <f t="shared" si="533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534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535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545"/>
        <v>16150000</v>
      </c>
      <c r="AA1853" s="13">
        <v>7.2999999999999995E-2</v>
      </c>
      <c r="AB1853" s="21">
        <f t="shared" si="547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0"/>
        <v>499582152.5142017</v>
      </c>
      <c r="AJ1853" s="19">
        <f t="shared" si="531"/>
        <v>59520528.679470733</v>
      </c>
      <c r="AK1853" s="20">
        <f t="shared" si="538"/>
        <v>0.11914062257814291</v>
      </c>
      <c r="AL1853" s="17"/>
      <c r="AM1853" s="17"/>
      <c r="AN1853" s="17"/>
      <c r="AO1853" s="17"/>
      <c r="AP1853" s="28" t="str">
        <f t="shared" si="539"/>
        <v>CancelCancel</v>
      </c>
      <c r="AQ1853" s="28" t="str">
        <f t="shared" si="540"/>
        <v>CancelCancelJPY</v>
      </c>
      <c r="AR1853" s="206" t="str">
        <f t="shared" si="541"/>
        <v>YAMAHA_Mounter</v>
      </c>
      <c r="AS1853" s="22" t="str">
        <f t="shared" si="542"/>
        <v/>
      </c>
      <c r="AT1853" s="24" t="str">
        <f t="shared" si="543"/>
        <v/>
      </c>
      <c r="AU1853" s="22" t="s">
        <v>3744</v>
      </c>
    </row>
    <row r="1854" spans="1:47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535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545"/>
        <v>11000000</v>
      </c>
      <c r="AA1854" s="13">
        <v>5.0999999999999997E-2</v>
      </c>
      <c r="AB1854" s="21">
        <f t="shared" si="547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0"/>
        <v>27308925.887079656</v>
      </c>
      <c r="AJ1854" s="27">
        <f t="shared" si="531"/>
        <v>3319273.860338124</v>
      </c>
      <c r="AK1854" s="28">
        <f t="shared" si="538"/>
        <v>0.12154538314919709</v>
      </c>
      <c r="AL1854" s="24"/>
      <c r="AM1854" s="24"/>
      <c r="AN1854" s="24"/>
      <c r="AO1854" s="24"/>
      <c r="AP1854" s="28" t="str">
        <f t="shared" si="539"/>
        <v>20246</v>
      </c>
      <c r="AQ1854" s="28" t="str">
        <f t="shared" si="540"/>
        <v>20246JPY</v>
      </c>
      <c r="AR1854" s="206" t="str">
        <f t="shared" si="541"/>
        <v>YAMAHA_Mounter</v>
      </c>
      <c r="AS1854" s="22">
        <f t="shared" si="542"/>
        <v>3</v>
      </c>
      <c r="AT1854" s="24" t="str">
        <f t="shared" si="543"/>
        <v>0-3 months</v>
      </c>
      <c r="AU1854" s="22" t="s">
        <v>3744</v>
      </c>
    </row>
    <row r="1855" spans="1:47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535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545"/>
        <v>11000000</v>
      </c>
      <c r="AA1855" s="13">
        <v>5.0999999999999997E-2</v>
      </c>
      <c r="AB1855" s="21">
        <f t="shared" si="547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0"/>
        <v>27308925.887079656</v>
      </c>
      <c r="AJ1855" s="27">
        <f t="shared" si="531"/>
        <v>3319273.860338124</v>
      </c>
      <c r="AK1855" s="28">
        <f t="shared" si="538"/>
        <v>0.12154538314919709</v>
      </c>
      <c r="AL1855" s="24"/>
      <c r="AM1855" s="24"/>
      <c r="AN1855" s="24"/>
      <c r="AO1855" s="24"/>
      <c r="AP1855" s="28" t="str">
        <f t="shared" si="539"/>
        <v>20246</v>
      </c>
      <c r="AQ1855" s="28" t="str">
        <f t="shared" si="540"/>
        <v>20246JPY</v>
      </c>
      <c r="AR1855" s="206" t="str">
        <f t="shared" si="541"/>
        <v>YAMAHA_Mounter</v>
      </c>
      <c r="AS1855" s="22">
        <f t="shared" si="542"/>
        <v>3</v>
      </c>
      <c r="AT1855" s="24" t="str">
        <f t="shared" si="543"/>
        <v>0-3 months</v>
      </c>
      <c r="AU1855" s="22" t="s">
        <v>3744</v>
      </c>
    </row>
    <row r="1856" spans="1:47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535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545"/>
        <v>11000000</v>
      </c>
      <c r="AA1856" s="13">
        <v>5.0999999999999997E-2</v>
      </c>
      <c r="AB1856" s="21">
        <f t="shared" si="547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0"/>
        <v>27308925.887079656</v>
      </c>
      <c r="AJ1856" s="27">
        <f t="shared" si="531"/>
        <v>3319273.860338124</v>
      </c>
      <c r="AK1856" s="28">
        <f t="shared" si="538"/>
        <v>0.12154538314919709</v>
      </c>
      <c r="AL1856" s="24"/>
      <c r="AM1856" s="24"/>
      <c r="AN1856" s="24"/>
      <c r="AO1856" s="24"/>
      <c r="AP1856" s="28" t="str">
        <f t="shared" si="539"/>
        <v>20246</v>
      </c>
      <c r="AQ1856" s="28" t="str">
        <f t="shared" si="540"/>
        <v>20246JPY</v>
      </c>
      <c r="AR1856" s="206" t="str">
        <f t="shared" si="541"/>
        <v>YAMAHA_Mounter</v>
      </c>
      <c r="AS1856" s="22">
        <f t="shared" si="542"/>
        <v>3</v>
      </c>
      <c r="AT1856" s="24" t="str">
        <f t="shared" si="543"/>
        <v>0-3 months</v>
      </c>
      <c r="AU1856" s="22" t="s">
        <v>3744</v>
      </c>
    </row>
    <row r="1857" spans="1:47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535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545"/>
        <v>11000000</v>
      </c>
      <c r="AA1857" s="13">
        <v>5.0999999999999997E-2</v>
      </c>
      <c r="AB1857" s="21">
        <f t="shared" si="547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0"/>
        <v>27308925.887079656</v>
      </c>
      <c r="AJ1857" s="27">
        <f t="shared" si="531"/>
        <v>3319273.860338124</v>
      </c>
      <c r="AK1857" s="28">
        <f t="shared" si="538"/>
        <v>0.12154538314919709</v>
      </c>
      <c r="AL1857" s="24"/>
      <c r="AM1857" s="24"/>
      <c r="AN1857" s="24"/>
      <c r="AO1857" s="24"/>
      <c r="AP1857" s="28" t="str">
        <f t="shared" si="539"/>
        <v>20246</v>
      </c>
      <c r="AQ1857" s="28" t="str">
        <f t="shared" si="540"/>
        <v>20246JPY</v>
      </c>
      <c r="AR1857" s="206" t="str">
        <f t="shared" si="541"/>
        <v>YAMAHA_Mounter</v>
      </c>
      <c r="AS1857" s="22">
        <f t="shared" si="542"/>
        <v>3</v>
      </c>
      <c r="AT1857" s="24" t="str">
        <f t="shared" si="543"/>
        <v>0-3 months</v>
      </c>
      <c r="AU1857" s="22" t="s">
        <v>3744</v>
      </c>
    </row>
    <row r="1858" spans="1:47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535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545"/>
        <v>11000000</v>
      </c>
      <c r="AA1858" s="13">
        <v>5.0999999999999997E-2</v>
      </c>
      <c r="AB1858" s="21">
        <f t="shared" si="547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ref="AI1858:AI1921" si="548">IF(P1858="C66 SERVICE","",SUMIFS(AB:AB,F:F,F1858,G:G,G1858,E:E,E1858))</f>
        <v>27308925.887079656</v>
      </c>
      <c r="AJ1858" s="27">
        <f t="shared" ref="AJ1858:AJ1921" si="549">IF(P1858="C66 SERVICE","",SUMIFS(AC:AC,F:F,F1858,G:G,G1858,E:E,E1858))</f>
        <v>3319273.860338124</v>
      </c>
      <c r="AK1858" s="28">
        <f t="shared" si="538"/>
        <v>0.12154538314919709</v>
      </c>
      <c r="AL1858" s="24"/>
      <c r="AM1858" s="24"/>
      <c r="AN1858" s="24"/>
      <c r="AO1858" s="24"/>
      <c r="AP1858" s="28" t="str">
        <f t="shared" si="539"/>
        <v>20246</v>
      </c>
      <c r="AQ1858" s="28" t="str">
        <f t="shared" si="540"/>
        <v>20246JPY</v>
      </c>
      <c r="AR1858" s="206" t="str">
        <f t="shared" si="541"/>
        <v>YAMAHA_Mounter</v>
      </c>
      <c r="AS1858" s="22">
        <f t="shared" si="542"/>
        <v>3</v>
      </c>
      <c r="AT1858" s="24" t="str">
        <f t="shared" si="543"/>
        <v>0-3 months</v>
      </c>
      <c r="AU1858" s="22" t="s">
        <v>3744</v>
      </c>
    </row>
    <row r="1859" spans="1:47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535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545"/>
        <v>13200000</v>
      </c>
      <c r="AA1859" s="13">
        <v>6.9199999999999998E-2</v>
      </c>
      <c r="AB1859" s="21">
        <f t="shared" si="547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48"/>
        <v>28726768.133805312</v>
      </c>
      <c r="AJ1859" s="19">
        <f t="shared" si="549"/>
        <v>3853638.1988864429</v>
      </c>
      <c r="AK1859" s="20">
        <f t="shared" si="538"/>
        <v>0.1341479898099476</v>
      </c>
      <c r="AL1859" s="17"/>
      <c r="AM1859" s="17"/>
      <c r="AN1859" s="17"/>
      <c r="AO1859" s="17"/>
      <c r="AP1859" s="28" t="str">
        <f t="shared" si="539"/>
        <v>20223</v>
      </c>
      <c r="AQ1859" s="28" t="str">
        <f t="shared" si="540"/>
        <v>20223JPY</v>
      </c>
      <c r="AR1859" s="206" t="str">
        <f t="shared" si="541"/>
        <v>YAMAHA_Mounter</v>
      </c>
      <c r="AS1859" s="22">
        <f t="shared" si="542"/>
        <v>0</v>
      </c>
      <c r="AT1859" s="24" t="str">
        <f t="shared" si="543"/>
        <v>0-3 months</v>
      </c>
      <c r="AU1859" s="22" t="s">
        <v>3744</v>
      </c>
    </row>
    <row r="1860" spans="1:47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535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545"/>
        <v>11000000</v>
      </c>
      <c r="AA1860" s="13">
        <v>5.0999999999999997E-2</v>
      </c>
      <c r="AB1860" s="21">
        <f t="shared" si="547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48"/>
        <v>27308925.887079656</v>
      </c>
      <c r="AJ1860" s="27">
        <f t="shared" si="549"/>
        <v>3319273.860338124</v>
      </c>
      <c r="AK1860" s="28">
        <f t="shared" si="538"/>
        <v>0.12154538314919709</v>
      </c>
      <c r="AL1860" s="24"/>
      <c r="AM1860" s="24"/>
      <c r="AN1860" s="24"/>
      <c r="AO1860" s="24"/>
      <c r="AP1860" s="28" t="str">
        <f t="shared" si="539"/>
        <v>20246</v>
      </c>
      <c r="AQ1860" s="28" t="str">
        <f t="shared" si="540"/>
        <v>20246JPY</v>
      </c>
      <c r="AR1860" s="206" t="str">
        <f t="shared" si="541"/>
        <v>YAMAHA_Mounter</v>
      </c>
      <c r="AS1860" s="22">
        <f t="shared" si="542"/>
        <v>3</v>
      </c>
      <c r="AT1860" s="24" t="str">
        <f t="shared" si="543"/>
        <v>0-3 months</v>
      </c>
      <c r="AU1860" s="22" t="s">
        <v>3744</v>
      </c>
    </row>
    <row r="1861" spans="1:47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545"/>
        <v>378973.826</v>
      </c>
      <c r="AA1861" s="13">
        <v>1.1399999999999999</v>
      </c>
      <c r="AB1861" s="21">
        <f t="shared" si="547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48"/>
        <v>30573205.452778768</v>
      </c>
      <c r="AJ1861" s="19">
        <f t="shared" si="549"/>
        <v>3790930.1683151261</v>
      </c>
      <c r="AK1861" s="20">
        <f t="shared" si="538"/>
        <v>0.12399518179964254</v>
      </c>
      <c r="AL1861" s="17"/>
      <c r="AM1861" s="17"/>
      <c r="AN1861" s="17"/>
      <c r="AO1861" s="17"/>
      <c r="AP1861" s="28" t="str">
        <f t="shared" si="539"/>
        <v>20234</v>
      </c>
      <c r="AQ1861" s="28" t="str">
        <f t="shared" si="540"/>
        <v>20234RMB</v>
      </c>
      <c r="AR1861" s="206" t="str">
        <f t="shared" si="541"/>
        <v>YAMAHA_Mounter</v>
      </c>
      <c r="AS1861" s="22">
        <f t="shared" si="542"/>
        <v>1</v>
      </c>
      <c r="AT1861" s="24" t="str">
        <f t="shared" si="543"/>
        <v>0-3 months</v>
      </c>
      <c r="AU1861" s="22" t="s">
        <v>3240</v>
      </c>
    </row>
    <row r="1862" spans="1:47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545"/>
        <v>377481</v>
      </c>
      <c r="AA1862" s="13">
        <v>1.135</v>
      </c>
      <c r="AB1862" s="21">
        <f t="shared" si="547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si="548"/>
        <v>28177779.013274338</v>
      </c>
      <c r="AJ1862" s="19">
        <f t="shared" si="549"/>
        <v>4727216.6376190251</v>
      </c>
      <c r="AK1862" s="20">
        <f t="shared" ref="AK1862:AK1925" si="556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7">IF(F1862="","",F1862&amp;G1862)</f>
        <v>20235</v>
      </c>
      <c r="AQ1862" s="28" t="str">
        <f t="shared" ref="AQ1862:AQ1925" si="558">IF(W1862="","",F1862&amp;G1862&amp;W1862)</f>
        <v>20235RMB</v>
      </c>
      <c r="AR1862" s="206" t="str">
        <f t="shared" ref="AR1862:AR1925" si="559">IFERROR(IF(AND(M1862="YAMAHA", R1862="C28"), "YAMAHA_Non_Mounter", IF(AND(M1862="YAMAHA", R1862="C49"), "YAMAHA_Mounter", M1862)),"")</f>
        <v>YAMAHA_Mounter</v>
      </c>
      <c r="AS1862" s="22">
        <f t="shared" ref="AS1862:AS1925" si="560">IFERROR(IF(OR(G1862="TBA", G1862=""), "", DATEDIF(DATE(B1862, C1862, 1), DATE(F1862, G1862, 1), "M")),"")</f>
        <v>2</v>
      </c>
      <c r="AT1862" s="24" t="str">
        <f t="shared" ref="AT1862:AT1925" si="561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545"/>
        <v>244545.14</v>
      </c>
      <c r="AA1863" s="13">
        <v>1.105</v>
      </c>
      <c r="AB1863" s="21">
        <f t="shared" si="547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48"/>
        <v>13640480.497522123</v>
      </c>
      <c r="AJ1863" s="19">
        <f t="shared" si="549"/>
        <v>1928605.8020906283</v>
      </c>
      <c r="AK1863" s="20">
        <f t="shared" si="556"/>
        <v>0.1413884065477731</v>
      </c>
      <c r="AL1863" s="17"/>
      <c r="AM1863" s="17"/>
      <c r="AN1863" s="17"/>
      <c r="AO1863" s="17"/>
      <c r="AP1863" s="28" t="str">
        <f t="shared" si="557"/>
        <v>20236</v>
      </c>
      <c r="AQ1863" s="28" t="str">
        <f t="shared" si="558"/>
        <v>20236RMB</v>
      </c>
      <c r="AR1863" s="206" t="str">
        <f t="shared" si="559"/>
        <v>YAMAHA_Mounter</v>
      </c>
      <c r="AS1863" s="22">
        <f t="shared" si="560"/>
        <v>3</v>
      </c>
      <c r="AT1863" s="24" t="str">
        <f t="shared" si="561"/>
        <v>0-3 months</v>
      </c>
      <c r="AU1863" s="22" t="s">
        <v>3240</v>
      </c>
    </row>
    <row r="1864" spans="1:47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55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545"/>
        <v>380000</v>
      </c>
      <c r="AA1864" s="13">
        <v>1.125</v>
      </c>
      <c r="AB1864" s="21">
        <f t="shared" si="547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48"/>
        <v>23237072.69172414</v>
      </c>
      <c r="AJ1864" s="19">
        <f t="shared" si="549"/>
        <v>2402195.7372206897</v>
      </c>
      <c r="AK1864" s="20">
        <f t="shared" si="556"/>
        <v>0.10337772614862238</v>
      </c>
      <c r="AL1864" s="17"/>
      <c r="AM1864" s="17"/>
      <c r="AN1864" s="17"/>
      <c r="AO1864" s="17"/>
      <c r="AP1864" s="28" t="str">
        <f t="shared" si="557"/>
        <v>20191</v>
      </c>
      <c r="AQ1864" s="28" t="str">
        <f t="shared" si="558"/>
        <v>20191RMB</v>
      </c>
      <c r="AR1864" s="206" t="str">
        <f t="shared" si="559"/>
        <v>PEMTRON</v>
      </c>
      <c r="AS1864" s="22">
        <f t="shared" si="560"/>
        <v>3</v>
      </c>
      <c r="AT1864" s="24" t="str">
        <f t="shared" si="561"/>
        <v>0-3 months</v>
      </c>
      <c r="AU1864" s="22" t="s">
        <v>3743</v>
      </c>
    </row>
    <row r="1865" spans="1:47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55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545"/>
        <v>1180000</v>
      </c>
      <c r="AA1865" s="13">
        <v>1.125</v>
      </c>
      <c r="AB1865" s="21">
        <f t="shared" si="547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48"/>
        <v>29840797.698275864</v>
      </c>
      <c r="AJ1865" s="19">
        <f t="shared" si="549"/>
        <v>3940167.6555448272</v>
      </c>
      <c r="AK1865" s="20">
        <f t="shared" si="556"/>
        <v>0.13203962224416277</v>
      </c>
      <c r="AL1865" s="17"/>
      <c r="AM1865" s="17"/>
      <c r="AN1865" s="17"/>
      <c r="AO1865" s="17" t="s">
        <v>61</v>
      </c>
      <c r="AP1865" s="28" t="str">
        <f t="shared" si="557"/>
        <v>201812</v>
      </c>
      <c r="AQ1865" s="28" t="str">
        <f t="shared" si="558"/>
        <v>201812RMB</v>
      </c>
      <c r="AR1865" s="206" t="str">
        <f t="shared" si="559"/>
        <v>YAMAHA_Mounter</v>
      </c>
      <c r="AS1865" s="22">
        <f t="shared" si="560"/>
        <v>4</v>
      </c>
      <c r="AT1865" s="24" t="str">
        <f t="shared" si="561"/>
        <v>4-6 months</v>
      </c>
      <c r="AU1865" s="22" t="s">
        <v>3240</v>
      </c>
    </row>
    <row r="1866" spans="1:47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55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62">IF(X1866="","",X1866*MAX(O1866,N1866))</f>
        <v>1360000</v>
      </c>
      <c r="AA1866" s="13">
        <v>1.125</v>
      </c>
      <c r="AB1866" s="21">
        <f t="shared" si="547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48"/>
        <v>29840797.698275864</v>
      </c>
      <c r="AJ1866" s="19">
        <f t="shared" si="549"/>
        <v>3940167.6555448272</v>
      </c>
      <c r="AK1866" s="20">
        <f t="shared" si="556"/>
        <v>0.13203962224416277</v>
      </c>
      <c r="AL1866" s="17"/>
      <c r="AM1866" s="17"/>
      <c r="AN1866" s="17"/>
      <c r="AO1866" s="17" t="s">
        <v>61</v>
      </c>
      <c r="AP1866" s="28" t="str">
        <f t="shared" si="557"/>
        <v>201812</v>
      </c>
      <c r="AQ1866" s="28" t="str">
        <f t="shared" si="558"/>
        <v>201812RMB</v>
      </c>
      <c r="AR1866" s="206" t="str">
        <f t="shared" si="559"/>
        <v>YAMAHA_Mounter</v>
      </c>
      <c r="AS1866" s="22">
        <f t="shared" si="560"/>
        <v>4</v>
      </c>
      <c r="AT1866" s="24" t="str">
        <f t="shared" si="561"/>
        <v>4-6 months</v>
      </c>
      <c r="AU1866" s="22" t="s">
        <v>3240</v>
      </c>
    </row>
    <row r="1867" spans="1:47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55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62"/>
        <v>1376000</v>
      </c>
      <c r="AA1867" s="13">
        <v>1.175</v>
      </c>
      <c r="AB1867" s="21">
        <f t="shared" si="547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48"/>
        <v>48763143.537654862</v>
      </c>
      <c r="AJ1867" s="19">
        <f t="shared" si="549"/>
        <v>5924029.9702154724</v>
      </c>
      <c r="AK1867" s="20">
        <f t="shared" si="556"/>
        <v>0.1214858095774925</v>
      </c>
      <c r="AL1867" s="17"/>
      <c r="AM1867" s="17"/>
      <c r="AN1867" s="17"/>
      <c r="AO1867" s="17"/>
      <c r="AP1867" s="28" t="str">
        <f t="shared" si="557"/>
        <v>202012</v>
      </c>
      <c r="AQ1867" s="28" t="str">
        <f t="shared" si="558"/>
        <v>202012RMB</v>
      </c>
      <c r="AR1867" s="206" t="str">
        <f t="shared" si="559"/>
        <v>YAMAHA_Mounter</v>
      </c>
      <c r="AS1867" s="22">
        <f t="shared" si="560"/>
        <v>2</v>
      </c>
      <c r="AT1867" s="24" t="str">
        <f t="shared" si="561"/>
        <v>0-3 months</v>
      </c>
      <c r="AU1867" s="22" t="s">
        <v>3240</v>
      </c>
    </row>
    <row r="1868" spans="1:47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55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62"/>
        <v>1376000</v>
      </c>
      <c r="AA1868" s="13">
        <v>1.175</v>
      </c>
      <c r="AB1868" s="21">
        <f t="shared" si="547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48"/>
        <v>48763143.537654862</v>
      </c>
      <c r="AJ1868" s="19">
        <f t="shared" si="549"/>
        <v>5924029.9702154724</v>
      </c>
      <c r="AK1868" s="20">
        <f t="shared" si="556"/>
        <v>0.1214858095774925</v>
      </c>
      <c r="AL1868" s="17"/>
      <c r="AM1868" s="17"/>
      <c r="AN1868" s="17"/>
      <c r="AO1868" s="17"/>
      <c r="AP1868" s="28" t="str">
        <f t="shared" si="557"/>
        <v>202012</v>
      </c>
      <c r="AQ1868" s="28" t="str">
        <f t="shared" si="558"/>
        <v>202012RMB</v>
      </c>
      <c r="AR1868" s="206" t="str">
        <f t="shared" si="559"/>
        <v>YAMAHA_Mounter</v>
      </c>
      <c r="AS1868" s="22">
        <f t="shared" si="560"/>
        <v>2</v>
      </c>
      <c r="AT1868" s="24" t="str">
        <f t="shared" si="561"/>
        <v>0-3 months</v>
      </c>
      <c r="AU1868" s="22" t="s">
        <v>3240</v>
      </c>
    </row>
    <row r="1869" spans="1:47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55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62"/>
        <v>348000</v>
      </c>
      <c r="AA1869" s="13">
        <v>1.175</v>
      </c>
      <c r="AB1869" s="21">
        <f t="shared" si="547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48"/>
        <v>48763143.537654862</v>
      </c>
      <c r="AJ1869" s="19">
        <f t="shared" si="549"/>
        <v>5924029.9702154724</v>
      </c>
      <c r="AK1869" s="20">
        <f t="shared" si="556"/>
        <v>0.1214858095774925</v>
      </c>
      <c r="AL1869" s="17"/>
      <c r="AM1869" s="17"/>
      <c r="AN1869" s="17"/>
      <c r="AO1869" s="17"/>
      <c r="AP1869" s="28" t="str">
        <f t="shared" si="557"/>
        <v>202012</v>
      </c>
      <c r="AQ1869" s="28" t="str">
        <f t="shared" si="558"/>
        <v>202012RMB</v>
      </c>
      <c r="AR1869" s="206" t="str">
        <f t="shared" si="559"/>
        <v>PEMTRON</v>
      </c>
      <c r="AS1869" s="22">
        <f t="shared" si="560"/>
        <v>1</v>
      </c>
      <c r="AT1869" s="24" t="str">
        <f t="shared" si="561"/>
        <v>0-3 months</v>
      </c>
      <c r="AU1869" s="22" t="s">
        <v>3240</v>
      </c>
    </row>
    <row r="1870" spans="1:47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55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62"/>
        <v>428000</v>
      </c>
      <c r="AA1870" s="13">
        <v>1.175</v>
      </c>
      <c r="AB1870" s="21">
        <f t="shared" si="547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48"/>
        <v>48763143.537654862</v>
      </c>
      <c r="AJ1870" s="19">
        <f t="shared" si="549"/>
        <v>5924029.9702154724</v>
      </c>
      <c r="AK1870" s="20">
        <f t="shared" si="556"/>
        <v>0.1214858095774925</v>
      </c>
      <c r="AL1870" s="17"/>
      <c r="AM1870" s="17"/>
      <c r="AN1870" s="17"/>
      <c r="AO1870" s="17"/>
      <c r="AP1870" s="28" t="str">
        <f t="shared" si="557"/>
        <v>202012</v>
      </c>
      <c r="AQ1870" s="28" t="str">
        <f t="shared" si="558"/>
        <v>202012RMB</v>
      </c>
      <c r="AR1870" s="206" t="str">
        <f t="shared" si="559"/>
        <v>YAMAHA_Non_Mounter</v>
      </c>
      <c r="AS1870" s="22">
        <f t="shared" si="560"/>
        <v>1</v>
      </c>
      <c r="AT1870" s="24" t="str">
        <f t="shared" si="561"/>
        <v>0-3 months</v>
      </c>
      <c r="AU1870" s="22" t="s">
        <v>3240</v>
      </c>
    </row>
    <row r="1871" spans="1:47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55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62"/>
        <v>928000</v>
      </c>
      <c r="AA1871" s="13">
        <v>1.08</v>
      </c>
      <c r="AB1871" s="21">
        <f t="shared" si="547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48"/>
        <v>31017966.201968137</v>
      </c>
      <c r="AJ1871" s="19">
        <f t="shared" si="549"/>
        <v>4704250.3347305888</v>
      </c>
      <c r="AK1871" s="20">
        <f t="shared" si="556"/>
        <v>0.15166211427595458</v>
      </c>
      <c r="AL1871" s="17"/>
      <c r="AM1871" s="17"/>
      <c r="AN1871" s="17"/>
      <c r="AO1871" s="17"/>
      <c r="AP1871" s="28" t="str">
        <f t="shared" si="557"/>
        <v>202211</v>
      </c>
      <c r="AQ1871" s="28" t="str">
        <f t="shared" si="558"/>
        <v>202211RMB</v>
      </c>
      <c r="AR1871" s="206" t="str">
        <f t="shared" si="559"/>
        <v>PEMTRON</v>
      </c>
      <c r="AS1871" s="22">
        <f t="shared" si="560"/>
        <v>2</v>
      </c>
      <c r="AT1871" s="24" t="str">
        <f t="shared" si="561"/>
        <v>0-3 months</v>
      </c>
      <c r="AU1871" s="22" t="s">
        <v>3240</v>
      </c>
    </row>
    <row r="1872" spans="1:47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55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62"/>
        <v>580000</v>
      </c>
      <c r="AA1872" s="13">
        <v>1.1850000000000001</v>
      </c>
      <c r="AB1872" s="21">
        <f t="shared" si="547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48"/>
        <v>45803245.025628321</v>
      </c>
      <c r="AJ1872" s="19">
        <f t="shared" si="549"/>
        <v>5664636.2584379362</v>
      </c>
      <c r="AK1872" s="20">
        <f t="shared" si="556"/>
        <v>0.12367325186825515</v>
      </c>
      <c r="AL1872" s="17"/>
      <c r="AM1872" s="17"/>
      <c r="AN1872" s="17"/>
      <c r="AO1872" s="17"/>
      <c r="AP1872" s="28" t="str">
        <f t="shared" si="557"/>
        <v>20211</v>
      </c>
      <c r="AQ1872" s="28" t="str">
        <f t="shared" si="558"/>
        <v>20211RMB</v>
      </c>
      <c r="AR1872" s="206" t="str">
        <f t="shared" si="559"/>
        <v>YAMAHA_Mounter</v>
      </c>
      <c r="AS1872" s="22">
        <f t="shared" si="560"/>
        <v>1</v>
      </c>
      <c r="AT1872" s="24" t="str">
        <f t="shared" si="561"/>
        <v>0-3 months</v>
      </c>
      <c r="AU1872" s="22" t="s">
        <v>3240</v>
      </c>
    </row>
    <row r="1873" spans="1:47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55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62"/>
        <v>500000</v>
      </c>
      <c r="AA1873" s="13">
        <v>1.17</v>
      </c>
      <c r="AB1873" s="21">
        <f t="shared" si="547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48"/>
        <v>36480247.665929198</v>
      </c>
      <c r="AJ1873" s="19">
        <f t="shared" si="549"/>
        <v>5330996.6372757526</v>
      </c>
      <c r="AK1873" s="20">
        <f t="shared" si="556"/>
        <v>0.14613378412599562</v>
      </c>
      <c r="AL1873" s="17"/>
      <c r="AM1873" s="17"/>
      <c r="AN1873" s="17"/>
      <c r="AO1873" s="17"/>
      <c r="AP1873" s="28" t="str">
        <f t="shared" si="557"/>
        <v>20227</v>
      </c>
      <c r="AQ1873" s="28" t="str">
        <f t="shared" si="558"/>
        <v>20227RMB</v>
      </c>
      <c r="AR1873" s="206" t="str">
        <f t="shared" si="559"/>
        <v>YAMAHA_Mounter</v>
      </c>
      <c r="AS1873" s="22">
        <f t="shared" si="560"/>
        <v>1</v>
      </c>
      <c r="AT1873" s="24" t="str">
        <f t="shared" si="561"/>
        <v>0-3 months</v>
      </c>
      <c r="AU1873" s="22" t="s">
        <v>3240</v>
      </c>
    </row>
    <row r="1874" spans="1:47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55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62"/>
        <v>550000</v>
      </c>
      <c r="AA1874" s="13">
        <v>1.095</v>
      </c>
      <c r="AB1874" s="21">
        <f t="shared" si="547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48"/>
        <v>28647263.974455759</v>
      </c>
      <c r="AJ1874" s="19">
        <f t="shared" si="549"/>
        <v>3219855.6912513468</v>
      </c>
      <c r="AK1874" s="20">
        <f t="shared" si="556"/>
        <v>0.11239662168514358</v>
      </c>
      <c r="AL1874" s="17"/>
      <c r="AM1874" s="17"/>
      <c r="AN1874" s="17"/>
      <c r="AO1874" s="17"/>
      <c r="AP1874" s="28" t="str">
        <f t="shared" si="557"/>
        <v>201910</v>
      </c>
      <c r="AQ1874" s="28" t="str">
        <f t="shared" si="558"/>
        <v>201910RMB</v>
      </c>
      <c r="AR1874" s="206" t="str">
        <f t="shared" si="559"/>
        <v>YAMAHA_Mounter</v>
      </c>
      <c r="AS1874" s="22">
        <f t="shared" si="560"/>
        <v>0</v>
      </c>
      <c r="AT1874" s="24" t="str">
        <f t="shared" si="561"/>
        <v>0-3 months</v>
      </c>
      <c r="AU1874" s="22" t="s">
        <v>3240</v>
      </c>
    </row>
    <row r="1875" spans="1:47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55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62"/>
        <v>525000</v>
      </c>
      <c r="AA1875" s="13">
        <v>1.07</v>
      </c>
      <c r="AB1875" s="21">
        <f t="shared" si="547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48"/>
        <v>11730565.00042478</v>
      </c>
      <c r="AJ1875" s="19">
        <f t="shared" si="549"/>
        <v>1439625.5685810833</v>
      </c>
      <c r="AK1875" s="20">
        <f t="shared" si="556"/>
        <v>0.12272431622253084</v>
      </c>
      <c r="AL1875" s="17"/>
      <c r="AM1875" s="17"/>
      <c r="AN1875" s="17"/>
      <c r="AO1875" s="17"/>
      <c r="AP1875" s="28" t="str">
        <f t="shared" si="557"/>
        <v>202311</v>
      </c>
      <c r="AQ1875" s="28" t="str">
        <f t="shared" si="558"/>
        <v>202311RMB</v>
      </c>
      <c r="AR1875" s="206" t="str">
        <f t="shared" si="559"/>
        <v>YAMAHA_Mounter</v>
      </c>
      <c r="AS1875" s="22">
        <f t="shared" si="560"/>
        <v>1</v>
      </c>
      <c r="AT1875" s="24" t="str">
        <f t="shared" si="561"/>
        <v>0-3 months</v>
      </c>
      <c r="AU1875" s="22" t="s">
        <v>3240</v>
      </c>
    </row>
    <row r="1876" spans="1:47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55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62"/>
        <v>525000</v>
      </c>
      <c r="AA1876" s="13">
        <v>1.07</v>
      </c>
      <c r="AB1876" s="21">
        <f t="shared" si="547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48"/>
        <v>11730565.00042478</v>
      </c>
      <c r="AJ1876" s="19">
        <f t="shared" si="549"/>
        <v>1439625.5685810833</v>
      </c>
      <c r="AK1876" s="20">
        <f t="shared" si="556"/>
        <v>0.12272431622253084</v>
      </c>
      <c r="AL1876" s="17"/>
      <c r="AM1876" s="17"/>
      <c r="AN1876" s="17"/>
      <c r="AO1876" s="17"/>
      <c r="AP1876" s="28" t="str">
        <f t="shared" si="557"/>
        <v>202311</v>
      </c>
      <c r="AQ1876" s="28" t="str">
        <f t="shared" si="558"/>
        <v>202311RMB</v>
      </c>
      <c r="AR1876" s="206" t="str">
        <f t="shared" si="559"/>
        <v>YAMAHA_Mounter</v>
      </c>
      <c r="AS1876" s="22">
        <f t="shared" si="560"/>
        <v>1</v>
      </c>
      <c r="AT1876" s="24" t="str">
        <f t="shared" si="561"/>
        <v>0-3 months</v>
      </c>
      <c r="AU1876" s="22" t="s">
        <v>3240</v>
      </c>
    </row>
    <row r="1877" spans="1:47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55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62"/>
        <v>475000</v>
      </c>
      <c r="AA1877" s="13">
        <v>1.18</v>
      </c>
      <c r="AB1877" s="21">
        <f t="shared" si="547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48"/>
        <v>43684091.636631854</v>
      </c>
      <c r="AJ1877" s="19">
        <f t="shared" si="549"/>
        <v>6483951.8242071122</v>
      </c>
      <c r="AK1877" s="20">
        <f t="shared" si="556"/>
        <v>0.14842821680123736</v>
      </c>
      <c r="AL1877" s="17"/>
      <c r="AM1877" s="17"/>
      <c r="AN1877" s="17"/>
      <c r="AO1877" s="17"/>
      <c r="AP1877" s="28" t="str">
        <f t="shared" si="557"/>
        <v>20214</v>
      </c>
      <c r="AQ1877" s="28" t="str">
        <f t="shared" si="558"/>
        <v>20214RMB</v>
      </c>
      <c r="AR1877" s="206" t="str">
        <f t="shared" si="559"/>
        <v>YAMAHA_Mounter</v>
      </c>
      <c r="AS1877" s="22">
        <f t="shared" si="560"/>
        <v>3</v>
      </c>
      <c r="AT1877" s="24" t="str">
        <f t="shared" si="561"/>
        <v>0-3 months</v>
      </c>
      <c r="AU1877" s="22" t="s">
        <v>3240</v>
      </c>
    </row>
    <row r="1878" spans="1:47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55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62"/>
        <v>1110000</v>
      </c>
      <c r="AA1878" s="13">
        <v>1.21</v>
      </c>
      <c r="AB1878" s="21">
        <f t="shared" si="547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48"/>
        <v>29500529.005044252</v>
      </c>
      <c r="AJ1878" s="19">
        <f t="shared" si="549"/>
        <v>3253064.846231177</v>
      </c>
      <c r="AK1878" s="20">
        <f t="shared" si="556"/>
        <v>0.11027140718984871</v>
      </c>
      <c r="AL1878" s="17"/>
      <c r="AM1878" s="17"/>
      <c r="AN1878" s="17"/>
      <c r="AO1878" s="17"/>
      <c r="AP1878" s="28" t="str">
        <f t="shared" si="557"/>
        <v>202111</v>
      </c>
      <c r="AQ1878" s="28" t="str">
        <f t="shared" si="558"/>
        <v>202111RMB</v>
      </c>
      <c r="AR1878" s="206" t="str">
        <f t="shared" si="559"/>
        <v>YAMAHA_Mounter</v>
      </c>
      <c r="AS1878" s="22">
        <f t="shared" si="560"/>
        <v>1</v>
      </c>
      <c r="AT1878" s="24" t="str">
        <f t="shared" si="561"/>
        <v>0-3 months</v>
      </c>
      <c r="AU1878" s="22" t="s">
        <v>3240</v>
      </c>
    </row>
    <row r="1879" spans="1:47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55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62"/>
        <v>1110000</v>
      </c>
      <c r="AA1879" s="13">
        <v>1.21</v>
      </c>
      <c r="AB1879" s="21">
        <f t="shared" si="547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48"/>
        <v>29500529.005044252</v>
      </c>
      <c r="AJ1879" s="19">
        <f t="shared" si="549"/>
        <v>3253064.846231177</v>
      </c>
      <c r="AK1879" s="20">
        <f t="shared" si="556"/>
        <v>0.11027140718984871</v>
      </c>
      <c r="AL1879" s="17"/>
      <c r="AM1879" s="17"/>
      <c r="AN1879" s="17"/>
      <c r="AO1879" s="17"/>
      <c r="AP1879" s="28" t="str">
        <f t="shared" si="557"/>
        <v>202111</v>
      </c>
      <c r="AQ1879" s="28" t="str">
        <f t="shared" si="558"/>
        <v>202111RMB</v>
      </c>
      <c r="AR1879" s="206" t="str">
        <f t="shared" si="559"/>
        <v>YAMAHA_Mounter</v>
      </c>
      <c r="AS1879" s="22">
        <f t="shared" si="560"/>
        <v>1</v>
      </c>
      <c r="AT1879" s="24" t="str">
        <f t="shared" si="561"/>
        <v>0-3 months</v>
      </c>
      <c r="AU1879" s="22" t="s">
        <v>3240</v>
      </c>
    </row>
    <row r="1880" spans="1:47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3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55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64">IF(W1880="","",IF(W1880="RMB","1.13", "1"))</f>
        <v>1</v>
      </c>
      <c r="Z1880" s="18">
        <f t="shared" si="562"/>
        <v>11000000</v>
      </c>
      <c r="AA1880" s="13">
        <v>5.0999999999999997E-2</v>
      </c>
      <c r="AB1880" s="21">
        <f t="shared" si="547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48"/>
        <v>27308925.887079656</v>
      </c>
      <c r="AJ1880" s="27">
        <f t="shared" si="549"/>
        <v>3319273.860338124</v>
      </c>
      <c r="AK1880" s="28">
        <f t="shared" si="556"/>
        <v>0.12154538314919709</v>
      </c>
      <c r="AL1880" s="24"/>
      <c r="AM1880" s="24"/>
      <c r="AN1880" s="24"/>
      <c r="AO1880" s="24"/>
      <c r="AP1880" s="28" t="str">
        <f t="shared" si="557"/>
        <v>20246</v>
      </c>
      <c r="AQ1880" s="28" t="str">
        <f t="shared" si="558"/>
        <v>20246JPY</v>
      </c>
      <c r="AR1880" s="206" t="str">
        <f t="shared" si="559"/>
        <v>YAMAHA_Mounter</v>
      </c>
      <c r="AS1880" s="22">
        <f t="shared" si="560"/>
        <v>3</v>
      </c>
      <c r="AT1880" s="24" t="str">
        <f t="shared" si="561"/>
        <v>0-3 months</v>
      </c>
      <c r="AU1880" s="22" t="s">
        <v>3744</v>
      </c>
    </row>
    <row r="1881" spans="1:47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3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55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64"/>
        <v>1.13</v>
      </c>
      <c r="Z1881" s="18">
        <f t="shared" si="562"/>
        <v>837083.3</v>
      </c>
      <c r="AA1881" s="22">
        <v>1.08</v>
      </c>
      <c r="AB1881" s="21">
        <f t="shared" si="547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48"/>
        <v>27308925.887079656</v>
      </c>
      <c r="AJ1881" s="27">
        <f t="shared" si="549"/>
        <v>3319273.860338124</v>
      </c>
      <c r="AK1881" s="28">
        <f t="shared" si="556"/>
        <v>0.12154538314919709</v>
      </c>
      <c r="AL1881" s="24"/>
      <c r="AM1881" s="24"/>
      <c r="AN1881" s="24"/>
      <c r="AO1881" s="24"/>
      <c r="AP1881" s="28" t="str">
        <f t="shared" si="557"/>
        <v>20246</v>
      </c>
      <c r="AQ1881" s="28" t="str">
        <f t="shared" si="558"/>
        <v>20246RMB</v>
      </c>
      <c r="AR1881" s="206" t="str">
        <f t="shared" si="559"/>
        <v>YAMAHA_Mounter</v>
      </c>
      <c r="AS1881" s="22">
        <f t="shared" si="560"/>
        <v>2</v>
      </c>
      <c r="AT1881" s="24" t="str">
        <f t="shared" si="561"/>
        <v>0-3 months</v>
      </c>
      <c r="AU1881" s="22" t="s">
        <v>3750</v>
      </c>
    </row>
    <row r="1882" spans="1:47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3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55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64"/>
        <v>1.13</v>
      </c>
      <c r="Z1882" s="18">
        <f t="shared" si="562"/>
        <v>837083.3</v>
      </c>
      <c r="AA1882" s="22">
        <v>1.08</v>
      </c>
      <c r="AB1882" s="21">
        <f t="shared" si="547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48"/>
        <v>27308925.887079656</v>
      </c>
      <c r="AJ1882" s="27">
        <f t="shared" si="549"/>
        <v>3319273.860338124</v>
      </c>
      <c r="AK1882" s="28">
        <f t="shared" si="556"/>
        <v>0.12154538314919709</v>
      </c>
      <c r="AL1882" s="24"/>
      <c r="AM1882" s="24"/>
      <c r="AN1882" s="24"/>
      <c r="AO1882" s="24"/>
      <c r="AP1882" s="28" t="str">
        <f t="shared" si="557"/>
        <v>20246</v>
      </c>
      <c r="AQ1882" s="28" t="str">
        <f t="shared" si="558"/>
        <v>20246RMB</v>
      </c>
      <c r="AR1882" s="206" t="str">
        <f t="shared" si="559"/>
        <v>YAMAHA_Mounter</v>
      </c>
      <c r="AS1882" s="22">
        <f t="shared" si="560"/>
        <v>2</v>
      </c>
      <c r="AT1882" s="24" t="str">
        <f t="shared" si="561"/>
        <v>0-3 months</v>
      </c>
      <c r="AU1882" s="22" t="s">
        <v>3750</v>
      </c>
    </row>
    <row r="1883" spans="1:47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3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55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64"/>
        <v>1</v>
      </c>
      <c r="Z1883" s="18">
        <f t="shared" si="562"/>
        <v>6891220</v>
      </c>
      <c r="AA1883" s="22">
        <v>5.0999999999999997E-2</v>
      </c>
      <c r="AB1883" s="21">
        <f t="shared" si="547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48"/>
        <v>27308925.887079656</v>
      </c>
      <c r="AJ1883" s="27">
        <f t="shared" si="549"/>
        <v>3319273.860338124</v>
      </c>
      <c r="AK1883" s="28">
        <f t="shared" si="556"/>
        <v>0.12154538314919709</v>
      </c>
      <c r="AL1883" s="24"/>
      <c r="AM1883" s="24"/>
      <c r="AN1883" s="24"/>
      <c r="AO1883" s="24"/>
      <c r="AP1883" s="28" t="str">
        <f t="shared" si="557"/>
        <v>20246</v>
      </c>
      <c r="AQ1883" s="28" t="str">
        <f t="shared" si="558"/>
        <v>20246JPY</v>
      </c>
      <c r="AR1883" s="206" t="str">
        <f t="shared" si="559"/>
        <v>YAMAHA_Mounter</v>
      </c>
      <c r="AS1883" s="22">
        <f t="shared" si="560"/>
        <v>2</v>
      </c>
      <c r="AT1883" s="24" t="str">
        <f t="shared" si="561"/>
        <v>0-3 months</v>
      </c>
      <c r="AU1883" s="22" t="s">
        <v>3240</v>
      </c>
    </row>
    <row r="1884" spans="1:47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3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55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64"/>
        <v>1</v>
      </c>
      <c r="Z1884" s="18">
        <f t="shared" si="562"/>
        <v>6891220</v>
      </c>
      <c r="AA1884" s="22">
        <v>5.0999999999999997E-2</v>
      </c>
      <c r="AB1884" s="21">
        <f t="shared" si="547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48"/>
        <v>27308925.887079656</v>
      </c>
      <c r="AJ1884" s="27">
        <f t="shared" si="549"/>
        <v>3319273.860338124</v>
      </c>
      <c r="AK1884" s="28">
        <f t="shared" si="556"/>
        <v>0.12154538314919709</v>
      </c>
      <c r="AL1884" s="24"/>
      <c r="AM1884" s="24"/>
      <c r="AN1884" s="24"/>
      <c r="AO1884" s="24"/>
      <c r="AP1884" s="28" t="str">
        <f t="shared" si="557"/>
        <v>20246</v>
      </c>
      <c r="AQ1884" s="28" t="str">
        <f t="shared" si="558"/>
        <v>20246JPY</v>
      </c>
      <c r="AR1884" s="206" t="str">
        <f t="shared" si="559"/>
        <v>YAMAHA_Mounter</v>
      </c>
      <c r="AS1884" s="22">
        <f t="shared" si="560"/>
        <v>2</v>
      </c>
      <c r="AT1884" s="24" t="str">
        <f t="shared" si="561"/>
        <v>0-3 months</v>
      </c>
      <c r="AU1884" s="22" t="s">
        <v>3240</v>
      </c>
    </row>
    <row r="1885" spans="1:47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3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55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64"/>
        <v>1</v>
      </c>
      <c r="Z1885" s="18">
        <f t="shared" si="562"/>
        <v>6891220</v>
      </c>
      <c r="AA1885" s="22">
        <v>5.0999999999999997E-2</v>
      </c>
      <c r="AB1885" s="21">
        <f t="shared" si="547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48"/>
        <v>27308925.887079656</v>
      </c>
      <c r="AJ1885" s="27">
        <f t="shared" si="549"/>
        <v>3319273.860338124</v>
      </c>
      <c r="AK1885" s="28">
        <f t="shared" si="556"/>
        <v>0.12154538314919709</v>
      </c>
      <c r="AL1885" s="24"/>
      <c r="AM1885" s="24"/>
      <c r="AN1885" s="24"/>
      <c r="AO1885" s="24"/>
      <c r="AP1885" s="28" t="str">
        <f t="shared" si="557"/>
        <v>20246</v>
      </c>
      <c r="AQ1885" s="28" t="str">
        <f t="shared" si="558"/>
        <v>20246JPY</v>
      </c>
      <c r="AR1885" s="206" t="str">
        <f t="shared" si="559"/>
        <v>YAMAHA_Mounter</v>
      </c>
      <c r="AS1885" s="22">
        <f t="shared" si="560"/>
        <v>2</v>
      </c>
      <c r="AT1885" s="24" t="str">
        <f t="shared" si="561"/>
        <v>0-3 months</v>
      </c>
      <c r="AU1885" s="22" t="s">
        <v>3240</v>
      </c>
    </row>
    <row r="1886" spans="1:47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3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55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64"/>
        <v>1</v>
      </c>
      <c r="Z1886" s="18">
        <f t="shared" si="562"/>
        <v>6891220</v>
      </c>
      <c r="AA1886" s="22">
        <v>5.0999999999999997E-2</v>
      </c>
      <c r="AB1886" s="21">
        <f t="shared" si="547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48"/>
        <v>27308925.887079656</v>
      </c>
      <c r="AJ1886" s="27">
        <f t="shared" si="549"/>
        <v>3319273.860338124</v>
      </c>
      <c r="AK1886" s="28">
        <f t="shared" si="556"/>
        <v>0.12154538314919709</v>
      </c>
      <c r="AL1886" s="24"/>
      <c r="AM1886" s="24"/>
      <c r="AN1886" s="24"/>
      <c r="AO1886" s="24"/>
      <c r="AP1886" s="28" t="str">
        <f t="shared" si="557"/>
        <v>20246</v>
      </c>
      <c r="AQ1886" s="28" t="str">
        <f t="shared" si="558"/>
        <v>20246JPY</v>
      </c>
      <c r="AR1886" s="206" t="str">
        <f t="shared" si="559"/>
        <v>YAMAHA_Mounter</v>
      </c>
      <c r="AS1886" s="22">
        <f t="shared" si="560"/>
        <v>2</v>
      </c>
      <c r="AT1886" s="24" t="str">
        <f t="shared" si="561"/>
        <v>0-3 months</v>
      </c>
      <c r="AU1886" s="22" t="s">
        <v>3240</v>
      </c>
    </row>
    <row r="1887" spans="1:47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55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62"/>
        <v>800000</v>
      </c>
      <c r="AA1887" s="13">
        <v>1.23</v>
      </c>
      <c r="AB1887" s="21">
        <f t="shared" si="547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48"/>
        <v>34109166.105589926</v>
      </c>
      <c r="AJ1887" s="19">
        <f t="shared" si="549"/>
        <v>4642032.7199573703</v>
      </c>
      <c r="AK1887" s="20">
        <f t="shared" si="556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557"/>
        <v>20185</v>
      </c>
      <c r="AQ1887" s="28" t="str">
        <f t="shared" si="558"/>
        <v>20185RMB</v>
      </c>
      <c r="AR1887" s="206" t="str">
        <f t="shared" si="559"/>
        <v>YAMAHA_Mounter</v>
      </c>
      <c r="AS1887" s="22">
        <f t="shared" si="560"/>
        <v>6</v>
      </c>
      <c r="AT1887" s="24" t="str">
        <f t="shared" si="561"/>
        <v>4-6 months</v>
      </c>
      <c r="AU1887" s="22" t="s">
        <v>3240</v>
      </c>
    </row>
    <row r="1888" spans="1:47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55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62"/>
        <v>710000</v>
      </c>
      <c r="AA1888" s="13">
        <v>1.23</v>
      </c>
      <c r="AB1888" s="21">
        <f t="shared" si="547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48"/>
        <v>34109166.105589926</v>
      </c>
      <c r="AJ1888" s="19">
        <f t="shared" si="549"/>
        <v>4642032.7199573703</v>
      </c>
      <c r="AK1888" s="20">
        <f t="shared" si="556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557"/>
        <v>20185</v>
      </c>
      <c r="AQ1888" s="28" t="str">
        <f t="shared" si="558"/>
        <v>20185RMB</v>
      </c>
      <c r="AR1888" s="206" t="str">
        <f t="shared" si="559"/>
        <v>YAMAHA_Mounter</v>
      </c>
      <c r="AS1888" s="22">
        <f t="shared" si="560"/>
        <v>6</v>
      </c>
      <c r="AT1888" s="24" t="str">
        <f t="shared" si="561"/>
        <v>4-6 months</v>
      </c>
      <c r="AU1888" s="22" t="s">
        <v>3240</v>
      </c>
    </row>
    <row r="1889" spans="1:47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55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62"/>
        <v>630000</v>
      </c>
      <c r="AA1889" s="13">
        <v>1.22</v>
      </c>
      <c r="AB1889" s="21">
        <f t="shared" si="547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48"/>
        <v>26407088.359292038</v>
      </c>
      <c r="AJ1889" s="19">
        <f t="shared" si="549"/>
        <v>3424510.6998470789</v>
      </c>
      <c r="AK1889" s="20">
        <f t="shared" si="556"/>
        <v>0.12968149510667554</v>
      </c>
      <c r="AL1889" s="17"/>
      <c r="AM1889" s="17"/>
      <c r="AN1889" s="17"/>
      <c r="AO1889" s="17"/>
      <c r="AP1889" s="28" t="str">
        <f t="shared" si="557"/>
        <v>20221</v>
      </c>
      <c r="AQ1889" s="28" t="str">
        <f t="shared" si="558"/>
        <v>20221RMB</v>
      </c>
      <c r="AR1889" s="206" t="str">
        <f t="shared" si="559"/>
        <v>YAMAHA_Mounter</v>
      </c>
      <c r="AS1889" s="22">
        <f t="shared" si="560"/>
        <v>2</v>
      </c>
      <c r="AT1889" s="24" t="str">
        <f t="shared" si="561"/>
        <v>0-3 months</v>
      </c>
      <c r="AU1889" s="22" t="s">
        <v>3240</v>
      </c>
    </row>
    <row r="1890" spans="1:47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55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62"/>
        <v>1000000</v>
      </c>
      <c r="AA1890" s="13">
        <v>1.22</v>
      </c>
      <c r="AB1890" s="21">
        <f t="shared" si="547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48"/>
        <v>26407088.359292038</v>
      </c>
      <c r="AJ1890" s="19">
        <f t="shared" si="549"/>
        <v>3424510.6998470789</v>
      </c>
      <c r="AK1890" s="20">
        <f t="shared" si="556"/>
        <v>0.12968149510667554</v>
      </c>
      <c r="AL1890" s="17"/>
      <c r="AM1890" s="17"/>
      <c r="AN1890" s="17"/>
      <c r="AO1890" s="17"/>
      <c r="AP1890" s="28" t="str">
        <f t="shared" si="557"/>
        <v>20221</v>
      </c>
      <c r="AQ1890" s="28" t="str">
        <f t="shared" si="558"/>
        <v>20221RMB</v>
      </c>
      <c r="AR1890" s="206" t="str">
        <f t="shared" si="559"/>
        <v>YAMAHA_Mounter</v>
      </c>
      <c r="AS1890" s="22">
        <f t="shared" si="560"/>
        <v>2</v>
      </c>
      <c r="AT1890" s="24" t="str">
        <f t="shared" si="561"/>
        <v>0-3 months</v>
      </c>
      <c r="AU1890" s="22" t="s">
        <v>3240</v>
      </c>
    </row>
    <row r="1891" spans="1:47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55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62"/>
        <v>1000000</v>
      </c>
      <c r="AA1891" s="13">
        <v>1.175</v>
      </c>
      <c r="AB1891" s="21">
        <f t="shared" si="547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48"/>
        <v>35682787.057522126</v>
      </c>
      <c r="AJ1891" s="19">
        <f t="shared" si="549"/>
        <v>5833368.3789623892</v>
      </c>
      <c r="AK1891" s="20">
        <f t="shared" si="556"/>
        <v>0.16347849649632912</v>
      </c>
      <c r="AL1891" s="17"/>
      <c r="AM1891" s="17"/>
      <c r="AN1891" s="17"/>
      <c r="AO1891" s="17"/>
      <c r="AP1891" s="28" t="str">
        <f t="shared" si="557"/>
        <v>20226</v>
      </c>
      <c r="AQ1891" s="28" t="str">
        <f t="shared" si="558"/>
        <v>20226RMB</v>
      </c>
      <c r="AR1891" s="206" t="str">
        <f t="shared" si="559"/>
        <v>YAMAHA_Mounter</v>
      </c>
      <c r="AS1891" s="22">
        <f t="shared" si="560"/>
        <v>3</v>
      </c>
      <c r="AT1891" s="24" t="str">
        <f t="shared" si="561"/>
        <v>0-3 months</v>
      </c>
      <c r="AU1891" s="22" t="s">
        <v>3240</v>
      </c>
    </row>
    <row r="1892" spans="1:47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55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62"/>
        <v>610000</v>
      </c>
      <c r="AA1892" s="13">
        <v>1.175</v>
      </c>
      <c r="AB1892" s="21">
        <f t="shared" si="547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48"/>
        <v>35682787.057522126</v>
      </c>
      <c r="AJ1892" s="19">
        <f t="shared" si="549"/>
        <v>5833368.3789623892</v>
      </c>
      <c r="AK1892" s="20">
        <f t="shared" si="556"/>
        <v>0.16347849649632912</v>
      </c>
      <c r="AL1892" s="17"/>
      <c r="AM1892" s="17"/>
      <c r="AN1892" s="17"/>
      <c r="AO1892" s="17"/>
      <c r="AP1892" s="28" t="str">
        <f t="shared" si="557"/>
        <v>20226</v>
      </c>
      <c r="AQ1892" s="28" t="str">
        <f t="shared" si="558"/>
        <v>20226RMB</v>
      </c>
      <c r="AR1892" s="206" t="str">
        <f t="shared" si="559"/>
        <v>YAMAHA_Mounter</v>
      </c>
      <c r="AS1892" s="22">
        <f t="shared" si="560"/>
        <v>3</v>
      </c>
      <c r="AT1892" s="24" t="str">
        <f t="shared" si="561"/>
        <v>0-3 months</v>
      </c>
      <c r="AU1892" s="22" t="s">
        <v>3240</v>
      </c>
    </row>
    <row r="1893" spans="1:47" s="12" customFormat="1">
      <c r="A1893" s="33" t="str">
        <f t="shared" si="550"/>
        <v>cancel</v>
      </c>
      <c r="B1893" s="152"/>
      <c r="C1893" s="152" t="s">
        <v>185</v>
      </c>
      <c r="D1893" s="33" t="str">
        <f t="shared" si="55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55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55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62"/>
        <v>7200000</v>
      </c>
      <c r="AA1893" s="13">
        <v>7.2800000000000004E-2</v>
      </c>
      <c r="AB1893" s="21">
        <f t="shared" si="547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48"/>
        <v>499582152.5142017</v>
      </c>
      <c r="AJ1893" s="19">
        <f t="shared" si="549"/>
        <v>59520528.679470733</v>
      </c>
      <c r="AK1893" s="20">
        <f t="shared" si="556"/>
        <v>0.11914062257814291</v>
      </c>
      <c r="AL1893" s="17"/>
      <c r="AM1893" s="17"/>
      <c r="AN1893" s="17"/>
      <c r="AO1893" s="17"/>
      <c r="AP1893" s="28" t="str">
        <f t="shared" si="557"/>
        <v>CancelCANCEL</v>
      </c>
      <c r="AQ1893" s="28" t="str">
        <f t="shared" si="558"/>
        <v>CancelCANCELJPY</v>
      </c>
      <c r="AR1893" s="206" t="str">
        <f t="shared" si="559"/>
        <v>YAMAHA_Mounter</v>
      </c>
      <c r="AS1893" s="22" t="str">
        <f t="shared" si="560"/>
        <v/>
      </c>
      <c r="AT1893" s="24" t="str">
        <f t="shared" si="561"/>
        <v/>
      </c>
      <c r="AU1893" s="22" t="s">
        <v>3744</v>
      </c>
    </row>
    <row r="1894" spans="1:47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55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62"/>
        <v>11000000</v>
      </c>
      <c r="AA1894" s="13">
        <v>7.3400000000000007E-2</v>
      </c>
      <c r="AB1894" s="21">
        <f t="shared" si="547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48"/>
        <v>35384300.169380538</v>
      </c>
      <c r="AJ1894" s="19">
        <f t="shared" si="549"/>
        <v>5044538.8896988509</v>
      </c>
      <c r="AK1894" s="20">
        <f t="shared" si="556"/>
        <v>0.14256432557804533</v>
      </c>
      <c r="AL1894" s="17"/>
      <c r="AM1894" s="17"/>
      <c r="AN1894" s="17"/>
      <c r="AO1894" s="17"/>
      <c r="AP1894" s="28" t="str">
        <f t="shared" si="557"/>
        <v>20207</v>
      </c>
      <c r="AQ1894" s="28" t="str">
        <f t="shared" si="558"/>
        <v>20207JPY</v>
      </c>
      <c r="AR1894" s="206" t="str">
        <f t="shared" si="559"/>
        <v>YAMAHA_Mounter</v>
      </c>
      <c r="AS1894" s="22">
        <f t="shared" si="560"/>
        <v>4</v>
      </c>
      <c r="AT1894" s="24" t="str">
        <f t="shared" si="561"/>
        <v>4-6 months</v>
      </c>
      <c r="AU1894" s="22" t="s">
        <v>3744</v>
      </c>
    </row>
    <row r="1895" spans="1:47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55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62"/>
        <v>9800000</v>
      </c>
      <c r="AA1895" s="13">
        <v>7.4300000000000005E-2</v>
      </c>
      <c r="AB1895" s="21">
        <f t="shared" si="547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48"/>
        <v>28065694.408805311</v>
      </c>
      <c r="AJ1895" s="19">
        <f t="shared" si="549"/>
        <v>4157433.2906989697</v>
      </c>
      <c r="AK1895" s="20">
        <f t="shared" si="556"/>
        <v>0.14813220831602228</v>
      </c>
      <c r="AL1895" s="17"/>
      <c r="AM1895" s="17"/>
      <c r="AN1895" s="17"/>
      <c r="AO1895" s="17"/>
      <c r="AP1895" s="28" t="str">
        <f t="shared" si="557"/>
        <v>20205</v>
      </c>
      <c r="AQ1895" s="28" t="str">
        <f t="shared" si="558"/>
        <v>20205JPY</v>
      </c>
      <c r="AR1895" s="206" t="str">
        <f t="shared" si="559"/>
        <v>YAMAHA_Mounter</v>
      </c>
      <c r="AS1895" s="22">
        <f t="shared" si="560"/>
        <v>2</v>
      </c>
      <c r="AT1895" s="24" t="str">
        <f t="shared" si="561"/>
        <v>0-3 months</v>
      </c>
      <c r="AU1895" s="22" t="s">
        <v>3744</v>
      </c>
    </row>
    <row r="1896" spans="1:47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55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62"/>
        <v>11834000</v>
      </c>
      <c r="AA1896" s="13">
        <v>7.4899999999999994E-2</v>
      </c>
      <c r="AB1896" s="21">
        <f t="shared" si="547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48"/>
        <v>47907808.356810622</v>
      </c>
      <c r="AJ1896" s="19">
        <f t="shared" si="549"/>
        <v>6027384.8806384448</v>
      </c>
      <c r="AK1896" s="20">
        <f t="shared" si="556"/>
        <v>0.12581216063459488</v>
      </c>
      <c r="AL1896" s="17"/>
      <c r="AM1896" s="17"/>
      <c r="AN1896" s="17"/>
      <c r="AO1896" s="17"/>
      <c r="AP1896" s="28" t="str">
        <f t="shared" si="557"/>
        <v>20209</v>
      </c>
      <c r="AQ1896" s="28" t="str">
        <f t="shared" si="558"/>
        <v>20209JPY</v>
      </c>
      <c r="AR1896" s="206" t="str">
        <f t="shared" si="559"/>
        <v>YAMAHA_Mounter</v>
      </c>
      <c r="AS1896" s="22">
        <f t="shared" si="560"/>
        <v>2</v>
      </c>
      <c r="AT1896" s="24" t="str">
        <f t="shared" si="561"/>
        <v>0-3 months</v>
      </c>
      <c r="AU1896" s="22" t="s">
        <v>3744</v>
      </c>
    </row>
    <row r="1897" spans="1:47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55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62"/>
        <v>7942000</v>
      </c>
      <c r="AA1897" s="13">
        <v>7.4899999999999994E-2</v>
      </c>
      <c r="AB1897" s="21">
        <f t="shared" si="547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48"/>
        <v>47907808.356810622</v>
      </c>
      <c r="AJ1897" s="19">
        <f t="shared" si="549"/>
        <v>6027384.8806384448</v>
      </c>
      <c r="AK1897" s="20">
        <f t="shared" si="556"/>
        <v>0.12581216063459488</v>
      </c>
      <c r="AL1897" s="17"/>
      <c r="AM1897" s="17"/>
      <c r="AN1897" s="17"/>
      <c r="AO1897" s="17"/>
      <c r="AP1897" s="28" t="str">
        <f t="shared" si="557"/>
        <v>20209</v>
      </c>
      <c r="AQ1897" s="28" t="str">
        <f t="shared" si="558"/>
        <v>20209JPY</v>
      </c>
      <c r="AR1897" s="206" t="str">
        <f t="shared" si="559"/>
        <v>YAMAHA_Mounter</v>
      </c>
      <c r="AS1897" s="22">
        <f t="shared" si="560"/>
        <v>2</v>
      </c>
      <c r="AT1897" s="24" t="str">
        <f t="shared" si="561"/>
        <v>0-3 months</v>
      </c>
      <c r="AU1897" s="22" t="s">
        <v>3744</v>
      </c>
    </row>
    <row r="1898" spans="1:47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55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62"/>
        <v>7186000</v>
      </c>
      <c r="AA1898" s="13">
        <v>7.6799999999999993E-2</v>
      </c>
      <c r="AB1898" s="21">
        <f t="shared" si="547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48"/>
        <v>45803245.025628321</v>
      </c>
      <c r="AJ1898" s="19">
        <f t="shared" si="549"/>
        <v>5664636.2584379362</v>
      </c>
      <c r="AK1898" s="20">
        <f t="shared" si="556"/>
        <v>0.12367325186825515</v>
      </c>
      <c r="AL1898" s="17"/>
      <c r="AM1898" s="17"/>
      <c r="AN1898" s="17"/>
      <c r="AO1898" s="17"/>
      <c r="AP1898" s="28" t="str">
        <f t="shared" si="557"/>
        <v>20211</v>
      </c>
      <c r="AQ1898" s="28" t="str">
        <f t="shared" si="558"/>
        <v>20211JPY</v>
      </c>
      <c r="AR1898" s="206" t="str">
        <f t="shared" si="559"/>
        <v>YAMAHA_Mounter</v>
      </c>
      <c r="AS1898" s="22">
        <f t="shared" si="560"/>
        <v>2</v>
      </c>
      <c r="AT1898" s="24" t="str">
        <f t="shared" si="561"/>
        <v>0-3 months</v>
      </c>
      <c r="AU1898" s="22" t="s">
        <v>3744</v>
      </c>
    </row>
    <row r="1899" spans="1:47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55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55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62"/>
        <v>7340000</v>
      </c>
      <c r="AA1899" s="13">
        <v>7.2400000000000006E-2</v>
      </c>
      <c r="AB1899" s="21">
        <f t="shared" si="547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48"/>
        <v>499582152.5142017</v>
      </c>
      <c r="AJ1899" s="19">
        <f t="shared" si="549"/>
        <v>59520528.679470733</v>
      </c>
      <c r="AK1899" s="20">
        <f t="shared" si="556"/>
        <v>0.11914062257814291</v>
      </c>
      <c r="AL1899" s="17"/>
      <c r="AM1899" s="17"/>
      <c r="AN1899" s="17"/>
      <c r="AO1899" s="17"/>
      <c r="AP1899" s="28" t="str">
        <f t="shared" si="557"/>
        <v>CancelCancel</v>
      </c>
      <c r="AQ1899" s="28" t="str">
        <f t="shared" si="558"/>
        <v>CancelCancelJPY</v>
      </c>
      <c r="AR1899" s="206" t="str">
        <f t="shared" si="559"/>
        <v>YAMAHA_Mounter</v>
      </c>
      <c r="AS1899" s="22" t="str">
        <f t="shared" si="560"/>
        <v/>
      </c>
      <c r="AT1899" s="24" t="str">
        <f t="shared" si="561"/>
        <v/>
      </c>
      <c r="AU1899" s="22" t="s">
        <v>3744</v>
      </c>
    </row>
    <row r="1900" spans="1:47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55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62"/>
        <v>14190000</v>
      </c>
      <c r="AA1900" s="13">
        <v>6.25E-2</v>
      </c>
      <c r="AB1900" s="21">
        <f t="shared" si="547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48"/>
        <v>35682787.057522126</v>
      </c>
      <c r="AJ1900" s="19">
        <f t="shared" si="549"/>
        <v>5833368.3789623892</v>
      </c>
      <c r="AK1900" s="20">
        <f t="shared" si="556"/>
        <v>0.16347849649632912</v>
      </c>
      <c r="AL1900" s="17"/>
      <c r="AM1900" s="17"/>
      <c r="AN1900" s="17"/>
      <c r="AO1900" s="17"/>
      <c r="AP1900" s="28" t="str">
        <f t="shared" si="557"/>
        <v>20226</v>
      </c>
      <c r="AQ1900" s="28" t="str">
        <f t="shared" si="558"/>
        <v>20226JPY</v>
      </c>
      <c r="AR1900" s="206" t="str">
        <f t="shared" si="559"/>
        <v>YAMAHA_Mounter</v>
      </c>
      <c r="AS1900" s="22">
        <f t="shared" si="560"/>
        <v>4</v>
      </c>
      <c r="AT1900" s="24" t="str">
        <f t="shared" si="561"/>
        <v>4-6 months</v>
      </c>
      <c r="AU1900" s="22" t="s">
        <v>3744</v>
      </c>
    </row>
    <row r="1901" spans="1:47" s="12" customFormat="1">
      <c r="A1901" s="33" t="str">
        <f t="shared" si="550"/>
        <v>cancel</v>
      </c>
      <c r="B1901" s="152"/>
      <c r="C1901" s="152" t="s">
        <v>185</v>
      </c>
      <c r="D1901" s="33" t="str">
        <f t="shared" si="55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55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55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62"/>
        <v>12274000</v>
      </c>
      <c r="AA1901" s="13">
        <v>7.2999999999999995E-2</v>
      </c>
      <c r="AB1901" s="21">
        <f t="shared" si="547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48"/>
        <v>499582152.5142017</v>
      </c>
      <c r="AJ1901" s="19">
        <f t="shared" si="549"/>
        <v>59520528.679470733</v>
      </c>
      <c r="AK1901" s="20">
        <f t="shared" si="556"/>
        <v>0.11914062257814291</v>
      </c>
      <c r="AL1901" s="17"/>
      <c r="AM1901" s="17"/>
      <c r="AN1901" s="17"/>
      <c r="AO1901" s="17"/>
      <c r="AP1901" s="28" t="str">
        <f t="shared" si="557"/>
        <v>CancelCancel</v>
      </c>
      <c r="AQ1901" s="28" t="str">
        <f t="shared" si="558"/>
        <v>CancelCancelJPY</v>
      </c>
      <c r="AR1901" s="206" t="str">
        <f t="shared" si="559"/>
        <v>YAMAHA_Mounter</v>
      </c>
      <c r="AS1901" s="22" t="str">
        <f t="shared" si="560"/>
        <v/>
      </c>
      <c r="AT1901" s="24" t="str">
        <f t="shared" si="561"/>
        <v/>
      </c>
      <c r="AU1901" s="22" t="s">
        <v>3744</v>
      </c>
    </row>
    <row r="1902" spans="1:47" s="12" customFormat="1">
      <c r="A1902" s="33" t="str">
        <f t="shared" si="550"/>
        <v>cancel</v>
      </c>
      <c r="B1902" s="152"/>
      <c r="C1902" s="152" t="s">
        <v>185</v>
      </c>
      <c r="D1902" s="33" t="str">
        <f t="shared" si="55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55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55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62"/>
        <v>14356000</v>
      </c>
      <c r="AA1902" s="13">
        <v>7.3400000000000007E-2</v>
      </c>
      <c r="AB1902" s="21">
        <f t="shared" si="547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48"/>
        <v>499582152.5142017</v>
      </c>
      <c r="AJ1902" s="19">
        <f t="shared" si="549"/>
        <v>59520528.679470733</v>
      </c>
      <c r="AK1902" s="20">
        <f t="shared" si="556"/>
        <v>0.11914062257814291</v>
      </c>
      <c r="AL1902" s="17"/>
      <c r="AM1902" s="17"/>
      <c r="AN1902" s="17"/>
      <c r="AO1902" s="17"/>
      <c r="AP1902" s="28" t="str">
        <f t="shared" si="557"/>
        <v>CancelCancel</v>
      </c>
      <c r="AQ1902" s="28" t="str">
        <f t="shared" si="558"/>
        <v>CancelCancelJPY</v>
      </c>
      <c r="AR1902" s="206" t="str">
        <f t="shared" si="559"/>
        <v>YAMAHA_Mounter</v>
      </c>
      <c r="AS1902" s="22" t="str">
        <f t="shared" si="560"/>
        <v/>
      </c>
      <c r="AT1902" s="24" t="str">
        <f t="shared" si="561"/>
        <v/>
      </c>
      <c r="AU1902" s="22" t="s">
        <v>3744</v>
      </c>
    </row>
    <row r="1903" spans="1:47" s="12" customFormat="1">
      <c r="A1903" s="33" t="str">
        <f t="shared" si="550"/>
        <v>cancel</v>
      </c>
      <c r="B1903" s="152"/>
      <c r="C1903" s="152" t="s">
        <v>185</v>
      </c>
      <c r="D1903" s="33" t="str">
        <f t="shared" si="55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55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55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62"/>
        <v>8758000</v>
      </c>
      <c r="AA1903" s="13">
        <v>7.5700000000000003E-2</v>
      </c>
      <c r="AB1903" s="21">
        <f t="shared" si="547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48"/>
        <v>499582152.5142017</v>
      </c>
      <c r="AJ1903" s="19">
        <f t="shared" si="549"/>
        <v>59520528.679470733</v>
      </c>
      <c r="AK1903" s="20">
        <f t="shared" si="556"/>
        <v>0.11914062257814291</v>
      </c>
      <c r="AL1903" s="17"/>
      <c r="AM1903" s="17"/>
      <c r="AN1903" s="17"/>
      <c r="AO1903" s="17"/>
      <c r="AP1903" s="28" t="str">
        <f t="shared" si="557"/>
        <v>CancelCancel</v>
      </c>
      <c r="AQ1903" s="28" t="str">
        <f t="shared" si="558"/>
        <v>CancelCancelJPY</v>
      </c>
      <c r="AR1903" s="206" t="str">
        <f t="shared" si="559"/>
        <v>YAMAHA_Mounter</v>
      </c>
      <c r="AS1903" s="22" t="str">
        <f t="shared" si="560"/>
        <v/>
      </c>
      <c r="AT1903" s="24" t="str">
        <f t="shared" si="561"/>
        <v/>
      </c>
      <c r="AU1903" s="22" t="s">
        <v>3744</v>
      </c>
    </row>
    <row r="1904" spans="1:47" s="12" customFormat="1">
      <c r="A1904" s="33" t="str">
        <f t="shared" si="550"/>
        <v>cancel</v>
      </c>
      <c r="B1904" s="152"/>
      <c r="C1904" s="152" t="s">
        <v>185</v>
      </c>
      <c r="D1904" s="33" t="str">
        <f t="shared" si="55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55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55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62"/>
        <v>7932000</v>
      </c>
      <c r="AA1904" s="13">
        <v>7.4899999999999994E-2</v>
      </c>
      <c r="AB1904" s="21">
        <f t="shared" si="547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48"/>
        <v>499582152.5142017</v>
      </c>
      <c r="AJ1904" s="19">
        <f t="shared" si="549"/>
        <v>59520528.679470733</v>
      </c>
      <c r="AK1904" s="20">
        <f t="shared" si="556"/>
        <v>0.11914062257814291</v>
      </c>
      <c r="AL1904" s="17"/>
      <c r="AM1904" s="17"/>
      <c r="AN1904" s="17"/>
      <c r="AO1904" s="17"/>
      <c r="AP1904" s="28" t="str">
        <f t="shared" si="557"/>
        <v>CancelCancel</v>
      </c>
      <c r="AQ1904" s="28" t="str">
        <f t="shared" si="558"/>
        <v>CancelCancelJPY</v>
      </c>
      <c r="AR1904" s="206" t="str">
        <f t="shared" si="559"/>
        <v>YAMAHA_Mounter</v>
      </c>
      <c r="AS1904" s="22" t="str">
        <f t="shared" si="560"/>
        <v/>
      </c>
      <c r="AT1904" s="24" t="str">
        <f t="shared" si="561"/>
        <v/>
      </c>
      <c r="AU1904" s="22" t="s">
        <v>3744</v>
      </c>
    </row>
    <row r="1905" spans="1:47" s="12" customFormat="1">
      <c r="A1905" s="33" t="str">
        <f t="shared" si="550"/>
        <v>cancel</v>
      </c>
      <c r="B1905" s="152"/>
      <c r="C1905" s="152" t="s">
        <v>185</v>
      </c>
      <c r="D1905" s="33" t="str">
        <f t="shared" si="55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55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55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62"/>
        <v>12306000</v>
      </c>
      <c r="AA1905" s="13">
        <v>7.4899999999999994E-2</v>
      </c>
      <c r="AB1905" s="21">
        <f t="shared" si="547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48"/>
        <v>499582152.5142017</v>
      </c>
      <c r="AJ1905" s="19">
        <f t="shared" si="549"/>
        <v>59520528.679470733</v>
      </c>
      <c r="AK1905" s="20">
        <f t="shared" si="556"/>
        <v>0.11914062257814291</v>
      </c>
      <c r="AL1905" s="17"/>
      <c r="AM1905" s="17"/>
      <c r="AN1905" s="17"/>
      <c r="AO1905" s="17"/>
      <c r="AP1905" s="28" t="str">
        <f t="shared" si="557"/>
        <v>CancelCancel</v>
      </c>
      <c r="AQ1905" s="28" t="str">
        <f t="shared" si="558"/>
        <v>CancelCancelJPY</v>
      </c>
      <c r="AR1905" s="206" t="str">
        <f t="shared" si="559"/>
        <v>YAMAHA_Mounter</v>
      </c>
      <c r="AS1905" s="22" t="str">
        <f t="shared" si="560"/>
        <v/>
      </c>
      <c r="AT1905" s="24" t="str">
        <f t="shared" si="561"/>
        <v/>
      </c>
      <c r="AU1905" s="22" t="s">
        <v>3744</v>
      </c>
    </row>
    <row r="1906" spans="1:47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55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62"/>
        <v>708000</v>
      </c>
      <c r="AA1906" s="13">
        <v>1.1399999999999999</v>
      </c>
      <c r="AB1906" s="21">
        <f t="shared" si="547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48"/>
        <v>29840797.698275864</v>
      </c>
      <c r="AJ1906" s="19">
        <f t="shared" si="549"/>
        <v>3940167.6555448272</v>
      </c>
      <c r="AK1906" s="20">
        <f t="shared" si="556"/>
        <v>0.13203962224416277</v>
      </c>
      <c r="AL1906" s="17"/>
      <c r="AM1906" s="17"/>
      <c r="AN1906" s="17"/>
      <c r="AO1906" s="17" t="s">
        <v>61</v>
      </c>
      <c r="AP1906" s="28" t="str">
        <f t="shared" si="557"/>
        <v>201812</v>
      </c>
      <c r="AQ1906" s="28" t="str">
        <f t="shared" si="558"/>
        <v>201812RMB</v>
      </c>
      <c r="AR1906" s="206" t="str">
        <f t="shared" si="559"/>
        <v>YAMAHA_Mounter</v>
      </c>
      <c r="AS1906" s="22">
        <f t="shared" si="560"/>
        <v>3</v>
      </c>
      <c r="AT1906" s="24" t="str">
        <f t="shared" si="561"/>
        <v>0-3 months</v>
      </c>
      <c r="AU1906" s="22" t="s">
        <v>3240</v>
      </c>
    </row>
    <row r="1907" spans="1:47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55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62"/>
        <v>1020000</v>
      </c>
      <c r="AA1907" s="13">
        <v>1.077</v>
      </c>
      <c r="AB1907" s="21">
        <f t="shared" si="547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48"/>
        <v>26078226.463097349</v>
      </c>
      <c r="AJ1907" s="19">
        <f t="shared" si="549"/>
        <v>3137870.4427774516</v>
      </c>
      <c r="AK1907" s="20">
        <f t="shared" si="556"/>
        <v>0.12032530077218917</v>
      </c>
      <c r="AL1907" s="17"/>
      <c r="AM1907" s="17"/>
      <c r="AN1907" s="17"/>
      <c r="AO1907" s="17"/>
      <c r="AP1907" s="28" t="str">
        <f t="shared" si="557"/>
        <v>20239</v>
      </c>
      <c r="AQ1907" s="28" t="str">
        <f t="shared" si="558"/>
        <v>20239RMB</v>
      </c>
      <c r="AR1907" s="206" t="str">
        <f t="shared" si="559"/>
        <v>YAMAHA_Mounter</v>
      </c>
      <c r="AS1907" s="22">
        <f t="shared" si="560"/>
        <v>11</v>
      </c>
      <c r="AT1907" s="24" t="str">
        <f t="shared" si="561"/>
        <v>&gt; 6 months</v>
      </c>
      <c r="AU1907" s="22" t="s">
        <v>3240</v>
      </c>
    </row>
    <row r="1908" spans="1:47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55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62"/>
        <v>450000</v>
      </c>
      <c r="AA1908" s="13">
        <v>1.077</v>
      </c>
      <c r="AB1908" s="21">
        <f t="shared" si="547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48"/>
        <v>26078226.463097349</v>
      </c>
      <c r="AJ1908" s="19">
        <f t="shared" si="549"/>
        <v>3137870.4427774516</v>
      </c>
      <c r="AK1908" s="20">
        <f t="shared" si="556"/>
        <v>0.12032530077218917</v>
      </c>
      <c r="AL1908" s="17"/>
      <c r="AM1908" s="17"/>
      <c r="AN1908" s="17"/>
      <c r="AO1908" s="17"/>
      <c r="AP1908" s="28" t="str">
        <f t="shared" si="557"/>
        <v>20239</v>
      </c>
      <c r="AQ1908" s="28" t="str">
        <f t="shared" si="558"/>
        <v>20239RMB</v>
      </c>
      <c r="AR1908" s="206" t="str">
        <f t="shared" si="559"/>
        <v>YAMAHA_Non_Mounter</v>
      </c>
      <c r="AS1908" s="22">
        <f t="shared" si="560"/>
        <v>11</v>
      </c>
      <c r="AT1908" s="24" t="str">
        <f t="shared" si="561"/>
        <v>&gt; 6 months</v>
      </c>
      <c r="AU1908" s="22" t="s">
        <v>3240</v>
      </c>
    </row>
    <row r="1909" spans="1:47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55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65">IF(W1909="RMB","1.13", "1")</f>
        <v>1.13</v>
      </c>
      <c r="Z1909" s="18">
        <f t="shared" si="562"/>
        <v>600000</v>
      </c>
      <c r="AA1909" s="13">
        <v>1.0900000000000001</v>
      </c>
      <c r="AB1909" s="21">
        <f t="shared" si="547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48"/>
        <v>17329060.066371687</v>
      </c>
      <c r="AJ1909" s="19">
        <f t="shared" si="549"/>
        <v>2472600.2142256643</v>
      </c>
      <c r="AK1909" s="20">
        <f t="shared" si="556"/>
        <v>0.14268518919984163</v>
      </c>
      <c r="AL1909" s="17"/>
      <c r="AM1909" s="17"/>
      <c r="AN1909" s="17"/>
      <c r="AO1909" s="17"/>
      <c r="AP1909" s="28" t="str">
        <f t="shared" si="557"/>
        <v>202212</v>
      </c>
      <c r="AQ1909" s="28" t="str">
        <f t="shared" si="558"/>
        <v>202212RMB</v>
      </c>
      <c r="AR1909" s="206" t="str">
        <f t="shared" si="559"/>
        <v>YAMAHA_Mounter</v>
      </c>
      <c r="AS1909" s="22">
        <f t="shared" si="560"/>
        <v>0</v>
      </c>
      <c r="AT1909" s="24" t="str">
        <f t="shared" si="561"/>
        <v>0-3 months</v>
      </c>
      <c r="AU1909" s="22" t="s">
        <v>3240</v>
      </c>
    </row>
    <row r="1910" spans="1:47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55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65"/>
        <v>1</v>
      </c>
      <c r="Z1910" s="18">
        <f t="shared" si="562"/>
        <v>10550000</v>
      </c>
      <c r="AA1910" s="13">
        <v>7.5700000000000003E-2</v>
      </c>
      <c r="AB1910" s="21">
        <f t="shared" ref="AB1910:AB1973" si="566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48"/>
        <v>31097187.02948761</v>
      </c>
      <c r="AJ1910" s="19">
        <f t="shared" si="549"/>
        <v>3892353.6644401965</v>
      </c>
      <c r="AK1910" s="20">
        <f t="shared" si="556"/>
        <v>0.12516738767237401</v>
      </c>
      <c r="AL1910" s="17"/>
      <c r="AM1910" s="17"/>
      <c r="AN1910" s="17"/>
      <c r="AO1910" s="17"/>
      <c r="AP1910" s="28" t="str">
        <f t="shared" si="557"/>
        <v>20212</v>
      </c>
      <c r="AQ1910" s="28" t="str">
        <f t="shared" si="558"/>
        <v>20212JPY</v>
      </c>
      <c r="AR1910" s="206" t="str">
        <f t="shared" si="559"/>
        <v>YAMAHA_Mounter</v>
      </c>
      <c r="AS1910" s="22">
        <f t="shared" si="560"/>
        <v>3</v>
      </c>
      <c r="AT1910" s="24" t="str">
        <f t="shared" si="561"/>
        <v>0-3 months</v>
      </c>
      <c r="AU1910" s="22" t="s">
        <v>3744</v>
      </c>
    </row>
    <row r="1911" spans="1:47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55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65"/>
        <v>1</v>
      </c>
      <c r="Z1911" s="18">
        <f t="shared" si="562"/>
        <v>6400000</v>
      </c>
      <c r="AA1911" s="13">
        <v>7.5700000000000003E-2</v>
      </c>
      <c r="AB1911" s="21">
        <f t="shared" si="566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48"/>
        <v>31097187.02948761</v>
      </c>
      <c r="AJ1911" s="19">
        <f t="shared" si="549"/>
        <v>3892353.6644401965</v>
      </c>
      <c r="AK1911" s="20">
        <f t="shared" si="556"/>
        <v>0.12516738767237401</v>
      </c>
      <c r="AL1911" s="17"/>
      <c r="AM1911" s="17"/>
      <c r="AN1911" s="17"/>
      <c r="AO1911" s="17" t="s">
        <v>1540</v>
      </c>
      <c r="AP1911" s="28" t="str">
        <f t="shared" si="557"/>
        <v>20212</v>
      </c>
      <c r="AQ1911" s="28" t="str">
        <f t="shared" si="558"/>
        <v>20212JPY</v>
      </c>
      <c r="AR1911" s="206" t="str">
        <f t="shared" si="559"/>
        <v>YAMAHA_Mounter</v>
      </c>
      <c r="AS1911" s="22">
        <f t="shared" si="560"/>
        <v>3</v>
      </c>
      <c r="AT1911" s="24" t="str">
        <f t="shared" si="561"/>
        <v>0-3 months</v>
      </c>
      <c r="AU1911" s="22" t="s">
        <v>3744</v>
      </c>
    </row>
    <row r="1912" spans="1:47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55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65"/>
        <v>1</v>
      </c>
      <c r="Z1912" s="18">
        <f t="shared" si="562"/>
        <v>6400000</v>
      </c>
      <c r="AA1912" s="13">
        <v>7.5700000000000003E-2</v>
      </c>
      <c r="AB1912" s="21">
        <f t="shared" si="566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48"/>
        <v>31097187.02948761</v>
      </c>
      <c r="AJ1912" s="19">
        <f t="shared" si="549"/>
        <v>3892353.6644401965</v>
      </c>
      <c r="AK1912" s="20">
        <f t="shared" si="556"/>
        <v>0.12516738767237401</v>
      </c>
      <c r="AL1912" s="17"/>
      <c r="AM1912" s="17"/>
      <c r="AN1912" s="17"/>
      <c r="AO1912" s="17" t="s">
        <v>1540</v>
      </c>
      <c r="AP1912" s="28" t="str">
        <f t="shared" si="557"/>
        <v>20212</v>
      </c>
      <c r="AQ1912" s="28" t="str">
        <f t="shared" si="558"/>
        <v>20212JPY</v>
      </c>
      <c r="AR1912" s="206" t="str">
        <f t="shared" si="559"/>
        <v>YAMAHA_Mounter</v>
      </c>
      <c r="AS1912" s="22">
        <f t="shared" si="560"/>
        <v>3</v>
      </c>
      <c r="AT1912" s="24" t="str">
        <f t="shared" si="561"/>
        <v>0-3 months</v>
      </c>
      <c r="AU1912" s="22" t="s">
        <v>3744</v>
      </c>
    </row>
    <row r="1913" spans="1:47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55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65"/>
        <v>1</v>
      </c>
      <c r="Z1913" s="18">
        <f t="shared" si="562"/>
        <v>10550000</v>
      </c>
      <c r="AA1913" s="13">
        <v>7.2099999999999997E-2</v>
      </c>
      <c r="AB1913" s="21">
        <f t="shared" si="566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48"/>
        <v>54700260.692079648</v>
      </c>
      <c r="AJ1913" s="19">
        <f t="shared" si="549"/>
        <v>7482899.5749188727</v>
      </c>
      <c r="AK1913" s="20">
        <f t="shared" si="556"/>
        <v>0.13679824337660537</v>
      </c>
      <c r="AL1913" s="17"/>
      <c r="AM1913" s="17"/>
      <c r="AN1913" s="17"/>
      <c r="AO1913" s="17"/>
      <c r="AP1913" s="28" t="str">
        <f t="shared" si="557"/>
        <v>20216</v>
      </c>
      <c r="AQ1913" s="28" t="str">
        <f t="shared" si="558"/>
        <v>20216JPY</v>
      </c>
      <c r="AR1913" s="206" t="str">
        <f t="shared" si="559"/>
        <v>YAMAHA_Mounter</v>
      </c>
      <c r="AS1913" s="22">
        <f t="shared" si="560"/>
        <v>7</v>
      </c>
      <c r="AT1913" s="24" t="str">
        <f t="shared" si="561"/>
        <v>&gt; 6 months</v>
      </c>
      <c r="AU1913" s="22" t="s">
        <v>3744</v>
      </c>
    </row>
    <row r="1914" spans="1:47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55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65"/>
        <v>1</v>
      </c>
      <c r="Z1914" s="18">
        <f t="shared" si="562"/>
        <v>10550000</v>
      </c>
      <c r="AA1914" s="13">
        <v>7.2400000000000006E-2</v>
      </c>
      <c r="AB1914" s="21">
        <f t="shared" si="566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48"/>
        <v>47458373.787610628</v>
      </c>
      <c r="AJ1914" s="19">
        <f t="shared" si="549"/>
        <v>7436880.1411522133</v>
      </c>
      <c r="AK1914" s="20">
        <f t="shared" si="556"/>
        <v>0.15670322321692506</v>
      </c>
      <c r="AL1914" s="17"/>
      <c r="AM1914" s="17"/>
      <c r="AN1914" s="17"/>
      <c r="AO1914" s="17"/>
      <c r="AP1914" s="28" t="str">
        <f t="shared" si="557"/>
        <v>20218</v>
      </c>
      <c r="AQ1914" s="28" t="str">
        <f t="shared" si="558"/>
        <v>20218JPY</v>
      </c>
      <c r="AR1914" s="206" t="str">
        <f t="shared" si="559"/>
        <v>YAMAHA_Mounter</v>
      </c>
      <c r="AS1914" s="22">
        <f t="shared" si="560"/>
        <v>9</v>
      </c>
      <c r="AT1914" s="24" t="str">
        <f t="shared" si="561"/>
        <v>&gt; 6 months</v>
      </c>
      <c r="AU1914" s="22" t="s">
        <v>3744</v>
      </c>
    </row>
    <row r="1915" spans="1:47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55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55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65"/>
        <v>1</v>
      </c>
      <c r="Z1915" s="18">
        <f t="shared" si="562"/>
        <v>10550000</v>
      </c>
      <c r="AA1915" s="13">
        <v>7.2400000000000006E-2</v>
      </c>
      <c r="AB1915" s="21">
        <f t="shared" si="566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48"/>
        <v>499582152.5142017</v>
      </c>
      <c r="AJ1915" s="19">
        <f t="shared" si="549"/>
        <v>59520528.679470733</v>
      </c>
      <c r="AK1915" s="20">
        <f t="shared" si="556"/>
        <v>0.11914062257814291</v>
      </c>
      <c r="AL1915" s="17"/>
      <c r="AM1915" s="17"/>
      <c r="AN1915" s="17"/>
      <c r="AO1915" s="17"/>
      <c r="AP1915" s="28" t="str">
        <f t="shared" si="557"/>
        <v>CancelCancel</v>
      </c>
      <c r="AQ1915" s="28" t="str">
        <f t="shared" si="558"/>
        <v>CancelCancelJPY</v>
      </c>
      <c r="AR1915" s="206" t="str">
        <f t="shared" si="559"/>
        <v>YAMAHA_Mounter</v>
      </c>
      <c r="AS1915" s="22" t="str">
        <f t="shared" si="560"/>
        <v/>
      </c>
      <c r="AT1915" s="24" t="str">
        <f t="shared" si="561"/>
        <v/>
      </c>
      <c r="AU1915" s="22" t="s">
        <v>3744</v>
      </c>
    </row>
    <row r="1916" spans="1:47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55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55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65"/>
        <v>1</v>
      </c>
      <c r="Z1916" s="18">
        <f t="shared" si="562"/>
        <v>10550000</v>
      </c>
      <c r="AA1916" s="13">
        <v>7.2400000000000006E-2</v>
      </c>
      <c r="AB1916" s="21">
        <f t="shared" si="566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48"/>
        <v>499582152.5142017</v>
      </c>
      <c r="AJ1916" s="19">
        <f t="shared" si="549"/>
        <v>59520528.679470733</v>
      </c>
      <c r="AK1916" s="20">
        <f t="shared" si="556"/>
        <v>0.11914062257814291</v>
      </c>
      <c r="AL1916" s="17"/>
      <c r="AM1916" s="17"/>
      <c r="AN1916" s="17"/>
      <c r="AO1916" s="17"/>
      <c r="AP1916" s="28" t="str">
        <f t="shared" si="557"/>
        <v>CancelCancel</v>
      </c>
      <c r="AQ1916" s="28" t="str">
        <f t="shared" si="558"/>
        <v>CancelCancelJPY</v>
      </c>
      <c r="AR1916" s="206" t="str">
        <f t="shared" si="559"/>
        <v>YAMAHA_Mounter</v>
      </c>
      <c r="AS1916" s="22" t="str">
        <f t="shared" si="560"/>
        <v/>
      </c>
      <c r="AT1916" s="24" t="str">
        <f t="shared" si="561"/>
        <v/>
      </c>
      <c r="AU1916" s="22" t="s">
        <v>3744</v>
      </c>
    </row>
    <row r="1917" spans="1:47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55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55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65"/>
        <v>1</v>
      </c>
      <c r="Z1917" s="18">
        <f t="shared" si="562"/>
        <v>10550000</v>
      </c>
      <c r="AA1917" s="13">
        <v>7.2400000000000006E-2</v>
      </c>
      <c r="AB1917" s="21">
        <f t="shared" si="566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48"/>
        <v>499582152.5142017</v>
      </c>
      <c r="AJ1917" s="19">
        <f t="shared" si="549"/>
        <v>59520528.679470733</v>
      </c>
      <c r="AK1917" s="20">
        <f t="shared" si="556"/>
        <v>0.11914062257814291</v>
      </c>
      <c r="AL1917" s="17"/>
      <c r="AM1917" s="17"/>
      <c r="AN1917" s="17"/>
      <c r="AO1917" s="17"/>
      <c r="AP1917" s="28" t="str">
        <f t="shared" si="557"/>
        <v>CancelCancel</v>
      </c>
      <c r="AQ1917" s="28" t="str">
        <f t="shared" si="558"/>
        <v>CancelCancelJPY</v>
      </c>
      <c r="AR1917" s="206" t="str">
        <f t="shared" si="559"/>
        <v>YAMAHA_Mounter</v>
      </c>
      <c r="AS1917" s="22" t="str">
        <f t="shared" si="560"/>
        <v/>
      </c>
      <c r="AT1917" s="24" t="str">
        <f t="shared" si="561"/>
        <v/>
      </c>
      <c r="AU1917" s="22" t="s">
        <v>3744</v>
      </c>
    </row>
    <row r="1918" spans="1:47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55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55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65"/>
        <v>1</v>
      </c>
      <c r="Z1918" s="18">
        <f t="shared" si="562"/>
        <v>10550000</v>
      </c>
      <c r="AA1918" s="13">
        <v>7.2400000000000006E-2</v>
      </c>
      <c r="AB1918" s="21">
        <f t="shared" si="566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48"/>
        <v>499582152.5142017</v>
      </c>
      <c r="AJ1918" s="19">
        <f t="shared" si="549"/>
        <v>59520528.679470733</v>
      </c>
      <c r="AK1918" s="20">
        <f t="shared" si="556"/>
        <v>0.11914062257814291</v>
      </c>
      <c r="AL1918" s="17"/>
      <c r="AM1918" s="17"/>
      <c r="AN1918" s="17"/>
      <c r="AO1918" s="17"/>
      <c r="AP1918" s="28" t="str">
        <f t="shared" si="557"/>
        <v>CancelCancel</v>
      </c>
      <c r="AQ1918" s="28" t="str">
        <f t="shared" si="558"/>
        <v>CancelCancelJPY</v>
      </c>
      <c r="AR1918" s="206" t="str">
        <f t="shared" si="559"/>
        <v>YAMAHA_Mounter</v>
      </c>
      <c r="AS1918" s="22" t="str">
        <f t="shared" si="560"/>
        <v/>
      </c>
      <c r="AT1918" s="24" t="str">
        <f t="shared" si="561"/>
        <v/>
      </c>
      <c r="AU1918" s="22" t="s">
        <v>3744</v>
      </c>
    </row>
    <row r="1919" spans="1:47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55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55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65"/>
        <v>1</v>
      </c>
      <c r="Z1919" s="18">
        <f t="shared" si="562"/>
        <v>10550000</v>
      </c>
      <c r="AA1919" s="13">
        <v>7.2400000000000006E-2</v>
      </c>
      <c r="AB1919" s="21">
        <f t="shared" si="566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48"/>
        <v>499582152.5142017</v>
      </c>
      <c r="AJ1919" s="19">
        <f t="shared" si="549"/>
        <v>59520528.679470733</v>
      </c>
      <c r="AK1919" s="20">
        <f t="shared" si="556"/>
        <v>0.11914062257814291</v>
      </c>
      <c r="AL1919" s="17"/>
      <c r="AM1919" s="17"/>
      <c r="AN1919" s="17"/>
      <c r="AO1919" s="17"/>
      <c r="AP1919" s="28" t="str">
        <f t="shared" si="557"/>
        <v>CancelCancel</v>
      </c>
      <c r="AQ1919" s="28" t="str">
        <f t="shared" si="558"/>
        <v>CancelCancelJPY</v>
      </c>
      <c r="AR1919" s="206" t="str">
        <f t="shared" si="559"/>
        <v>YAMAHA_Mounter</v>
      </c>
      <c r="AS1919" s="22" t="str">
        <f t="shared" si="560"/>
        <v/>
      </c>
      <c r="AT1919" s="24" t="str">
        <f t="shared" si="561"/>
        <v/>
      </c>
      <c r="AU1919" s="22" t="s">
        <v>3744</v>
      </c>
    </row>
    <row r="1920" spans="1:47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55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55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65"/>
        <v>1</v>
      </c>
      <c r="Z1920" s="18">
        <f t="shared" si="562"/>
        <v>10550000</v>
      </c>
      <c r="AA1920" s="13">
        <v>7.2400000000000006E-2</v>
      </c>
      <c r="AB1920" s="21">
        <f t="shared" si="566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48"/>
        <v>499582152.5142017</v>
      </c>
      <c r="AJ1920" s="19">
        <f t="shared" si="549"/>
        <v>59520528.679470733</v>
      </c>
      <c r="AK1920" s="20">
        <f t="shared" si="556"/>
        <v>0.11914062257814291</v>
      </c>
      <c r="AL1920" s="17"/>
      <c r="AM1920" s="17"/>
      <c r="AN1920" s="17"/>
      <c r="AO1920" s="17"/>
      <c r="AP1920" s="28" t="str">
        <f t="shared" si="557"/>
        <v>CancelCancel</v>
      </c>
      <c r="AQ1920" s="28" t="str">
        <f t="shared" si="558"/>
        <v>CancelCancelJPY</v>
      </c>
      <c r="AR1920" s="206" t="str">
        <f t="shared" si="559"/>
        <v>YAMAHA_Mounter</v>
      </c>
      <c r="AS1920" s="22" t="str">
        <f t="shared" si="560"/>
        <v/>
      </c>
      <c r="AT1920" s="24" t="str">
        <f t="shared" si="561"/>
        <v/>
      </c>
      <c r="AU1920" s="22" t="s">
        <v>3744</v>
      </c>
    </row>
    <row r="1921" spans="1:47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55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55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65"/>
        <v>1</v>
      </c>
      <c r="Z1921" s="18">
        <f t="shared" si="562"/>
        <v>10550000</v>
      </c>
      <c r="AA1921" s="13">
        <v>7.2400000000000006E-2</v>
      </c>
      <c r="AB1921" s="21">
        <f t="shared" si="566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48"/>
        <v>499582152.5142017</v>
      </c>
      <c r="AJ1921" s="19">
        <f t="shared" si="549"/>
        <v>59520528.679470733</v>
      </c>
      <c r="AK1921" s="20">
        <f t="shared" si="556"/>
        <v>0.11914062257814291</v>
      </c>
      <c r="AL1921" s="17"/>
      <c r="AM1921" s="17"/>
      <c r="AN1921" s="17"/>
      <c r="AO1921" s="17"/>
      <c r="AP1921" s="28" t="str">
        <f t="shared" si="557"/>
        <v>CancelCancel</v>
      </c>
      <c r="AQ1921" s="28" t="str">
        <f t="shared" si="558"/>
        <v>CancelCancelJPY</v>
      </c>
      <c r="AR1921" s="206" t="str">
        <f t="shared" si="559"/>
        <v>YAMAHA_Mounter</v>
      </c>
      <c r="AS1921" s="22" t="str">
        <f t="shared" si="560"/>
        <v/>
      </c>
      <c r="AT1921" s="24" t="str">
        <f t="shared" si="561"/>
        <v/>
      </c>
      <c r="AU1921" s="22" t="s">
        <v>3744</v>
      </c>
    </row>
    <row r="1922" spans="1:47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55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55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65"/>
        <v>1</v>
      </c>
      <c r="Z1922" s="18">
        <f t="shared" si="562"/>
        <v>6400000</v>
      </c>
      <c r="AA1922" s="13">
        <v>7.2400000000000006E-2</v>
      </c>
      <c r="AB1922" s="21">
        <f t="shared" si="566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ref="AI1922:AI1985" si="567">IF(P1922="C66 SERVICE","",SUMIFS(AB:AB,F:F,F1922,G:G,G1922,E:E,E1922))</f>
        <v>499582152.5142017</v>
      </c>
      <c r="AJ1922" s="19">
        <f t="shared" ref="AJ1922:AJ1985" si="568">IF(P1922="C66 SERVICE","",SUMIFS(AC:AC,F:F,F1922,G:G,G1922,E:E,E1922))</f>
        <v>59520528.679470733</v>
      </c>
      <c r="AK1922" s="20">
        <f t="shared" si="556"/>
        <v>0.11914062257814291</v>
      </c>
      <c r="AL1922" s="17"/>
      <c r="AM1922" s="17"/>
      <c r="AN1922" s="17"/>
      <c r="AO1922" s="17"/>
      <c r="AP1922" s="28" t="str">
        <f t="shared" si="557"/>
        <v>CancelCancel</v>
      </c>
      <c r="AQ1922" s="28" t="str">
        <f t="shared" si="558"/>
        <v>CancelCancelJPY</v>
      </c>
      <c r="AR1922" s="206" t="str">
        <f t="shared" si="559"/>
        <v>YAMAHA_Mounter</v>
      </c>
      <c r="AS1922" s="22" t="str">
        <f t="shared" si="560"/>
        <v/>
      </c>
      <c r="AT1922" s="24" t="str">
        <f t="shared" si="561"/>
        <v/>
      </c>
      <c r="AU1922" s="22" t="s">
        <v>3744</v>
      </c>
    </row>
    <row r="1923" spans="1:47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55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55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65"/>
        <v>1</v>
      </c>
      <c r="Z1923" s="18">
        <f t="shared" si="562"/>
        <v>6400000</v>
      </c>
      <c r="AA1923" s="13">
        <v>7.2400000000000006E-2</v>
      </c>
      <c r="AB1923" s="21">
        <f t="shared" si="566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67"/>
        <v>499582152.5142017</v>
      </c>
      <c r="AJ1923" s="19">
        <f t="shared" si="568"/>
        <v>59520528.679470733</v>
      </c>
      <c r="AK1923" s="20">
        <f t="shared" si="556"/>
        <v>0.11914062257814291</v>
      </c>
      <c r="AL1923" s="17"/>
      <c r="AM1923" s="17"/>
      <c r="AN1923" s="17"/>
      <c r="AO1923" s="17"/>
      <c r="AP1923" s="28" t="str">
        <f t="shared" si="557"/>
        <v>CancelCancel</v>
      </c>
      <c r="AQ1923" s="28" t="str">
        <f t="shared" si="558"/>
        <v>CancelCancelJPY</v>
      </c>
      <c r="AR1923" s="206" t="str">
        <f t="shared" si="559"/>
        <v>YAMAHA_Mounter</v>
      </c>
      <c r="AS1923" s="22" t="str">
        <f t="shared" si="560"/>
        <v/>
      </c>
      <c r="AT1923" s="24" t="str">
        <f t="shared" si="561"/>
        <v/>
      </c>
      <c r="AU1923" s="22" t="s">
        <v>3744</v>
      </c>
    </row>
    <row r="1924" spans="1:47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55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55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65"/>
        <v>1</v>
      </c>
      <c r="Z1924" s="18">
        <f t="shared" si="562"/>
        <v>6400000</v>
      </c>
      <c r="AA1924" s="13">
        <v>7.2400000000000006E-2</v>
      </c>
      <c r="AB1924" s="21">
        <f t="shared" si="566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67"/>
        <v>499582152.5142017</v>
      </c>
      <c r="AJ1924" s="19">
        <f t="shared" si="568"/>
        <v>59520528.679470733</v>
      </c>
      <c r="AK1924" s="20">
        <f t="shared" si="556"/>
        <v>0.11914062257814291</v>
      </c>
      <c r="AL1924" s="17"/>
      <c r="AM1924" s="17"/>
      <c r="AN1924" s="17"/>
      <c r="AO1924" s="17"/>
      <c r="AP1924" s="28" t="str">
        <f t="shared" si="557"/>
        <v>CancelCancel</v>
      </c>
      <c r="AQ1924" s="28" t="str">
        <f t="shared" si="558"/>
        <v>CancelCancelJPY</v>
      </c>
      <c r="AR1924" s="206" t="str">
        <f t="shared" si="559"/>
        <v>YAMAHA_Mounter</v>
      </c>
      <c r="AS1924" s="22" t="str">
        <f t="shared" si="560"/>
        <v/>
      </c>
      <c r="AT1924" s="24" t="str">
        <f t="shared" si="561"/>
        <v/>
      </c>
      <c r="AU1924" s="22" t="s">
        <v>3744</v>
      </c>
    </row>
    <row r="1925" spans="1:47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55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62"/>
        <v>16833680</v>
      </c>
      <c r="AA1925" s="13">
        <v>7.2099999999999997E-2</v>
      </c>
      <c r="AB1925" s="21">
        <f t="shared" si="566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67"/>
        <v>26754147.763010349</v>
      </c>
      <c r="AJ1925" s="19">
        <f t="shared" si="568"/>
        <v>3429137.9965357962</v>
      </c>
      <c r="AK1925" s="20">
        <f t="shared" si="556"/>
        <v>0.12817220069617921</v>
      </c>
      <c r="AL1925" s="17"/>
      <c r="AM1925" s="17"/>
      <c r="AN1925" s="17"/>
      <c r="AO1925" s="17"/>
      <c r="AP1925" s="28" t="str">
        <f t="shared" si="557"/>
        <v>20188</v>
      </c>
      <c r="AQ1925" s="28" t="str">
        <f t="shared" si="558"/>
        <v>20188JPY</v>
      </c>
      <c r="AR1925" s="206" t="str">
        <f t="shared" si="559"/>
        <v>YAMAHA_Mounter</v>
      </c>
      <c r="AS1925" s="22">
        <f t="shared" si="560"/>
        <v>5</v>
      </c>
      <c r="AT1925" s="24" t="str">
        <f t="shared" si="561"/>
        <v>4-6 months</v>
      </c>
      <c r="AU1925" s="22" t="s">
        <v>3745</v>
      </c>
    </row>
    <row r="1926" spans="1:47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62"/>
        <v>14820000</v>
      </c>
      <c r="AA1926" s="13">
        <v>7.2300000000000003E-2</v>
      </c>
      <c r="AB1926" s="21">
        <f t="shared" si="566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si="567"/>
        <v>499582152.5142017</v>
      </c>
      <c r="AJ1926" s="19">
        <f t="shared" si="568"/>
        <v>59520528.679470733</v>
      </c>
      <c r="AK1926" s="20">
        <f t="shared" ref="AK1926:AK1989" si="575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76">IF(F1926="","",F1926&amp;G1926)</f>
        <v>CancelCancel</v>
      </c>
      <c r="AQ1926" s="28" t="str">
        <f t="shared" ref="AQ1926:AQ1989" si="577">IF(W1926="","",F1926&amp;G1926&amp;W1926)</f>
        <v>CancelCancelJPY</v>
      </c>
      <c r="AR1926" s="206" t="str">
        <f t="shared" ref="AR1926:AR1989" si="578">IFERROR(IF(AND(M1926="YAMAHA", R1926="C28"), "YAMAHA_Non_Mounter", IF(AND(M1926="YAMAHA", R1926="C49"), "YAMAHA_Mounter", M1926)),"")</f>
        <v>YAMAHA_Mounter</v>
      </c>
      <c r="AS1926" s="22" t="str">
        <f t="shared" ref="AS1926:AS1989" si="579">IFERROR(IF(OR(G1926="TBA", G1926=""), "", DATEDIF(DATE(B1926, C1926, 1), DATE(F1926, G1926, 1), "M")),"")</f>
        <v/>
      </c>
      <c r="AT1926" s="24" t="str">
        <f t="shared" ref="AT1926:AT1989" si="580">IF(ISNUMBER(AS1926), IF(AS1926&gt;=0, IF(AS1926&lt;=3, "0-3 months", IF(AS1926&lt;=6, "4-6 months", "&gt; 6 months"))), "")</f>
        <v/>
      </c>
      <c r="AU1926" s="22" t="s">
        <v>3745</v>
      </c>
    </row>
    <row r="1927" spans="1:47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72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62"/>
        <v>17593685</v>
      </c>
      <c r="AA1927" s="13">
        <v>7.3599999999999999E-2</v>
      </c>
      <c r="AB1927" s="21">
        <f t="shared" si="566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67"/>
        <v>33477255.428389374</v>
      </c>
      <c r="AJ1927" s="19">
        <f t="shared" si="568"/>
        <v>4578663.362915583</v>
      </c>
      <c r="AK1927" s="20">
        <f t="shared" si="575"/>
        <v>0.13676937682988152</v>
      </c>
      <c r="AL1927" s="17"/>
      <c r="AM1927" s="17"/>
      <c r="AN1927" s="17"/>
      <c r="AO1927" s="17"/>
      <c r="AP1927" s="28" t="str">
        <f t="shared" si="576"/>
        <v>20204</v>
      </c>
      <c r="AQ1927" s="28" t="str">
        <f t="shared" si="577"/>
        <v>20204JPY</v>
      </c>
      <c r="AR1927" s="206" t="str">
        <f t="shared" si="578"/>
        <v>YAMAHA_Mounter</v>
      </c>
      <c r="AS1927" s="22">
        <f t="shared" si="579"/>
        <v>1</v>
      </c>
      <c r="AT1927" s="24" t="str">
        <f t="shared" si="580"/>
        <v>0-3 months</v>
      </c>
      <c r="AU1927" s="22" t="s">
        <v>3744</v>
      </c>
    </row>
    <row r="1928" spans="1:47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72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62"/>
        <v>11200000</v>
      </c>
      <c r="AA1928" s="13">
        <v>7.2099999999999997E-2</v>
      </c>
      <c r="AB1928" s="21">
        <f t="shared" si="566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67"/>
        <v>54700260.692079648</v>
      </c>
      <c r="AJ1928" s="19">
        <f t="shared" si="568"/>
        <v>7482899.5749188727</v>
      </c>
      <c r="AK1928" s="20">
        <f t="shared" si="575"/>
        <v>0.13679824337660537</v>
      </c>
      <c r="AL1928" s="17"/>
      <c r="AM1928" s="17"/>
      <c r="AN1928" s="17"/>
      <c r="AO1928" s="17"/>
      <c r="AP1928" s="28" t="str">
        <f t="shared" si="576"/>
        <v>20216</v>
      </c>
      <c r="AQ1928" s="28" t="str">
        <f t="shared" si="577"/>
        <v>20216JPY</v>
      </c>
      <c r="AR1928" s="206" t="str">
        <f t="shared" si="578"/>
        <v>YAMAHA_Mounter</v>
      </c>
      <c r="AS1928" s="22">
        <f t="shared" si="579"/>
        <v>3</v>
      </c>
      <c r="AT1928" s="24" t="str">
        <f t="shared" si="580"/>
        <v>0-3 months</v>
      </c>
      <c r="AU1928" s="22" t="s">
        <v>3744</v>
      </c>
    </row>
    <row r="1929" spans="1:47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72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62"/>
        <v>900000</v>
      </c>
      <c r="AA1929" s="13">
        <v>1.22</v>
      </c>
      <c r="AB1929" s="21">
        <f t="shared" si="566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67"/>
        <v>46600814.041769907</v>
      </c>
      <c r="AJ1929" s="19">
        <f t="shared" si="568"/>
        <v>5956366.3435927071</v>
      </c>
      <c r="AK1929" s="20">
        <f t="shared" si="575"/>
        <v>0.1278167874546958</v>
      </c>
      <c r="AL1929" s="17"/>
      <c r="AM1929" s="17"/>
      <c r="AN1929" s="17"/>
      <c r="AO1929" s="17" t="s">
        <v>2148</v>
      </c>
      <c r="AP1929" s="28" t="str">
        <f t="shared" si="576"/>
        <v>20224</v>
      </c>
      <c r="AQ1929" s="28" t="str">
        <f t="shared" si="577"/>
        <v>20224RMB</v>
      </c>
      <c r="AR1929" s="206" t="str">
        <f t="shared" si="578"/>
        <v>YAMAHA_Mounter</v>
      </c>
      <c r="AS1929" s="22">
        <f t="shared" si="579"/>
        <v>1</v>
      </c>
      <c r="AT1929" s="24" t="str">
        <f t="shared" si="580"/>
        <v>0-3 months</v>
      </c>
      <c r="AU1929" s="22" t="s">
        <v>3750</v>
      </c>
    </row>
    <row r="1930" spans="1:47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72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81">IF(X1930="","",X1930*MAX(O1930,N1930))</f>
        <v>860640</v>
      </c>
      <c r="AA1930" s="13">
        <v>1.163</v>
      </c>
      <c r="AB1930" s="21">
        <f t="shared" si="566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67"/>
        <v>35073581.838938057</v>
      </c>
      <c r="AJ1930" s="19">
        <f t="shared" si="568"/>
        <v>5034113.9728989396</v>
      </c>
      <c r="AK1930" s="20">
        <f t="shared" si="575"/>
        <v>0.14353007902118958</v>
      </c>
      <c r="AL1930" s="17"/>
      <c r="AM1930" s="17"/>
      <c r="AN1930" s="17"/>
      <c r="AO1930" s="17"/>
      <c r="AP1930" s="28" t="str">
        <f t="shared" si="576"/>
        <v>20228</v>
      </c>
      <c r="AQ1930" s="28" t="str">
        <f t="shared" si="577"/>
        <v>20228RMB</v>
      </c>
      <c r="AR1930" s="206" t="str">
        <f t="shared" si="578"/>
        <v>YAMAHA_Mounter</v>
      </c>
      <c r="AS1930" s="22">
        <f t="shared" si="579"/>
        <v>1</v>
      </c>
      <c r="AT1930" s="24" t="str">
        <f t="shared" si="580"/>
        <v>0-3 months</v>
      </c>
      <c r="AU1930" s="22" t="s">
        <v>3750</v>
      </c>
    </row>
    <row r="1931" spans="1:47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72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81"/>
        <v>8500000</v>
      </c>
      <c r="AA1931" s="13">
        <v>7.6100000000000001E-2</v>
      </c>
      <c r="AB1931" s="21">
        <f t="shared" si="566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67"/>
        <v>48763143.537654862</v>
      </c>
      <c r="AJ1931" s="19">
        <f t="shared" si="568"/>
        <v>5924029.9702154724</v>
      </c>
      <c r="AK1931" s="20">
        <f t="shared" si="575"/>
        <v>0.1214858095774925</v>
      </c>
      <c r="AL1931" s="17"/>
      <c r="AM1931" s="17"/>
      <c r="AN1931" s="17"/>
      <c r="AO1931" s="17" t="s">
        <v>1440</v>
      </c>
      <c r="AP1931" s="28" t="str">
        <f t="shared" si="576"/>
        <v>202012</v>
      </c>
      <c r="AQ1931" s="28" t="str">
        <f t="shared" si="577"/>
        <v>202012JPY</v>
      </c>
      <c r="AR1931" s="206" t="str">
        <f t="shared" si="578"/>
        <v>YAMAHA_Mounter</v>
      </c>
      <c r="AS1931" s="22">
        <f t="shared" si="579"/>
        <v>3</v>
      </c>
      <c r="AT1931" s="24" t="str">
        <f t="shared" si="580"/>
        <v>0-3 months</v>
      </c>
      <c r="AU1931" s="22" t="s">
        <v>3744</v>
      </c>
    </row>
    <row r="1932" spans="1:47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72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81"/>
        <v>1200000</v>
      </c>
      <c r="AA1932" s="13">
        <v>1.095</v>
      </c>
      <c r="AB1932" s="21">
        <f t="shared" si="566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67"/>
        <v>28647263.974455759</v>
      </c>
      <c r="AJ1932" s="19">
        <f t="shared" si="568"/>
        <v>3219855.6912513468</v>
      </c>
      <c r="AK1932" s="20">
        <f t="shared" si="575"/>
        <v>0.11239662168514358</v>
      </c>
      <c r="AL1932" s="17"/>
      <c r="AM1932" s="17"/>
      <c r="AN1932" s="17"/>
      <c r="AO1932" s="17"/>
      <c r="AP1932" s="28" t="str">
        <f t="shared" si="576"/>
        <v>201910</v>
      </c>
      <c r="AQ1932" s="28" t="str">
        <f t="shared" si="577"/>
        <v>201910RMB</v>
      </c>
      <c r="AR1932" s="206" t="str">
        <f t="shared" si="578"/>
        <v>YAMAHA_Mounter</v>
      </c>
      <c r="AS1932" s="22">
        <f t="shared" si="579"/>
        <v>2</v>
      </c>
      <c r="AT1932" s="24" t="str">
        <f t="shared" si="580"/>
        <v>0-3 months</v>
      </c>
      <c r="AU1932" s="22" t="s">
        <v>3743</v>
      </c>
    </row>
    <row r="1933" spans="1:47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72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81"/>
        <v>800000</v>
      </c>
      <c r="AA1933" s="13">
        <v>1.095</v>
      </c>
      <c r="AB1933" s="21">
        <f t="shared" si="566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67"/>
        <v>28647263.974455759</v>
      </c>
      <c r="AJ1933" s="19">
        <f t="shared" si="568"/>
        <v>3219855.6912513468</v>
      </c>
      <c r="AK1933" s="20">
        <f t="shared" si="575"/>
        <v>0.11239662168514358</v>
      </c>
      <c r="AL1933" s="17"/>
      <c r="AM1933" s="17"/>
      <c r="AN1933" s="17"/>
      <c r="AO1933" s="17"/>
      <c r="AP1933" s="28" t="str">
        <f t="shared" si="576"/>
        <v>201910</v>
      </c>
      <c r="AQ1933" s="28" t="str">
        <f t="shared" si="577"/>
        <v>201910RMB</v>
      </c>
      <c r="AR1933" s="206" t="str">
        <f t="shared" si="578"/>
        <v>YAMAHA_Mounter</v>
      </c>
      <c r="AS1933" s="22">
        <f t="shared" si="579"/>
        <v>2</v>
      </c>
      <c r="AT1933" s="24" t="str">
        <f t="shared" si="580"/>
        <v>0-3 months</v>
      </c>
      <c r="AU1933" s="22" t="s">
        <v>3743</v>
      </c>
    </row>
    <row r="1934" spans="1:47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72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81"/>
        <v>800000</v>
      </c>
      <c r="AA1934" s="13">
        <v>1.095</v>
      </c>
      <c r="AB1934" s="21">
        <f t="shared" si="566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67"/>
        <v>28647263.974455759</v>
      </c>
      <c r="AJ1934" s="19">
        <f t="shared" si="568"/>
        <v>3219855.6912513468</v>
      </c>
      <c r="AK1934" s="20">
        <f t="shared" si="575"/>
        <v>0.11239662168514358</v>
      </c>
      <c r="AL1934" s="17"/>
      <c r="AM1934" s="17"/>
      <c r="AN1934" s="17"/>
      <c r="AO1934" s="17"/>
      <c r="AP1934" s="28" t="str">
        <f t="shared" si="576"/>
        <v>201910</v>
      </c>
      <c r="AQ1934" s="28" t="str">
        <f t="shared" si="577"/>
        <v>201910RMB</v>
      </c>
      <c r="AR1934" s="206" t="str">
        <f t="shared" si="578"/>
        <v>YAMAHA_Mounter</v>
      </c>
      <c r="AS1934" s="22">
        <f t="shared" si="579"/>
        <v>2</v>
      </c>
      <c r="AT1934" s="24" t="str">
        <f t="shared" si="580"/>
        <v>0-3 months</v>
      </c>
      <c r="AU1934" s="22" t="s">
        <v>3743</v>
      </c>
    </row>
    <row r="1935" spans="1:47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72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81"/>
        <v>12800000</v>
      </c>
      <c r="AA1935" s="22">
        <v>5.0999999999999997E-2</v>
      </c>
      <c r="AB1935" s="197">
        <f t="shared" si="566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67"/>
        <v>27308925.887079656</v>
      </c>
      <c r="AJ1935" s="200">
        <f t="shared" si="568"/>
        <v>3319273.860338124</v>
      </c>
      <c r="AK1935" s="201">
        <f t="shared" si="575"/>
        <v>0.12154538314919709</v>
      </c>
      <c r="AL1935" s="24"/>
      <c r="AM1935" s="24"/>
      <c r="AN1935" s="24"/>
      <c r="AO1935" s="24"/>
      <c r="AP1935" s="28" t="str">
        <f t="shared" si="576"/>
        <v>20246</v>
      </c>
      <c r="AQ1935" s="28" t="str">
        <f t="shared" si="577"/>
        <v>20246JPY</v>
      </c>
      <c r="AR1935" s="206" t="str">
        <f t="shared" si="578"/>
        <v>YAMAHA_Mounter</v>
      </c>
      <c r="AS1935" s="22">
        <f t="shared" si="579"/>
        <v>1</v>
      </c>
      <c r="AT1935" s="24" t="str">
        <f t="shared" si="580"/>
        <v>0-3 months</v>
      </c>
      <c r="AU1935" s="22" t="s">
        <v>3744</v>
      </c>
    </row>
    <row r="1936" spans="1:47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72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81"/>
        <v>6750000</v>
      </c>
      <c r="AA1936" s="22">
        <v>5.0999999999999997E-2</v>
      </c>
      <c r="AB1936" s="21">
        <f t="shared" si="566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67"/>
        <v>27308925.887079656</v>
      </c>
      <c r="AJ1936" s="27">
        <f t="shared" si="568"/>
        <v>3319273.860338124</v>
      </c>
      <c r="AK1936" s="28">
        <f t="shared" si="575"/>
        <v>0.12154538314919709</v>
      </c>
      <c r="AL1936" s="24"/>
      <c r="AM1936" s="24"/>
      <c r="AN1936" s="24"/>
      <c r="AO1936" s="24"/>
      <c r="AP1936" s="28" t="str">
        <f t="shared" si="576"/>
        <v>20246</v>
      </c>
      <c r="AQ1936" s="28" t="str">
        <f t="shared" si="577"/>
        <v>20246JPY</v>
      </c>
      <c r="AR1936" s="206" t="str">
        <f t="shared" si="578"/>
        <v>YAMAHA_Mounter</v>
      </c>
      <c r="AS1936" s="22">
        <f t="shared" si="579"/>
        <v>2</v>
      </c>
      <c r="AT1936" s="24" t="str">
        <f t="shared" si="580"/>
        <v>0-3 months</v>
      </c>
      <c r="AU1936" s="22" t="s">
        <v>3744</v>
      </c>
    </row>
    <row r="1937" spans="1:47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72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81"/>
        <v>12000000</v>
      </c>
      <c r="AA1937" s="22">
        <v>5.0999999999999997E-2</v>
      </c>
      <c r="AB1937" s="21">
        <f t="shared" si="566"/>
        <v>612000</v>
      </c>
      <c r="AC1937" s="25">
        <f t="shared" si="573"/>
        <v>50428.800000000003</v>
      </c>
      <c r="AD1937" s="22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67"/>
        <v>27308925.887079656</v>
      </c>
      <c r="AJ1937" s="27">
        <f t="shared" si="568"/>
        <v>3319273.860338124</v>
      </c>
      <c r="AK1937" s="28">
        <f t="shared" si="575"/>
        <v>0.12154538314919709</v>
      </c>
      <c r="AL1937" s="24"/>
      <c r="AM1937" s="24"/>
      <c r="AN1937" s="24"/>
      <c r="AO1937" s="24"/>
      <c r="AP1937" s="28" t="str">
        <f t="shared" si="576"/>
        <v>20246</v>
      </c>
      <c r="AQ1937" s="28" t="str">
        <f t="shared" si="577"/>
        <v>20246JPY</v>
      </c>
      <c r="AR1937" s="206" t="str">
        <f t="shared" si="578"/>
        <v>YAMAHA_Mounter</v>
      </c>
      <c r="AS1937" s="22">
        <f t="shared" si="579"/>
        <v>2</v>
      </c>
      <c r="AT1937" s="24" t="str">
        <f t="shared" si="580"/>
        <v>0-3 months</v>
      </c>
      <c r="AU1937" s="22" t="s">
        <v>3744</v>
      </c>
    </row>
    <row r="1938" spans="1:47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72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81"/>
        <v>12000000</v>
      </c>
      <c r="AA1938" s="22">
        <v>5.0999999999999997E-2</v>
      </c>
      <c r="AB1938" s="21">
        <f t="shared" si="566"/>
        <v>612000</v>
      </c>
      <c r="AC1938" s="25">
        <f t="shared" si="573"/>
        <v>50428.800000000003</v>
      </c>
      <c r="AD1938" s="22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67"/>
        <v>27308925.887079656</v>
      </c>
      <c r="AJ1938" s="27">
        <f t="shared" si="568"/>
        <v>3319273.860338124</v>
      </c>
      <c r="AK1938" s="28">
        <f t="shared" si="575"/>
        <v>0.12154538314919709</v>
      </c>
      <c r="AL1938" s="24"/>
      <c r="AM1938" s="24"/>
      <c r="AN1938" s="24"/>
      <c r="AO1938" s="24"/>
      <c r="AP1938" s="28" t="str">
        <f t="shared" si="576"/>
        <v>20246</v>
      </c>
      <c r="AQ1938" s="28" t="str">
        <f t="shared" si="577"/>
        <v>20246JPY</v>
      </c>
      <c r="AR1938" s="206" t="str">
        <f t="shared" si="578"/>
        <v>YAMAHA_Mounter</v>
      </c>
      <c r="AS1938" s="22">
        <f t="shared" si="579"/>
        <v>2</v>
      </c>
      <c r="AT1938" s="24" t="str">
        <f t="shared" si="580"/>
        <v>0-3 months</v>
      </c>
      <c r="AU1938" s="22" t="s">
        <v>3744</v>
      </c>
    </row>
    <row r="1939" spans="1:47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72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82">IF(W1939="RMB","1.13", "1")</f>
        <v>1</v>
      </c>
      <c r="Z1939" s="18">
        <f t="shared" si="581"/>
        <v>11800000</v>
      </c>
      <c r="AA1939" s="13">
        <v>6.9199999999999998E-2</v>
      </c>
      <c r="AB1939" s="21">
        <f t="shared" si="566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67"/>
        <v>26407088.359292038</v>
      </c>
      <c r="AJ1939" s="19">
        <f t="shared" si="568"/>
        <v>3424510.6998470789</v>
      </c>
      <c r="AK1939" s="20">
        <f t="shared" si="575"/>
        <v>0.12968149510667554</v>
      </c>
      <c r="AL1939" s="17"/>
      <c r="AM1939" s="17"/>
      <c r="AN1939" s="17"/>
      <c r="AO1939" s="17"/>
      <c r="AP1939" s="28" t="str">
        <f t="shared" si="576"/>
        <v>20221</v>
      </c>
      <c r="AQ1939" s="28" t="str">
        <f t="shared" si="577"/>
        <v>20221JPY</v>
      </c>
      <c r="AR1939" s="206" t="str">
        <f t="shared" si="578"/>
        <v>YAMAHA_Mounter</v>
      </c>
      <c r="AS1939" s="22">
        <f t="shared" si="579"/>
        <v>10</v>
      </c>
      <c r="AT1939" s="24" t="str">
        <f t="shared" si="580"/>
        <v>&gt; 6 months</v>
      </c>
      <c r="AU1939" s="22" t="s">
        <v>3745</v>
      </c>
    </row>
    <row r="1940" spans="1:47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72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82"/>
        <v>1</v>
      </c>
      <c r="Z1940" s="18">
        <f t="shared" si="581"/>
        <v>8000000</v>
      </c>
      <c r="AA1940" s="13">
        <v>6.9199999999999998E-2</v>
      </c>
      <c r="AB1940" s="21">
        <f t="shared" si="566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67"/>
        <v>28726768.133805312</v>
      </c>
      <c r="AJ1940" s="19">
        <f t="shared" si="568"/>
        <v>3853638.1988864429</v>
      </c>
      <c r="AK1940" s="20">
        <f t="shared" si="575"/>
        <v>0.1341479898099476</v>
      </c>
      <c r="AL1940" s="17"/>
      <c r="AM1940" s="17"/>
      <c r="AN1940" s="17"/>
      <c r="AO1940" s="17"/>
      <c r="AP1940" s="28" t="str">
        <f t="shared" si="576"/>
        <v>20223</v>
      </c>
      <c r="AQ1940" s="28" t="str">
        <f t="shared" si="577"/>
        <v>20223JPY</v>
      </c>
      <c r="AR1940" s="206" t="str">
        <f t="shared" si="578"/>
        <v>YAMAHA_Mounter</v>
      </c>
      <c r="AS1940" s="22">
        <f t="shared" si="579"/>
        <v>12</v>
      </c>
      <c r="AT1940" s="24" t="str">
        <f t="shared" si="580"/>
        <v>&gt; 6 months</v>
      </c>
      <c r="AU1940" s="22" t="s">
        <v>3240</v>
      </c>
    </row>
    <row r="1941" spans="1:47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72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82"/>
        <v>1</v>
      </c>
      <c r="Z1941" s="18">
        <f t="shared" si="581"/>
        <v>12600000</v>
      </c>
      <c r="AA1941" s="13">
        <v>5.5399999999999998E-2</v>
      </c>
      <c r="AB1941" s="21">
        <f t="shared" si="566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67"/>
        <v>22717528.991150443</v>
      </c>
      <c r="AJ1941" s="19">
        <f t="shared" si="568"/>
        <v>3947747.192555753</v>
      </c>
      <c r="AK1941" s="20">
        <f t="shared" si="575"/>
        <v>0.1737753782153679</v>
      </c>
      <c r="AL1941" s="17"/>
      <c r="AM1941" s="17"/>
      <c r="AN1941" s="17"/>
      <c r="AO1941" s="17"/>
      <c r="AP1941" s="28" t="str">
        <f t="shared" si="576"/>
        <v>202210</v>
      </c>
      <c r="AQ1941" s="28" t="str">
        <f t="shared" si="577"/>
        <v>202210JPY</v>
      </c>
      <c r="AR1941" s="206" t="str">
        <f t="shared" si="578"/>
        <v>YAMAHA_Mounter</v>
      </c>
      <c r="AS1941" s="22">
        <f t="shared" si="579"/>
        <v>1</v>
      </c>
      <c r="AT1941" s="24" t="str">
        <f t="shared" si="580"/>
        <v>0-3 months</v>
      </c>
      <c r="AU1941" s="22" t="s">
        <v>3744</v>
      </c>
    </row>
    <row r="1942" spans="1:47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72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82"/>
        <v>1</v>
      </c>
      <c r="Z1942" s="18">
        <f t="shared" si="581"/>
        <v>7600000</v>
      </c>
      <c r="AA1942" s="13">
        <v>5.5399999999999998E-2</v>
      </c>
      <c r="AB1942" s="21">
        <f t="shared" si="566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67"/>
        <v>22717528.991150443</v>
      </c>
      <c r="AJ1942" s="19">
        <f t="shared" si="568"/>
        <v>3947747.192555753</v>
      </c>
      <c r="AK1942" s="20">
        <f t="shared" si="575"/>
        <v>0.1737753782153679</v>
      </c>
      <c r="AL1942" s="17"/>
      <c r="AM1942" s="17"/>
      <c r="AN1942" s="17"/>
      <c r="AO1942" s="17"/>
      <c r="AP1942" s="28" t="str">
        <f t="shared" si="576"/>
        <v>202210</v>
      </c>
      <c r="AQ1942" s="28" t="str">
        <f t="shared" si="577"/>
        <v>202210JPY</v>
      </c>
      <c r="AR1942" s="206" t="str">
        <f t="shared" si="578"/>
        <v>YAMAHA_Mounter</v>
      </c>
      <c r="AS1942" s="22">
        <f t="shared" si="579"/>
        <v>1</v>
      </c>
      <c r="AT1942" s="24" t="str">
        <f t="shared" si="580"/>
        <v>0-3 months</v>
      </c>
      <c r="AU1942" s="22" t="s">
        <v>3744</v>
      </c>
    </row>
    <row r="1943" spans="1:47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72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82"/>
        <v>1</v>
      </c>
      <c r="Z1943" s="18">
        <f t="shared" si="581"/>
        <v>7600000</v>
      </c>
      <c r="AA1943" s="13">
        <v>5.5399999999999998E-2</v>
      </c>
      <c r="AB1943" s="21">
        <f t="shared" si="566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67"/>
        <v>22717528.991150443</v>
      </c>
      <c r="AJ1943" s="19">
        <f t="shared" si="568"/>
        <v>3947747.192555753</v>
      </c>
      <c r="AK1943" s="20">
        <f t="shared" si="575"/>
        <v>0.1737753782153679</v>
      </c>
      <c r="AL1943" s="17"/>
      <c r="AM1943" s="17"/>
      <c r="AN1943" s="17"/>
      <c r="AO1943" s="17"/>
      <c r="AP1943" s="28" t="str">
        <f t="shared" si="576"/>
        <v>202210</v>
      </c>
      <c r="AQ1943" s="28" t="str">
        <f t="shared" si="577"/>
        <v>202210JPY</v>
      </c>
      <c r="AR1943" s="206" t="str">
        <f t="shared" si="578"/>
        <v>YAMAHA_Mounter</v>
      </c>
      <c r="AS1943" s="22">
        <f t="shared" si="579"/>
        <v>1</v>
      </c>
      <c r="AT1943" s="24" t="str">
        <f t="shared" si="580"/>
        <v>0-3 months</v>
      </c>
      <c r="AU1943" s="22" t="s">
        <v>3744</v>
      </c>
    </row>
    <row r="1944" spans="1:47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72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82"/>
        <v>1</v>
      </c>
      <c r="Z1944" s="18">
        <f t="shared" si="581"/>
        <v>7600000</v>
      </c>
      <c r="AA1944" s="13">
        <v>5.5399999999999998E-2</v>
      </c>
      <c r="AB1944" s="21">
        <f t="shared" si="566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67"/>
        <v>22717528.991150443</v>
      </c>
      <c r="AJ1944" s="19">
        <f t="shared" si="568"/>
        <v>3947747.192555753</v>
      </c>
      <c r="AK1944" s="20">
        <f t="shared" si="575"/>
        <v>0.1737753782153679</v>
      </c>
      <c r="AL1944" s="17"/>
      <c r="AM1944" s="17"/>
      <c r="AN1944" s="17"/>
      <c r="AO1944" s="17"/>
      <c r="AP1944" s="28" t="str">
        <f t="shared" si="576"/>
        <v>202210</v>
      </c>
      <c r="AQ1944" s="28" t="str">
        <f t="shared" si="577"/>
        <v>202210JPY</v>
      </c>
      <c r="AR1944" s="206" t="str">
        <f t="shared" si="578"/>
        <v>YAMAHA_Mounter</v>
      </c>
      <c r="AS1944" s="22">
        <f t="shared" si="579"/>
        <v>1</v>
      </c>
      <c r="AT1944" s="24" t="str">
        <f t="shared" si="580"/>
        <v>0-3 months</v>
      </c>
      <c r="AU1944" s="22" t="s">
        <v>3744</v>
      </c>
    </row>
    <row r="1945" spans="1:47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72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81"/>
        <v>9098400</v>
      </c>
      <c r="AA1945" s="13">
        <v>7.3200000000000001E-2</v>
      </c>
      <c r="AB1945" s="21">
        <f t="shared" si="566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67"/>
        <v>13250187.062905986</v>
      </c>
      <c r="AJ1945" s="19">
        <f t="shared" si="568"/>
        <v>1545643.7555487182</v>
      </c>
      <c r="AK1945" s="20">
        <f t="shared" si="575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6"/>
        <v>20183</v>
      </c>
      <c r="AQ1945" s="28" t="str">
        <f t="shared" si="577"/>
        <v>20183JPY</v>
      </c>
      <c r="AR1945" s="206" t="str">
        <f t="shared" si="578"/>
        <v>YAMAHA_Mounter</v>
      </c>
      <c r="AS1945" s="22">
        <f t="shared" si="579"/>
        <v>0</v>
      </c>
      <c r="AT1945" s="24" t="str">
        <f t="shared" si="580"/>
        <v>0-3 months</v>
      </c>
      <c r="AU1945" s="22" t="s">
        <v>3744</v>
      </c>
    </row>
    <row r="1946" spans="1:47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71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72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81"/>
        <v>9098400</v>
      </c>
      <c r="AA1946" s="13">
        <v>7.3200000000000001E-2</v>
      </c>
      <c r="AB1946" s="21">
        <f t="shared" si="566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67"/>
        <v>499582152.5142017</v>
      </c>
      <c r="AJ1946" s="19">
        <f t="shared" si="568"/>
        <v>59520528.679470733</v>
      </c>
      <c r="AK1946" s="20">
        <f t="shared" si="575"/>
        <v>0.11914062257814291</v>
      </c>
      <c r="AL1946" s="17"/>
      <c r="AM1946" s="17"/>
      <c r="AN1946" s="17"/>
      <c r="AO1946" s="17"/>
      <c r="AP1946" s="28" t="str">
        <f t="shared" si="576"/>
        <v>CancelCancel</v>
      </c>
      <c r="AQ1946" s="28" t="str">
        <f t="shared" si="577"/>
        <v>CancelCancelJPY</v>
      </c>
      <c r="AR1946" s="206" t="str">
        <f t="shared" si="578"/>
        <v>YAMAHA_Mounter</v>
      </c>
      <c r="AS1946" s="22" t="str">
        <f t="shared" si="579"/>
        <v/>
      </c>
      <c r="AT1946" s="24" t="str">
        <f t="shared" si="580"/>
        <v/>
      </c>
      <c r="AU1946" s="22" t="s">
        <v>3744</v>
      </c>
    </row>
    <row r="1947" spans="1:47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72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81"/>
        <v>12293400</v>
      </c>
      <c r="AA1947" s="13">
        <v>7.22E-2</v>
      </c>
      <c r="AB1947" s="21">
        <f t="shared" si="566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67"/>
        <v>47416008.333399981</v>
      </c>
      <c r="AJ1947" s="19">
        <f t="shared" si="568"/>
        <v>6981738.4465290187</v>
      </c>
      <c r="AK1947" s="20">
        <f t="shared" si="575"/>
        <v>0.14724433143839863</v>
      </c>
      <c r="AL1947" s="17"/>
      <c r="AM1947" s="17"/>
      <c r="AN1947" s="17"/>
      <c r="AO1947" s="17"/>
      <c r="AP1947" s="28" t="str">
        <f t="shared" si="576"/>
        <v>20193</v>
      </c>
      <c r="AQ1947" s="28" t="str">
        <f t="shared" si="577"/>
        <v>20193JPY</v>
      </c>
      <c r="AR1947" s="206" t="str">
        <f t="shared" si="578"/>
        <v>YAMAHA_Mounter</v>
      </c>
      <c r="AS1947" s="22">
        <f t="shared" si="579"/>
        <v>0</v>
      </c>
      <c r="AT1947" s="24" t="str">
        <f t="shared" si="580"/>
        <v>0-3 months</v>
      </c>
      <c r="AU1947" s="22" t="s">
        <v>3744</v>
      </c>
    </row>
    <row r="1948" spans="1:47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72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81"/>
        <v>9563000</v>
      </c>
      <c r="AA1948" s="13">
        <v>7.22E-2</v>
      </c>
      <c r="AB1948" s="21">
        <f t="shared" si="566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67"/>
        <v>47416008.333399981</v>
      </c>
      <c r="AJ1948" s="19">
        <f t="shared" si="568"/>
        <v>6981738.4465290187</v>
      </c>
      <c r="AK1948" s="20">
        <f t="shared" si="575"/>
        <v>0.14724433143839863</v>
      </c>
      <c r="AL1948" s="17"/>
      <c r="AM1948" s="17"/>
      <c r="AN1948" s="17"/>
      <c r="AO1948" s="17"/>
      <c r="AP1948" s="28" t="str">
        <f t="shared" si="576"/>
        <v>20193</v>
      </c>
      <c r="AQ1948" s="28" t="str">
        <f t="shared" si="577"/>
        <v>20193JPY</v>
      </c>
      <c r="AR1948" s="206" t="str">
        <f t="shared" si="578"/>
        <v>YAMAHA_Mounter</v>
      </c>
      <c r="AS1948" s="22">
        <f t="shared" si="579"/>
        <v>0</v>
      </c>
      <c r="AT1948" s="24" t="str">
        <f t="shared" si="580"/>
        <v>0-3 months</v>
      </c>
      <c r="AU1948" s="22" t="s">
        <v>3744</v>
      </c>
    </row>
    <row r="1949" spans="1:47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72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81"/>
        <v>9300000</v>
      </c>
      <c r="AA1949" s="13">
        <v>7.6100000000000001E-2</v>
      </c>
      <c r="AB1949" s="21">
        <f t="shared" si="566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67"/>
        <v>44078731.611185849</v>
      </c>
      <c r="AJ1949" s="19">
        <f t="shared" si="568"/>
        <v>5508173.2163771465</v>
      </c>
      <c r="AK1949" s="20">
        <f t="shared" si="575"/>
        <v>0.12496215328889679</v>
      </c>
      <c r="AL1949" s="17"/>
      <c r="AM1949" s="17"/>
      <c r="AN1949" s="17"/>
      <c r="AO1949" s="17"/>
      <c r="AP1949" s="28" t="str">
        <f t="shared" si="576"/>
        <v>202011</v>
      </c>
      <c r="AQ1949" s="28" t="str">
        <f t="shared" si="577"/>
        <v>202011JPY</v>
      </c>
      <c r="AR1949" s="206" t="str">
        <f t="shared" si="578"/>
        <v>YAMAHA_Mounter</v>
      </c>
      <c r="AS1949" s="22">
        <f t="shared" si="579"/>
        <v>4</v>
      </c>
      <c r="AT1949" s="24" t="str">
        <f t="shared" si="580"/>
        <v>4-6 months</v>
      </c>
      <c r="AU1949" s="22" t="s">
        <v>3744</v>
      </c>
    </row>
    <row r="1950" spans="1:47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72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81"/>
        <v>13000000</v>
      </c>
      <c r="AA1950" s="13">
        <v>7.17E-2</v>
      </c>
      <c r="AB1950" s="21">
        <f t="shared" si="566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67"/>
        <v>43684091.636631854</v>
      </c>
      <c r="AJ1950" s="19">
        <f t="shared" si="568"/>
        <v>6483951.8242071122</v>
      </c>
      <c r="AK1950" s="20">
        <f t="shared" si="575"/>
        <v>0.14842821680123736</v>
      </c>
      <c r="AL1950" s="17"/>
      <c r="AM1950" s="17"/>
      <c r="AN1950" s="17"/>
      <c r="AO1950" s="17"/>
      <c r="AP1950" s="28" t="str">
        <f t="shared" si="576"/>
        <v>20214</v>
      </c>
      <c r="AQ1950" s="28" t="str">
        <f t="shared" si="577"/>
        <v>20214JPY</v>
      </c>
      <c r="AR1950" s="206" t="str">
        <f t="shared" si="578"/>
        <v>YAMAHA_Mounter</v>
      </c>
      <c r="AS1950" s="22">
        <f t="shared" si="579"/>
        <v>4</v>
      </c>
      <c r="AT1950" s="24" t="str">
        <f t="shared" si="580"/>
        <v>4-6 months</v>
      </c>
      <c r="AU1950" s="22" t="s">
        <v>3744</v>
      </c>
    </row>
    <row r="1951" spans="1:47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72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81"/>
        <v>9000000</v>
      </c>
      <c r="AA1951" s="13">
        <v>7.3499999999999996E-2</v>
      </c>
      <c r="AB1951" s="21">
        <f t="shared" si="566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67"/>
        <v>26147030.909862842</v>
      </c>
      <c r="AJ1951" s="19">
        <f t="shared" si="568"/>
        <v>2743862.8630715334</v>
      </c>
      <c r="AK1951" s="20">
        <f t="shared" si="575"/>
        <v>0.10493974908778378</v>
      </c>
      <c r="AL1951" s="17"/>
      <c r="AM1951" s="17"/>
      <c r="AN1951" s="17"/>
      <c r="AO1951" s="17"/>
      <c r="AP1951" s="28" t="str">
        <f t="shared" si="576"/>
        <v>201911</v>
      </c>
      <c r="AQ1951" s="28" t="str">
        <f t="shared" si="577"/>
        <v>201911JPY</v>
      </c>
      <c r="AR1951" s="206" t="str">
        <f t="shared" si="578"/>
        <v>YAMAHA_Mounter</v>
      </c>
      <c r="AS1951" s="22">
        <f t="shared" si="579"/>
        <v>0</v>
      </c>
      <c r="AT1951" s="24" t="str">
        <f t="shared" si="580"/>
        <v>0-3 months</v>
      </c>
      <c r="AU1951" s="22" t="s">
        <v>3745</v>
      </c>
    </row>
    <row r="1952" spans="1:47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72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81"/>
        <v>12900000</v>
      </c>
      <c r="AA1952" s="13">
        <v>7.3499999999999996E-2</v>
      </c>
      <c r="AB1952" s="21">
        <f t="shared" si="566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67"/>
        <v>26147030.909862842</v>
      </c>
      <c r="AJ1952" s="19">
        <f t="shared" si="568"/>
        <v>2743862.8630715334</v>
      </c>
      <c r="AK1952" s="20">
        <f t="shared" si="575"/>
        <v>0.10493974908778378</v>
      </c>
      <c r="AL1952" s="17"/>
      <c r="AM1952" s="17"/>
      <c r="AN1952" s="17"/>
      <c r="AO1952" s="17"/>
      <c r="AP1952" s="28" t="str">
        <f t="shared" si="576"/>
        <v>201911</v>
      </c>
      <c r="AQ1952" s="28" t="str">
        <f t="shared" si="577"/>
        <v>201911JPY</v>
      </c>
      <c r="AR1952" s="206" t="str">
        <f t="shared" si="578"/>
        <v>YAMAHA_Mounter</v>
      </c>
      <c r="AS1952" s="22">
        <f t="shared" si="579"/>
        <v>0</v>
      </c>
      <c r="AT1952" s="24" t="str">
        <f t="shared" si="580"/>
        <v>0-3 months</v>
      </c>
      <c r="AU1952" s="22" t="s">
        <v>3745</v>
      </c>
    </row>
    <row r="1953" spans="1:47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72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81"/>
        <v>12900000</v>
      </c>
      <c r="AA1953" s="13">
        <v>7.3499999999999996E-2</v>
      </c>
      <c r="AB1953" s="21">
        <f t="shared" si="566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67"/>
        <v>26147030.909862842</v>
      </c>
      <c r="AJ1953" s="19">
        <f t="shared" si="568"/>
        <v>2743862.8630715334</v>
      </c>
      <c r="AK1953" s="20">
        <f t="shared" si="575"/>
        <v>0.10493974908778378</v>
      </c>
      <c r="AL1953" s="17"/>
      <c r="AM1953" s="17"/>
      <c r="AN1953" s="17"/>
      <c r="AO1953" s="17"/>
      <c r="AP1953" s="28" t="str">
        <f t="shared" si="576"/>
        <v>201911</v>
      </c>
      <c r="AQ1953" s="28" t="str">
        <f t="shared" si="577"/>
        <v>201911JPY</v>
      </c>
      <c r="AR1953" s="206" t="str">
        <f t="shared" si="578"/>
        <v>YAMAHA_Mounter</v>
      </c>
      <c r="AS1953" s="22">
        <f t="shared" si="579"/>
        <v>0</v>
      </c>
      <c r="AT1953" s="24" t="str">
        <f t="shared" si="580"/>
        <v>0-3 months</v>
      </c>
      <c r="AU1953" s="22" t="s">
        <v>3745</v>
      </c>
    </row>
    <row r="1954" spans="1:47" s="12" customFormat="1">
      <c r="A1954" s="33" t="str">
        <f t="shared" si="569"/>
        <v>cancel</v>
      </c>
      <c r="B1954" s="152"/>
      <c r="C1954" s="152" t="s">
        <v>185</v>
      </c>
      <c r="D1954" s="33" t="str">
        <f t="shared" si="570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71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72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81"/>
        <v>9000000</v>
      </c>
      <c r="AA1954" s="13">
        <v>7.1599999999999997E-2</v>
      </c>
      <c r="AB1954" s="21">
        <f t="shared" si="566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67"/>
        <v>499582152.5142017</v>
      </c>
      <c r="AJ1954" s="19">
        <f t="shared" si="568"/>
        <v>59520528.679470733</v>
      </c>
      <c r="AK1954" s="20">
        <f t="shared" si="575"/>
        <v>0.11914062257814291</v>
      </c>
      <c r="AL1954" s="17"/>
      <c r="AM1954" s="17"/>
      <c r="AN1954" s="17"/>
      <c r="AO1954" s="17"/>
      <c r="AP1954" s="28" t="str">
        <f t="shared" si="576"/>
        <v>CancelCancel</v>
      </c>
      <c r="AQ1954" s="28" t="str">
        <f t="shared" si="577"/>
        <v>CancelCancelJPY</v>
      </c>
      <c r="AR1954" s="206" t="str">
        <f t="shared" si="578"/>
        <v>YAMAHA_Mounter</v>
      </c>
      <c r="AS1954" s="22" t="str">
        <f t="shared" si="579"/>
        <v/>
      </c>
      <c r="AT1954" s="24" t="str">
        <f t="shared" si="580"/>
        <v/>
      </c>
      <c r="AU1954" s="22" t="s">
        <v>3745</v>
      </c>
    </row>
    <row r="1955" spans="1:47" s="12" customFormat="1">
      <c r="A1955" s="33" t="str">
        <f t="shared" si="569"/>
        <v>cancel</v>
      </c>
      <c r="B1955" s="152"/>
      <c r="C1955" s="152" t="s">
        <v>185</v>
      </c>
      <c r="D1955" s="33" t="str">
        <f t="shared" si="570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71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72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81"/>
        <v>13500000</v>
      </c>
      <c r="AA1955" s="13">
        <v>7.1599999999999997E-2</v>
      </c>
      <c r="AB1955" s="21">
        <f t="shared" si="566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67"/>
        <v>499582152.5142017</v>
      </c>
      <c r="AJ1955" s="19">
        <f t="shared" si="568"/>
        <v>59520528.679470733</v>
      </c>
      <c r="AK1955" s="20">
        <f t="shared" si="575"/>
        <v>0.11914062257814291</v>
      </c>
      <c r="AL1955" s="17"/>
      <c r="AM1955" s="17"/>
      <c r="AN1955" s="17"/>
      <c r="AO1955" s="17"/>
      <c r="AP1955" s="28" t="str">
        <f t="shared" si="576"/>
        <v>CancelCancel</v>
      </c>
      <c r="AQ1955" s="28" t="str">
        <f t="shared" si="577"/>
        <v>CancelCancelJPY</v>
      </c>
      <c r="AR1955" s="206" t="str">
        <f t="shared" si="578"/>
        <v>YAMAHA_Mounter</v>
      </c>
      <c r="AS1955" s="22" t="str">
        <f t="shared" si="579"/>
        <v/>
      </c>
      <c r="AT1955" s="24" t="str">
        <f t="shared" si="580"/>
        <v/>
      </c>
      <c r="AU1955" s="22" t="s">
        <v>3745</v>
      </c>
    </row>
    <row r="1956" spans="1:47" s="12" customFormat="1">
      <c r="A1956" s="33" t="str">
        <f t="shared" si="569"/>
        <v>cancel</v>
      </c>
      <c r="B1956" s="152"/>
      <c r="C1956" s="152" t="s">
        <v>185</v>
      </c>
      <c r="D1956" s="33" t="str">
        <f t="shared" si="570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71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72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81"/>
        <v>13500000</v>
      </c>
      <c r="AA1956" s="13">
        <v>7.1599999999999997E-2</v>
      </c>
      <c r="AB1956" s="21">
        <f t="shared" si="566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67"/>
        <v>499582152.5142017</v>
      </c>
      <c r="AJ1956" s="19">
        <f t="shared" si="568"/>
        <v>59520528.679470733</v>
      </c>
      <c r="AK1956" s="20">
        <f t="shared" si="575"/>
        <v>0.11914062257814291</v>
      </c>
      <c r="AL1956" s="17"/>
      <c r="AM1956" s="17"/>
      <c r="AN1956" s="17"/>
      <c r="AO1956" s="17"/>
      <c r="AP1956" s="28" t="str">
        <f t="shared" si="576"/>
        <v>CancelCancel</v>
      </c>
      <c r="AQ1956" s="28" t="str">
        <f t="shared" si="577"/>
        <v>CancelCancelJPY</v>
      </c>
      <c r="AR1956" s="206" t="str">
        <f t="shared" si="578"/>
        <v>YAMAHA_Mounter</v>
      </c>
      <c r="AS1956" s="22" t="str">
        <f t="shared" si="579"/>
        <v/>
      </c>
      <c r="AT1956" s="24" t="str">
        <f t="shared" si="580"/>
        <v/>
      </c>
      <c r="AU1956" s="22" t="s">
        <v>3745</v>
      </c>
    </row>
    <row r="1957" spans="1:47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72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81"/>
        <v>9000000</v>
      </c>
      <c r="AA1957" s="13">
        <v>7.3400000000000007E-2</v>
      </c>
      <c r="AB1957" s="21">
        <f t="shared" si="566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67"/>
        <v>31296887.037898075</v>
      </c>
      <c r="AJ1957" s="19">
        <f t="shared" si="568"/>
        <v>3588873.9502021763</v>
      </c>
      <c r="AK1957" s="20">
        <f t="shared" si="575"/>
        <v>0.11467191436184473</v>
      </c>
      <c r="AL1957" s="17"/>
      <c r="AM1957" s="17"/>
      <c r="AN1957" s="17"/>
      <c r="AO1957" s="17"/>
      <c r="AP1957" s="28" t="str">
        <f t="shared" si="576"/>
        <v>20196</v>
      </c>
      <c r="AQ1957" s="28" t="str">
        <f t="shared" si="577"/>
        <v>20196JPY</v>
      </c>
      <c r="AR1957" s="206" t="str">
        <f t="shared" si="578"/>
        <v>YAMAHA_Mounter</v>
      </c>
      <c r="AS1957" s="22">
        <f t="shared" si="579"/>
        <v>1</v>
      </c>
      <c r="AT1957" s="24" t="str">
        <f t="shared" si="580"/>
        <v>0-3 months</v>
      </c>
      <c r="AU1957" s="22" t="s">
        <v>3745</v>
      </c>
    </row>
    <row r="1958" spans="1:47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72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81"/>
        <v>13500000</v>
      </c>
      <c r="AA1958" s="13">
        <v>7.3400000000000007E-2</v>
      </c>
      <c r="AB1958" s="21">
        <f t="shared" si="566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67"/>
        <v>31296887.037898075</v>
      </c>
      <c r="AJ1958" s="19">
        <f t="shared" si="568"/>
        <v>3588873.9502021763</v>
      </c>
      <c r="AK1958" s="20">
        <f t="shared" si="575"/>
        <v>0.11467191436184473</v>
      </c>
      <c r="AL1958" s="17"/>
      <c r="AM1958" s="17"/>
      <c r="AN1958" s="17"/>
      <c r="AO1958" s="17"/>
      <c r="AP1958" s="28" t="str">
        <f t="shared" si="576"/>
        <v>20196</v>
      </c>
      <c r="AQ1958" s="28" t="str">
        <f t="shared" si="577"/>
        <v>20196JPY</v>
      </c>
      <c r="AR1958" s="206" t="str">
        <f t="shared" si="578"/>
        <v>YAMAHA_Mounter</v>
      </c>
      <c r="AS1958" s="22">
        <f t="shared" si="579"/>
        <v>1</v>
      </c>
      <c r="AT1958" s="24" t="str">
        <f t="shared" si="580"/>
        <v>0-3 months</v>
      </c>
      <c r="AU1958" s="22" t="s">
        <v>3745</v>
      </c>
    </row>
    <row r="1959" spans="1:47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72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81"/>
        <v>13500000</v>
      </c>
      <c r="AA1959" s="13">
        <v>7.3400000000000007E-2</v>
      </c>
      <c r="AB1959" s="21">
        <f t="shared" si="566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67"/>
        <v>31296887.037898075</v>
      </c>
      <c r="AJ1959" s="19">
        <f t="shared" si="568"/>
        <v>3588873.9502021763</v>
      </c>
      <c r="AK1959" s="20">
        <f t="shared" si="575"/>
        <v>0.11467191436184473</v>
      </c>
      <c r="AL1959" s="17"/>
      <c r="AM1959" s="17"/>
      <c r="AN1959" s="17"/>
      <c r="AO1959" s="17"/>
      <c r="AP1959" s="28" t="str">
        <f t="shared" si="576"/>
        <v>20196</v>
      </c>
      <c r="AQ1959" s="28" t="str">
        <f t="shared" si="577"/>
        <v>20196JPY</v>
      </c>
      <c r="AR1959" s="206" t="str">
        <f t="shared" si="578"/>
        <v>YAMAHA_Mounter</v>
      </c>
      <c r="AS1959" s="22">
        <f t="shared" si="579"/>
        <v>1</v>
      </c>
      <c r="AT1959" s="24" t="str">
        <f t="shared" si="580"/>
        <v>0-3 months</v>
      </c>
      <c r="AU1959" s="22" t="s">
        <v>3745</v>
      </c>
    </row>
    <row r="1960" spans="1:47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72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81"/>
        <v>810000</v>
      </c>
      <c r="AA1960" s="13">
        <v>1.1299999999999999</v>
      </c>
      <c r="AB1960" s="21">
        <f t="shared" si="566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67"/>
        <v>33543315.897345133</v>
      </c>
      <c r="AJ1960" s="19">
        <f t="shared" si="568"/>
        <v>4706169.3252984071</v>
      </c>
      <c r="AK1960" s="20">
        <f t="shared" si="575"/>
        <v>0.14030125523967318</v>
      </c>
      <c r="AL1960" s="17"/>
      <c r="AM1960" s="17"/>
      <c r="AN1960" s="17"/>
      <c r="AO1960" s="17"/>
      <c r="AP1960" s="28" t="str">
        <f t="shared" si="576"/>
        <v>20233</v>
      </c>
      <c r="AQ1960" s="28" t="str">
        <f t="shared" si="577"/>
        <v>20233RMB</v>
      </c>
      <c r="AR1960" s="206" t="str">
        <f t="shared" si="578"/>
        <v>YAMAHA_Mounter</v>
      </c>
      <c r="AS1960" s="22">
        <f t="shared" si="579"/>
        <v>0</v>
      </c>
      <c r="AT1960" s="24" t="str">
        <f t="shared" si="580"/>
        <v>0-3 months</v>
      </c>
      <c r="AU1960" s="22" t="s">
        <v>3750</v>
      </c>
    </row>
    <row r="1961" spans="1:47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72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81"/>
        <v>490000</v>
      </c>
      <c r="AA1961" s="13">
        <v>1.1299999999999999</v>
      </c>
      <c r="AB1961" s="21">
        <f t="shared" si="566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67"/>
        <v>33543315.897345133</v>
      </c>
      <c r="AJ1961" s="19">
        <f t="shared" si="568"/>
        <v>4706169.3252984071</v>
      </c>
      <c r="AK1961" s="20">
        <f t="shared" si="575"/>
        <v>0.14030125523967318</v>
      </c>
      <c r="AL1961" s="17"/>
      <c r="AM1961" s="17"/>
      <c r="AN1961" s="17"/>
      <c r="AO1961" s="17"/>
      <c r="AP1961" s="28" t="str">
        <f t="shared" si="576"/>
        <v>20233</v>
      </c>
      <c r="AQ1961" s="28" t="str">
        <f t="shared" si="577"/>
        <v>20233RMB</v>
      </c>
      <c r="AR1961" s="206" t="str">
        <f t="shared" si="578"/>
        <v>YAMAHA_Mounter</v>
      </c>
      <c r="AS1961" s="22">
        <f t="shared" si="579"/>
        <v>0</v>
      </c>
      <c r="AT1961" s="24" t="str">
        <f t="shared" si="580"/>
        <v>0-3 months</v>
      </c>
      <c r="AU1961" s="22" t="s">
        <v>3750</v>
      </c>
    </row>
    <row r="1962" spans="1:47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72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83">IF(W1962="","",IF(W1962="RMB","1.13", "1"))</f>
        <v>1.13</v>
      </c>
      <c r="Z1962" s="18">
        <f t="shared" si="581"/>
        <v>129000</v>
      </c>
      <c r="AA1962" s="13">
        <v>1.1399999999999999</v>
      </c>
      <c r="AB1962" s="21">
        <f t="shared" si="566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67"/>
        <v>30573205.452778768</v>
      </c>
      <c r="AJ1962" s="19">
        <f t="shared" si="568"/>
        <v>3790930.1683151261</v>
      </c>
      <c r="AK1962" s="20">
        <f t="shared" si="575"/>
        <v>0.12399518179964254</v>
      </c>
      <c r="AL1962" s="17"/>
      <c r="AM1962" s="17"/>
      <c r="AN1962" s="17"/>
      <c r="AO1962" s="17"/>
      <c r="AP1962" s="28" t="str">
        <f t="shared" si="576"/>
        <v>20234</v>
      </c>
      <c r="AQ1962" s="28" t="str">
        <f t="shared" si="577"/>
        <v>20234RMB</v>
      </c>
      <c r="AR1962" s="206" t="str">
        <f t="shared" si="578"/>
        <v>LOCAL SUPPLIER</v>
      </c>
      <c r="AS1962" s="22">
        <f t="shared" si="579"/>
        <v>1</v>
      </c>
      <c r="AT1962" s="24" t="str">
        <f t="shared" si="580"/>
        <v>0-3 months</v>
      </c>
      <c r="AU1962" s="22" t="s">
        <v>3750</v>
      </c>
    </row>
    <row r="1963" spans="1:47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72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83"/>
        <v>1.13</v>
      </c>
      <c r="Z1963" s="18">
        <f t="shared" si="581"/>
        <v>171000</v>
      </c>
      <c r="AA1963" s="13">
        <v>1.1399999999999999</v>
      </c>
      <c r="AB1963" s="21">
        <f t="shared" si="566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67"/>
        <v>30573205.452778768</v>
      </c>
      <c r="AJ1963" s="19">
        <f t="shared" si="568"/>
        <v>3790930.1683151261</v>
      </c>
      <c r="AK1963" s="20">
        <f t="shared" si="575"/>
        <v>0.12399518179964254</v>
      </c>
      <c r="AL1963" s="17"/>
      <c r="AM1963" s="17"/>
      <c r="AN1963" s="17"/>
      <c r="AO1963" s="17"/>
      <c r="AP1963" s="28" t="str">
        <f t="shared" si="576"/>
        <v>20234</v>
      </c>
      <c r="AQ1963" s="28" t="str">
        <f t="shared" si="577"/>
        <v>20234RMB</v>
      </c>
      <c r="AR1963" s="206" t="str">
        <f t="shared" si="578"/>
        <v>LOCAL SUPPLIER</v>
      </c>
      <c r="AS1963" s="22">
        <f t="shared" si="579"/>
        <v>1</v>
      </c>
      <c r="AT1963" s="24" t="str">
        <f t="shared" si="580"/>
        <v>0-3 months</v>
      </c>
      <c r="AU1963" s="22" t="s">
        <v>3750</v>
      </c>
    </row>
    <row r="1964" spans="1:47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72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83"/>
        <v>1.13</v>
      </c>
      <c r="Z1964" s="18">
        <f t="shared" si="581"/>
        <v>171000</v>
      </c>
      <c r="AA1964" s="13">
        <v>1.1399999999999999</v>
      </c>
      <c r="AB1964" s="21">
        <f t="shared" si="566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67"/>
        <v>30573205.452778768</v>
      </c>
      <c r="AJ1964" s="19">
        <f t="shared" si="568"/>
        <v>3790930.1683151261</v>
      </c>
      <c r="AK1964" s="20">
        <f t="shared" si="575"/>
        <v>0.12399518179964254</v>
      </c>
      <c r="AL1964" s="17"/>
      <c r="AM1964" s="17"/>
      <c r="AN1964" s="17"/>
      <c r="AO1964" s="17"/>
      <c r="AP1964" s="28" t="str">
        <f t="shared" si="576"/>
        <v>20234</v>
      </c>
      <c r="AQ1964" s="28" t="str">
        <f t="shared" si="577"/>
        <v>20234RMB</v>
      </c>
      <c r="AR1964" s="206" t="str">
        <f t="shared" si="578"/>
        <v>LOCAL SUPPLIER</v>
      </c>
      <c r="AS1964" s="22">
        <f t="shared" si="579"/>
        <v>1</v>
      </c>
      <c r="AT1964" s="24" t="str">
        <f t="shared" si="580"/>
        <v>0-3 months</v>
      </c>
      <c r="AU1964" s="22" t="s">
        <v>3750</v>
      </c>
    </row>
    <row r="1965" spans="1:47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72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83"/>
        <v>1.13</v>
      </c>
      <c r="Z1965" s="18">
        <f t="shared" si="581"/>
        <v>195000</v>
      </c>
      <c r="AA1965" s="13">
        <v>1.1399999999999999</v>
      </c>
      <c r="AB1965" s="21">
        <f t="shared" si="566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67"/>
        <v>30573205.452778768</v>
      </c>
      <c r="AJ1965" s="19">
        <f t="shared" si="568"/>
        <v>3790930.1683151261</v>
      </c>
      <c r="AK1965" s="20">
        <f t="shared" si="575"/>
        <v>0.12399518179964254</v>
      </c>
      <c r="AL1965" s="17"/>
      <c r="AM1965" s="17"/>
      <c r="AN1965" s="17"/>
      <c r="AO1965" s="17"/>
      <c r="AP1965" s="28" t="str">
        <f t="shared" si="576"/>
        <v>20234</v>
      </c>
      <c r="AQ1965" s="28" t="str">
        <f t="shared" si="577"/>
        <v>20234RMB</v>
      </c>
      <c r="AR1965" s="206" t="str">
        <f t="shared" si="578"/>
        <v>LOCAL SUPPLIER</v>
      </c>
      <c r="AS1965" s="22">
        <f t="shared" si="579"/>
        <v>1</v>
      </c>
      <c r="AT1965" s="24" t="str">
        <f t="shared" si="580"/>
        <v>0-3 months</v>
      </c>
      <c r="AU1965" s="22" t="s">
        <v>3750</v>
      </c>
    </row>
    <row r="1966" spans="1:47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72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83"/>
        <v>1.13</v>
      </c>
      <c r="Z1966" s="18">
        <f t="shared" si="581"/>
        <v>127000</v>
      </c>
      <c r="AA1966" s="13">
        <v>1.1399999999999999</v>
      </c>
      <c r="AB1966" s="21">
        <f t="shared" si="566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67"/>
        <v>30573205.452778768</v>
      </c>
      <c r="AJ1966" s="19">
        <f t="shared" si="568"/>
        <v>3790930.1683151261</v>
      </c>
      <c r="AK1966" s="20">
        <f t="shared" si="575"/>
        <v>0.12399518179964254</v>
      </c>
      <c r="AL1966" s="17"/>
      <c r="AM1966" s="17"/>
      <c r="AN1966" s="17"/>
      <c r="AO1966" s="17"/>
      <c r="AP1966" s="28" t="str">
        <f t="shared" si="576"/>
        <v>20234</v>
      </c>
      <c r="AQ1966" s="28" t="str">
        <f t="shared" si="577"/>
        <v>20234RMB</v>
      </c>
      <c r="AR1966" s="206" t="str">
        <f t="shared" si="578"/>
        <v>LOCAL SUPPLIER</v>
      </c>
      <c r="AS1966" s="22">
        <f t="shared" si="579"/>
        <v>1</v>
      </c>
      <c r="AT1966" s="24" t="str">
        <f t="shared" si="580"/>
        <v>0-3 months</v>
      </c>
      <c r="AU1966" s="22" t="s">
        <v>3750</v>
      </c>
    </row>
    <row r="1967" spans="1:47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83"/>
        <v>1.13</v>
      </c>
      <c r="Z1967" s="18">
        <f t="shared" si="581"/>
        <v>12600</v>
      </c>
      <c r="AA1967" s="13">
        <v>1.1399999999999999</v>
      </c>
      <c r="AB1967" s="21">
        <f t="shared" si="566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67"/>
        <v>30573205.452778768</v>
      </c>
      <c r="AJ1967" s="19">
        <f t="shared" si="568"/>
        <v>3790930.1683151261</v>
      </c>
      <c r="AK1967" s="20">
        <f t="shared" si="575"/>
        <v>0.12399518179964254</v>
      </c>
      <c r="AL1967" s="17"/>
      <c r="AM1967" s="17"/>
      <c r="AN1967" s="17"/>
      <c r="AO1967" s="17"/>
      <c r="AP1967" s="28" t="str">
        <f t="shared" si="576"/>
        <v>20234</v>
      </c>
      <c r="AQ1967" s="28" t="str">
        <f t="shared" si="577"/>
        <v>20234RMB</v>
      </c>
      <c r="AR1967" s="206" t="str">
        <f t="shared" si="578"/>
        <v>LOCAL SUPPLIER</v>
      </c>
      <c r="AS1967" s="22">
        <f t="shared" si="579"/>
        <v>1</v>
      </c>
      <c r="AT1967" s="24" t="str">
        <f t="shared" si="580"/>
        <v>0-3 months</v>
      </c>
      <c r="AU1967" s="22" t="s">
        <v>3750</v>
      </c>
    </row>
    <row r="1968" spans="1:47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83"/>
        <v>1.13</v>
      </c>
      <c r="Z1968" s="18">
        <f t="shared" si="581"/>
        <v>2700</v>
      </c>
      <c r="AA1968" s="13">
        <v>1.1399999999999999</v>
      </c>
      <c r="AB1968" s="21">
        <f t="shared" si="566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67"/>
        <v>30573205.452778768</v>
      </c>
      <c r="AJ1968" s="19">
        <f t="shared" si="568"/>
        <v>3790930.1683151261</v>
      </c>
      <c r="AK1968" s="20">
        <f t="shared" si="575"/>
        <v>0.12399518179964254</v>
      </c>
      <c r="AL1968" s="17"/>
      <c r="AM1968" s="17"/>
      <c r="AN1968" s="17"/>
      <c r="AO1968" s="17"/>
      <c r="AP1968" s="28" t="str">
        <f t="shared" si="576"/>
        <v>20234</v>
      </c>
      <c r="AQ1968" s="28" t="str">
        <f t="shared" si="577"/>
        <v>20234RMB</v>
      </c>
      <c r="AR1968" s="206" t="str">
        <f t="shared" si="578"/>
        <v>LOCAL SUPPLIER</v>
      </c>
      <c r="AS1968" s="22">
        <f t="shared" si="579"/>
        <v>1</v>
      </c>
      <c r="AT1968" s="24" t="str">
        <f t="shared" si="580"/>
        <v>0-3 months</v>
      </c>
      <c r="AU1968" s="22" t="s">
        <v>3750</v>
      </c>
    </row>
    <row r="1969" spans="1:47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4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83"/>
        <v>1.13</v>
      </c>
      <c r="Z1969" s="18">
        <f t="shared" si="581"/>
        <v>32000</v>
      </c>
      <c r="AA1969" s="13">
        <v>1.1399999999999999</v>
      </c>
      <c r="AB1969" s="21">
        <f t="shared" si="566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67"/>
        <v>30573205.452778768</v>
      </c>
      <c r="AJ1969" s="19">
        <f t="shared" si="568"/>
        <v>3790930.1683151261</v>
      </c>
      <c r="AK1969" s="20">
        <f t="shared" si="575"/>
        <v>0.12399518179964254</v>
      </c>
      <c r="AL1969" s="17"/>
      <c r="AM1969" s="17"/>
      <c r="AN1969" s="17"/>
      <c r="AO1969" s="17"/>
      <c r="AP1969" s="28" t="str">
        <f t="shared" si="576"/>
        <v>20234</v>
      </c>
      <c r="AQ1969" s="28" t="str">
        <f t="shared" si="577"/>
        <v>20234RMB</v>
      </c>
      <c r="AR1969" s="206" t="str">
        <f t="shared" si="578"/>
        <v>LOCAL SUPPLIER</v>
      </c>
      <c r="AS1969" s="22">
        <f t="shared" si="579"/>
        <v>1</v>
      </c>
      <c r="AT1969" s="24" t="str">
        <f t="shared" si="580"/>
        <v>0-3 months</v>
      </c>
      <c r="AU1969" s="22" t="s">
        <v>3750</v>
      </c>
    </row>
    <row r="1970" spans="1:47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4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83"/>
        <v>1.13</v>
      </c>
      <c r="Z1970" s="18">
        <f t="shared" si="581"/>
        <v>4000</v>
      </c>
      <c r="AA1970" s="13">
        <v>1.1399999999999999</v>
      </c>
      <c r="AB1970" s="21">
        <f t="shared" si="566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67"/>
        <v>30573205.452778768</v>
      </c>
      <c r="AJ1970" s="19">
        <f t="shared" si="568"/>
        <v>3790930.1683151261</v>
      </c>
      <c r="AK1970" s="20">
        <f t="shared" si="575"/>
        <v>0.12399518179964254</v>
      </c>
      <c r="AL1970" s="17"/>
      <c r="AM1970" s="17"/>
      <c r="AN1970" s="17"/>
      <c r="AO1970" s="17"/>
      <c r="AP1970" s="28" t="str">
        <f t="shared" si="576"/>
        <v>20234</v>
      </c>
      <c r="AQ1970" s="28" t="str">
        <f t="shared" si="577"/>
        <v>20234RMB</v>
      </c>
      <c r="AR1970" s="206" t="str">
        <f t="shared" si="578"/>
        <v>LOCAL SUPPLIER</v>
      </c>
      <c r="AS1970" s="22">
        <f t="shared" si="579"/>
        <v>1</v>
      </c>
      <c r="AT1970" s="24" t="str">
        <f t="shared" si="580"/>
        <v>0-3 months</v>
      </c>
      <c r="AU1970" s="22" t="s">
        <v>3750</v>
      </c>
    </row>
    <row r="1971" spans="1:47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4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83"/>
        <v>1.13</v>
      </c>
      <c r="Z1971" s="18">
        <f t="shared" si="581"/>
        <v>6200</v>
      </c>
      <c r="AA1971" s="13">
        <v>1.1399999999999999</v>
      </c>
      <c r="AB1971" s="21">
        <f t="shared" si="566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67"/>
        <v>30573205.452778768</v>
      </c>
      <c r="AJ1971" s="19">
        <f t="shared" si="568"/>
        <v>3790930.1683151261</v>
      </c>
      <c r="AK1971" s="20">
        <f t="shared" si="575"/>
        <v>0.12399518179964254</v>
      </c>
      <c r="AL1971" s="17"/>
      <c r="AM1971" s="17"/>
      <c r="AN1971" s="17"/>
      <c r="AO1971" s="17"/>
      <c r="AP1971" s="28" t="str">
        <f t="shared" si="576"/>
        <v>20234</v>
      </c>
      <c r="AQ1971" s="28" t="str">
        <f t="shared" si="577"/>
        <v>20234RMB</v>
      </c>
      <c r="AR1971" s="206" t="str">
        <f t="shared" si="578"/>
        <v>LOCAL SUPPLIER</v>
      </c>
      <c r="AS1971" s="22">
        <f t="shared" si="579"/>
        <v>1</v>
      </c>
      <c r="AT1971" s="24" t="str">
        <f t="shared" si="580"/>
        <v>0-3 months</v>
      </c>
      <c r="AU1971" s="22" t="s">
        <v>3750</v>
      </c>
    </row>
    <row r="1972" spans="1:47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4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83"/>
        <v>1.13</v>
      </c>
      <c r="Z1972" s="18">
        <f t="shared" si="581"/>
        <v>30000</v>
      </c>
      <c r="AA1972" s="13">
        <v>1.1399999999999999</v>
      </c>
      <c r="AB1972" s="21">
        <f t="shared" si="566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67"/>
        <v>30573205.452778768</v>
      </c>
      <c r="AJ1972" s="19">
        <f t="shared" si="568"/>
        <v>3790930.1683151261</v>
      </c>
      <c r="AK1972" s="20">
        <f t="shared" si="575"/>
        <v>0.12399518179964254</v>
      </c>
      <c r="AL1972" s="17"/>
      <c r="AM1972" s="17"/>
      <c r="AN1972" s="17"/>
      <c r="AO1972" s="17"/>
      <c r="AP1972" s="28" t="str">
        <f t="shared" si="576"/>
        <v>20234</v>
      </c>
      <c r="AQ1972" s="28" t="str">
        <f t="shared" si="577"/>
        <v>20234RMB</v>
      </c>
      <c r="AR1972" s="206" t="str">
        <f t="shared" si="578"/>
        <v>LOCAL SUPPLIER</v>
      </c>
      <c r="AS1972" s="22">
        <f t="shared" si="579"/>
        <v>1</v>
      </c>
      <c r="AT1972" s="24" t="str">
        <f t="shared" si="580"/>
        <v>0-3 months</v>
      </c>
      <c r="AU1972" s="22" t="s">
        <v>3750</v>
      </c>
    </row>
    <row r="1973" spans="1:47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4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83"/>
        <v>1.13</v>
      </c>
      <c r="Z1973" s="18">
        <f t="shared" si="581"/>
        <v>12500</v>
      </c>
      <c r="AA1973" s="13">
        <v>1.1399999999999999</v>
      </c>
      <c r="AB1973" s="21">
        <f t="shared" si="566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67"/>
        <v>30573205.452778768</v>
      </c>
      <c r="AJ1973" s="19">
        <f t="shared" si="568"/>
        <v>3790930.1683151261</v>
      </c>
      <c r="AK1973" s="20">
        <f t="shared" si="575"/>
        <v>0.12399518179964254</v>
      </c>
      <c r="AL1973" s="17"/>
      <c r="AM1973" s="17"/>
      <c r="AN1973" s="17"/>
      <c r="AO1973" s="17"/>
      <c r="AP1973" s="28" t="str">
        <f t="shared" si="576"/>
        <v>20234</v>
      </c>
      <c r="AQ1973" s="28" t="str">
        <f t="shared" si="577"/>
        <v>20234RMB</v>
      </c>
      <c r="AR1973" s="206" t="str">
        <f t="shared" si="578"/>
        <v>LOCAL SUPPLIER</v>
      </c>
      <c r="AS1973" s="22">
        <f t="shared" si="579"/>
        <v>1</v>
      </c>
      <c r="AT1973" s="24" t="str">
        <f t="shared" si="580"/>
        <v>0-3 months</v>
      </c>
      <c r="AU1973" s="22" t="s">
        <v>3240</v>
      </c>
    </row>
    <row r="1974" spans="1:47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4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83"/>
        <v>1.13</v>
      </c>
      <c r="Z1974" s="18">
        <f t="shared" si="581"/>
        <v>12500</v>
      </c>
      <c r="AA1974" s="13">
        <v>1.1399999999999999</v>
      </c>
      <c r="AB1974" s="21">
        <f t="shared" ref="AB1974:AB2037" si="585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67"/>
        <v>30573205.452778768</v>
      </c>
      <c r="AJ1974" s="19">
        <f t="shared" si="568"/>
        <v>3790930.1683151261</v>
      </c>
      <c r="AK1974" s="20">
        <f t="shared" si="575"/>
        <v>0.12399518179964254</v>
      </c>
      <c r="AL1974" s="17"/>
      <c r="AM1974" s="17"/>
      <c r="AN1974" s="17"/>
      <c r="AO1974" s="17"/>
      <c r="AP1974" s="28" t="str">
        <f t="shared" si="576"/>
        <v>20234</v>
      </c>
      <c r="AQ1974" s="28" t="str">
        <f t="shared" si="577"/>
        <v>20234RMB</v>
      </c>
      <c r="AR1974" s="206" t="str">
        <f t="shared" si="578"/>
        <v>LOCAL SUPPLIER</v>
      </c>
      <c r="AS1974" s="22">
        <f t="shared" si="579"/>
        <v>1</v>
      </c>
      <c r="AT1974" s="24" t="str">
        <f t="shared" si="580"/>
        <v>0-3 months</v>
      </c>
      <c r="AU1974" s="22" t="s">
        <v>3240</v>
      </c>
    </row>
    <row r="1975" spans="1:47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4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83"/>
        <v>1.13</v>
      </c>
      <c r="Z1975" s="18">
        <f t="shared" si="581"/>
        <v>12500</v>
      </c>
      <c r="AA1975" s="13">
        <v>1.1399999999999999</v>
      </c>
      <c r="AB1975" s="21">
        <f t="shared" si="585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67"/>
        <v>30573205.452778768</v>
      </c>
      <c r="AJ1975" s="19">
        <f t="shared" si="568"/>
        <v>3790930.1683151261</v>
      </c>
      <c r="AK1975" s="20">
        <f t="shared" si="575"/>
        <v>0.12399518179964254</v>
      </c>
      <c r="AL1975" s="17"/>
      <c r="AM1975" s="17"/>
      <c r="AN1975" s="17"/>
      <c r="AO1975" s="17"/>
      <c r="AP1975" s="28" t="str">
        <f t="shared" si="576"/>
        <v>20234</v>
      </c>
      <c r="AQ1975" s="28" t="str">
        <f t="shared" si="577"/>
        <v>20234RMB</v>
      </c>
      <c r="AR1975" s="206" t="str">
        <f t="shared" si="578"/>
        <v>LOCAL SUPPLIER</v>
      </c>
      <c r="AS1975" s="22">
        <f t="shared" si="579"/>
        <v>1</v>
      </c>
      <c r="AT1975" s="24" t="str">
        <f t="shared" si="580"/>
        <v>0-3 months</v>
      </c>
      <c r="AU1975" s="22" t="s">
        <v>3240</v>
      </c>
    </row>
    <row r="1976" spans="1:47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4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83"/>
        <v>1.13</v>
      </c>
      <c r="Z1976" s="18">
        <f t="shared" si="581"/>
        <v>11500</v>
      </c>
      <c r="AA1976" s="13">
        <v>1.1399999999999999</v>
      </c>
      <c r="AB1976" s="21">
        <f t="shared" si="585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67"/>
        <v>30573205.452778768</v>
      </c>
      <c r="AJ1976" s="19">
        <f t="shared" si="568"/>
        <v>3790930.1683151261</v>
      </c>
      <c r="AK1976" s="20">
        <f t="shared" si="575"/>
        <v>0.12399518179964254</v>
      </c>
      <c r="AL1976" s="17"/>
      <c r="AM1976" s="17"/>
      <c r="AN1976" s="17"/>
      <c r="AO1976" s="17"/>
      <c r="AP1976" s="28" t="str">
        <f t="shared" si="576"/>
        <v>20234</v>
      </c>
      <c r="AQ1976" s="28" t="str">
        <f t="shared" si="577"/>
        <v>20234RMB</v>
      </c>
      <c r="AR1976" s="206" t="str">
        <f t="shared" si="578"/>
        <v>LOCAL SUPPLIER</v>
      </c>
      <c r="AS1976" s="22">
        <f t="shared" si="579"/>
        <v>1</v>
      </c>
      <c r="AT1976" s="24" t="str">
        <f t="shared" si="580"/>
        <v>0-3 months</v>
      </c>
      <c r="AU1976" s="22" t="s">
        <v>3750</v>
      </c>
    </row>
    <row r="1977" spans="1:47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4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72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83"/>
        <v>1.13</v>
      </c>
      <c r="Z1977" s="18">
        <f t="shared" si="581"/>
        <v>800000</v>
      </c>
      <c r="AA1977" s="13">
        <v>1.0900000000000001</v>
      </c>
      <c r="AB1977" s="21">
        <f t="shared" si="585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67"/>
        <v>23146578.081415929</v>
      </c>
      <c r="AJ1977" s="19">
        <f t="shared" si="568"/>
        <v>2745231.3889985834</v>
      </c>
      <c r="AK1977" s="20">
        <f t="shared" si="575"/>
        <v>0.11860204041143742</v>
      </c>
      <c r="AL1977" s="17"/>
      <c r="AM1977" s="17"/>
      <c r="AN1977" s="17"/>
      <c r="AO1977" s="17"/>
      <c r="AP1977" s="28" t="str">
        <f t="shared" si="576"/>
        <v>20241</v>
      </c>
      <c r="AQ1977" s="28" t="str">
        <f t="shared" si="577"/>
        <v>20241RMB</v>
      </c>
      <c r="AR1977" s="206" t="str">
        <f t="shared" si="578"/>
        <v>YAMAHA_Mounter</v>
      </c>
      <c r="AS1977" s="22">
        <f t="shared" si="579"/>
        <v>1</v>
      </c>
      <c r="AT1977" s="24" t="str">
        <f t="shared" si="580"/>
        <v>0-3 months</v>
      </c>
      <c r="AU1977" s="22" t="s">
        <v>3750</v>
      </c>
    </row>
    <row r="1978" spans="1:47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4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72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83"/>
        <v>1.13</v>
      </c>
      <c r="Z1978" s="18">
        <f t="shared" si="581"/>
        <v>800000</v>
      </c>
      <c r="AA1978" s="13">
        <v>1.0900000000000001</v>
      </c>
      <c r="AB1978" s="21">
        <f t="shared" si="585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67"/>
        <v>23146578.081415929</v>
      </c>
      <c r="AJ1978" s="19">
        <f t="shared" si="568"/>
        <v>2745231.3889985834</v>
      </c>
      <c r="AK1978" s="20">
        <f t="shared" si="575"/>
        <v>0.11860204041143742</v>
      </c>
      <c r="AL1978" s="17"/>
      <c r="AM1978" s="17"/>
      <c r="AN1978" s="17"/>
      <c r="AO1978" s="17"/>
      <c r="AP1978" s="28" t="str">
        <f t="shared" si="576"/>
        <v>20241</v>
      </c>
      <c r="AQ1978" s="28" t="str">
        <f t="shared" si="577"/>
        <v>20241RMB</v>
      </c>
      <c r="AR1978" s="206" t="str">
        <f t="shared" si="578"/>
        <v>YAMAHA_Mounter</v>
      </c>
      <c r="AS1978" s="22">
        <f t="shared" si="579"/>
        <v>1</v>
      </c>
      <c r="AT1978" s="24" t="str">
        <f t="shared" si="580"/>
        <v>0-3 months</v>
      </c>
      <c r="AU1978" s="22" t="s">
        <v>3750</v>
      </c>
    </row>
    <row r="1979" spans="1:47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4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72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83"/>
        <v>1.13</v>
      </c>
      <c r="Z1979" s="18">
        <f t="shared" si="581"/>
        <v>554800</v>
      </c>
      <c r="AA1979" s="13">
        <v>1.0900000000000001</v>
      </c>
      <c r="AB1979" s="21">
        <f t="shared" si="585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67"/>
        <v>23146578.081415929</v>
      </c>
      <c r="AJ1979" s="19">
        <f t="shared" si="568"/>
        <v>2745231.3889985834</v>
      </c>
      <c r="AK1979" s="20">
        <f t="shared" si="575"/>
        <v>0.11860204041143742</v>
      </c>
      <c r="AL1979" s="17"/>
      <c r="AM1979" s="17"/>
      <c r="AN1979" s="17"/>
      <c r="AO1979" s="17"/>
      <c r="AP1979" s="28" t="str">
        <f t="shared" si="576"/>
        <v>20241</v>
      </c>
      <c r="AQ1979" s="28" t="str">
        <f t="shared" si="577"/>
        <v>20241RMB</v>
      </c>
      <c r="AR1979" s="206" t="str">
        <f t="shared" si="578"/>
        <v>YAMAHA_Mounter</v>
      </c>
      <c r="AS1979" s="22">
        <f t="shared" si="579"/>
        <v>1</v>
      </c>
      <c r="AT1979" s="24" t="str">
        <f t="shared" si="580"/>
        <v>0-3 months</v>
      </c>
      <c r="AU1979" s="22" t="s">
        <v>3750</v>
      </c>
    </row>
    <row r="1980" spans="1:47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4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72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83"/>
        <v>1.13</v>
      </c>
      <c r="Z1980" s="18">
        <f t="shared" si="581"/>
        <v>900000</v>
      </c>
      <c r="AA1980" s="13">
        <v>1.0900000000000001</v>
      </c>
      <c r="AB1980" s="21">
        <f t="shared" si="585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67"/>
        <v>10524262.405309737</v>
      </c>
      <c r="AJ1980" s="19">
        <f t="shared" si="568"/>
        <v>1479050.9527127435</v>
      </c>
      <c r="AK1980" s="20">
        <f t="shared" si="575"/>
        <v>0.14053725532028996</v>
      </c>
      <c r="AL1980" s="17"/>
      <c r="AM1980" s="17"/>
      <c r="AN1980" s="17"/>
      <c r="AO1980" s="17"/>
      <c r="AP1980" s="28" t="str">
        <f t="shared" si="576"/>
        <v>20242</v>
      </c>
      <c r="AQ1980" s="28" t="str">
        <f t="shared" si="577"/>
        <v>20242RMB</v>
      </c>
      <c r="AR1980" s="206" t="str">
        <f t="shared" si="578"/>
        <v>YAMAHA_Mounter</v>
      </c>
      <c r="AS1980" s="22">
        <f t="shared" si="579"/>
        <v>2</v>
      </c>
      <c r="AT1980" s="24" t="str">
        <f t="shared" si="580"/>
        <v>0-3 months</v>
      </c>
      <c r="AU1980" s="22" t="s">
        <v>3750</v>
      </c>
    </row>
    <row r="1981" spans="1:47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4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72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83"/>
        <v>1.13</v>
      </c>
      <c r="Z1981" s="18">
        <f t="shared" si="581"/>
        <v>900000</v>
      </c>
      <c r="AA1981" s="13">
        <v>1.0900000000000001</v>
      </c>
      <c r="AB1981" s="21">
        <f t="shared" si="585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67"/>
        <v>10524262.405309737</v>
      </c>
      <c r="AJ1981" s="19">
        <f t="shared" si="568"/>
        <v>1479050.9527127435</v>
      </c>
      <c r="AK1981" s="20">
        <f t="shared" si="575"/>
        <v>0.14053725532028996</v>
      </c>
      <c r="AL1981" s="17"/>
      <c r="AM1981" s="17"/>
      <c r="AN1981" s="17"/>
      <c r="AO1981" s="17"/>
      <c r="AP1981" s="28" t="str">
        <f t="shared" si="576"/>
        <v>20242</v>
      </c>
      <c r="AQ1981" s="28" t="str">
        <f t="shared" si="577"/>
        <v>20242RMB</v>
      </c>
      <c r="AR1981" s="206" t="str">
        <f t="shared" si="578"/>
        <v>YAMAHA_Mounter</v>
      </c>
      <c r="AS1981" s="22">
        <f t="shared" si="579"/>
        <v>2</v>
      </c>
      <c r="AT1981" s="24" t="str">
        <f t="shared" si="580"/>
        <v>0-3 months</v>
      </c>
      <c r="AU1981" s="22" t="s">
        <v>3750</v>
      </c>
    </row>
    <row r="1982" spans="1:47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72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81"/>
        <v>9766000</v>
      </c>
      <c r="AA1982" s="13">
        <v>7.3499999999999996E-2</v>
      </c>
      <c r="AB1982" s="21">
        <f t="shared" si="585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67"/>
        <v>16455710.386637932</v>
      </c>
      <c r="AJ1982" s="19">
        <f t="shared" si="568"/>
        <v>2150644.6466930606</v>
      </c>
      <c r="AK1982" s="20">
        <f t="shared" si="575"/>
        <v>0.13069290818580451</v>
      </c>
      <c r="AL1982" s="17"/>
      <c r="AM1982" s="17"/>
      <c r="AN1982" s="17"/>
      <c r="AO1982" s="17"/>
      <c r="AP1982" s="28" t="str">
        <f t="shared" si="576"/>
        <v>20192</v>
      </c>
      <c r="AQ1982" s="28" t="str">
        <f t="shared" si="577"/>
        <v>20192JPY</v>
      </c>
      <c r="AR1982" s="206" t="str">
        <f t="shared" si="578"/>
        <v>YAMAHA_Mounter</v>
      </c>
      <c r="AS1982" s="22">
        <f t="shared" si="579"/>
        <v>2</v>
      </c>
      <c r="AT1982" s="24" t="str">
        <f t="shared" si="580"/>
        <v>0-3 months</v>
      </c>
      <c r="AU1982" s="22" t="s">
        <v>3744</v>
      </c>
    </row>
    <row r="1983" spans="1:47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72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81"/>
        <v>1000000</v>
      </c>
      <c r="AA1983" s="13">
        <v>1.1100000000000001</v>
      </c>
      <c r="AB1983" s="21">
        <f t="shared" si="585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67"/>
        <v>26147030.909862842</v>
      </c>
      <c r="AJ1983" s="19">
        <f t="shared" si="568"/>
        <v>2743862.8630715334</v>
      </c>
      <c r="AK1983" s="20">
        <f t="shared" si="575"/>
        <v>0.10493974908778378</v>
      </c>
      <c r="AL1983" s="17"/>
      <c r="AM1983" s="17"/>
      <c r="AN1983" s="17"/>
      <c r="AO1983" s="17"/>
      <c r="AP1983" s="28" t="str">
        <f t="shared" si="576"/>
        <v>201911</v>
      </c>
      <c r="AQ1983" s="28" t="str">
        <f t="shared" si="577"/>
        <v>201911RMB</v>
      </c>
      <c r="AR1983" s="206" t="str">
        <f t="shared" si="578"/>
        <v>YAMAHA_Mounter</v>
      </c>
      <c r="AS1983" s="22">
        <f t="shared" si="579"/>
        <v>1</v>
      </c>
      <c r="AT1983" s="24" t="str">
        <f t="shared" si="580"/>
        <v>0-3 months</v>
      </c>
      <c r="AU1983" s="22" t="s">
        <v>3743</v>
      </c>
    </row>
    <row r="1984" spans="1:47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72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81"/>
        <v>580000</v>
      </c>
      <c r="AA1984" s="13">
        <v>1.1100000000000001</v>
      </c>
      <c r="AB1984" s="21">
        <f t="shared" si="585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67"/>
        <v>26147030.909862842</v>
      </c>
      <c r="AJ1984" s="19">
        <f t="shared" si="568"/>
        <v>2743862.8630715334</v>
      </c>
      <c r="AK1984" s="20">
        <f t="shared" si="575"/>
        <v>0.10493974908778378</v>
      </c>
      <c r="AL1984" s="17"/>
      <c r="AM1984" s="17"/>
      <c r="AN1984" s="17"/>
      <c r="AO1984" s="17"/>
      <c r="AP1984" s="28" t="str">
        <f t="shared" si="576"/>
        <v>201911</v>
      </c>
      <c r="AQ1984" s="28" t="str">
        <f t="shared" si="577"/>
        <v>201911RMB</v>
      </c>
      <c r="AR1984" s="206" t="str">
        <f t="shared" si="578"/>
        <v>YAMAHA_Mounter</v>
      </c>
      <c r="AS1984" s="22">
        <f t="shared" si="579"/>
        <v>1</v>
      </c>
      <c r="AT1984" s="24" t="str">
        <f t="shared" si="580"/>
        <v>0-3 months</v>
      </c>
      <c r="AU1984" s="22" t="s">
        <v>3743</v>
      </c>
    </row>
    <row r="1985" spans="1:47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72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81"/>
        <v>640000</v>
      </c>
      <c r="AA1985" s="13">
        <v>1.18</v>
      </c>
      <c r="AB1985" s="21">
        <f t="shared" si="585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67"/>
        <v>43684091.636631854</v>
      </c>
      <c r="AJ1985" s="19">
        <f t="shared" si="568"/>
        <v>6483951.8242071122</v>
      </c>
      <c r="AK1985" s="20">
        <f t="shared" si="575"/>
        <v>0.14842821680123736</v>
      </c>
      <c r="AL1985" s="17"/>
      <c r="AM1985" s="17"/>
      <c r="AN1985" s="17"/>
      <c r="AO1985" s="17"/>
      <c r="AP1985" s="28" t="str">
        <f t="shared" si="576"/>
        <v>20214</v>
      </c>
      <c r="AQ1985" s="28" t="str">
        <f t="shared" si="577"/>
        <v>20214RMB</v>
      </c>
      <c r="AR1985" s="206" t="str">
        <f t="shared" si="578"/>
        <v>YAMAHA_Mounter</v>
      </c>
      <c r="AS1985" s="22">
        <f t="shared" si="579"/>
        <v>4</v>
      </c>
      <c r="AT1985" s="24" t="str">
        <f t="shared" si="580"/>
        <v>4-6 months</v>
      </c>
      <c r="AU1985" s="22" t="s">
        <v>3743</v>
      </c>
    </row>
    <row r="1986" spans="1:47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72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81"/>
        <v>640000</v>
      </c>
      <c r="AA1986" s="13">
        <v>1.18</v>
      </c>
      <c r="AB1986" s="21">
        <f t="shared" si="585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ref="AI1986:AI2049" si="586">IF(P1986="C66 SERVICE","",SUMIFS(AB:AB,F:F,F1986,G:G,G1986,E:E,E1986))</f>
        <v>43684091.636631854</v>
      </c>
      <c r="AJ1986" s="19">
        <f t="shared" ref="AJ1986:AJ2049" si="587">IF(P1986="C66 SERVICE","",SUMIFS(AC:AC,F:F,F1986,G:G,G1986,E:E,E1986))</f>
        <v>6483951.8242071122</v>
      </c>
      <c r="AK1986" s="20">
        <f t="shared" si="575"/>
        <v>0.14842821680123736</v>
      </c>
      <c r="AL1986" s="17"/>
      <c r="AM1986" s="17"/>
      <c r="AN1986" s="17"/>
      <c r="AO1986" s="17"/>
      <c r="AP1986" s="28" t="str">
        <f t="shared" si="576"/>
        <v>20214</v>
      </c>
      <c r="AQ1986" s="28" t="str">
        <f t="shared" si="577"/>
        <v>20214RMB</v>
      </c>
      <c r="AR1986" s="206" t="str">
        <f t="shared" si="578"/>
        <v>YAMAHA_Mounter</v>
      </c>
      <c r="AS1986" s="22">
        <f t="shared" si="579"/>
        <v>4</v>
      </c>
      <c r="AT1986" s="24" t="str">
        <f t="shared" si="580"/>
        <v>4-6 months</v>
      </c>
      <c r="AU1986" s="22" t="s">
        <v>3743</v>
      </c>
    </row>
    <row r="1987" spans="1:47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72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81"/>
        <v>6900000</v>
      </c>
      <c r="AA1987" s="22">
        <v>5.6300000000000003E-2</v>
      </c>
      <c r="AB1987" s="21">
        <f t="shared" si="585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86"/>
        <v>23146578.081415929</v>
      </c>
      <c r="AJ1987" s="27">
        <f t="shared" si="587"/>
        <v>2745231.3889985834</v>
      </c>
      <c r="AK1987" s="28">
        <f t="shared" si="575"/>
        <v>0.11860204041143742</v>
      </c>
      <c r="AL1987" s="24"/>
      <c r="AM1987" s="24"/>
      <c r="AN1987" s="24"/>
      <c r="AO1987" s="24"/>
      <c r="AP1987" s="28" t="str">
        <f t="shared" si="576"/>
        <v>20241</v>
      </c>
      <c r="AQ1987" s="28" t="str">
        <f t="shared" si="577"/>
        <v>20241JPY</v>
      </c>
      <c r="AR1987" s="206" t="str">
        <f t="shared" si="578"/>
        <v>YAMAHA_Mounter</v>
      </c>
      <c r="AS1987" s="22">
        <f t="shared" si="579"/>
        <v>0</v>
      </c>
      <c r="AT1987" s="24" t="str">
        <f t="shared" si="580"/>
        <v>0-3 months</v>
      </c>
      <c r="AU1987" s="22" t="s">
        <v>3744</v>
      </c>
    </row>
    <row r="1988" spans="1:47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72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81"/>
        <v>6900000</v>
      </c>
      <c r="AA1988" s="22">
        <v>5.6300000000000003E-2</v>
      </c>
      <c r="AB1988" s="21">
        <f t="shared" si="585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86"/>
        <v>23146578.081415929</v>
      </c>
      <c r="AJ1988" s="27">
        <f t="shared" si="587"/>
        <v>2745231.3889985834</v>
      </c>
      <c r="AK1988" s="28">
        <f t="shared" si="575"/>
        <v>0.11860204041143742</v>
      </c>
      <c r="AL1988" s="24"/>
      <c r="AM1988" s="24"/>
      <c r="AN1988" s="24"/>
      <c r="AO1988" s="24"/>
      <c r="AP1988" s="28" t="str">
        <f t="shared" si="576"/>
        <v>20241</v>
      </c>
      <c r="AQ1988" s="28" t="str">
        <f t="shared" si="577"/>
        <v>20241JPY</v>
      </c>
      <c r="AR1988" s="206" t="str">
        <f t="shared" si="578"/>
        <v>YAMAHA_Mounter</v>
      </c>
      <c r="AS1988" s="22">
        <f t="shared" si="579"/>
        <v>0</v>
      </c>
      <c r="AT1988" s="24" t="str">
        <f t="shared" si="580"/>
        <v>0-3 months</v>
      </c>
      <c r="AU1988" s="22" t="s">
        <v>3744</v>
      </c>
    </row>
    <row r="1989" spans="1:47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72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81"/>
        <v>930000</v>
      </c>
      <c r="AA1989" s="13">
        <v>1.095</v>
      </c>
      <c r="AB1989" s="21">
        <f t="shared" si="585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86"/>
        <v>33477255.428389374</v>
      </c>
      <c r="AJ1989" s="19">
        <f t="shared" si="587"/>
        <v>4578663.362915583</v>
      </c>
      <c r="AK1989" s="20">
        <f t="shared" si="575"/>
        <v>0.13676937682988152</v>
      </c>
      <c r="AL1989" s="17"/>
      <c r="AM1989" s="17"/>
      <c r="AN1989" s="17"/>
      <c r="AO1989" s="17"/>
      <c r="AP1989" s="28" t="str">
        <f t="shared" si="576"/>
        <v>20204</v>
      </c>
      <c r="AQ1989" s="28" t="str">
        <f t="shared" si="577"/>
        <v>20204RMB</v>
      </c>
      <c r="AR1989" s="206" t="str">
        <f t="shared" si="578"/>
        <v>YAMAHA_Mounter</v>
      </c>
      <c r="AS1989" s="22">
        <f t="shared" si="579"/>
        <v>0</v>
      </c>
      <c r="AT1989" s="24" t="str">
        <f t="shared" si="580"/>
        <v>0-3 months</v>
      </c>
      <c r="AU1989" s="22" t="s">
        <v>3743</v>
      </c>
    </row>
    <row r="1990" spans="1:47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81"/>
        <v>580000</v>
      </c>
      <c r="AA1990" s="13">
        <v>1.095</v>
      </c>
      <c r="AB1990" s="21">
        <f t="shared" si="585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si="586"/>
        <v>33477255.428389374</v>
      </c>
      <c r="AJ1990" s="19">
        <f t="shared" si="587"/>
        <v>4578663.362915583</v>
      </c>
      <c r="AK1990" s="20">
        <f t="shared" ref="AK1990:AK2053" si="594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5">IF(F1990="","",F1990&amp;G1990)</f>
        <v>20204</v>
      </c>
      <c r="AQ1990" s="28" t="str">
        <f t="shared" ref="AQ1990:AQ2053" si="596">IF(W1990="","",F1990&amp;G1990&amp;W1990)</f>
        <v>20204RMB</v>
      </c>
      <c r="AR1990" s="206" t="str">
        <f t="shared" ref="AR1990:AR2053" si="597">IFERROR(IF(AND(M1990="YAMAHA", R1990="C28"), "YAMAHA_Non_Mounter", IF(AND(M1990="YAMAHA", R1990="C49"), "YAMAHA_Mounter", M1990)),"")</f>
        <v>YAMAHA_Mounter</v>
      </c>
      <c r="AS1990" s="22">
        <f t="shared" ref="AS1990:AS2053" si="598">IFERROR(IF(OR(G1990="TBA", G1990=""), "", DATEDIF(DATE(B1990, C1990, 1), DATE(F1990, G1990, 1), "M")),"")</f>
        <v>0</v>
      </c>
      <c r="AT1990" s="24" t="str">
        <f t="shared" ref="AT1990:AT2053" si="599">IF(ISNUMBER(AS1990), IF(AS1990&gt;=0, IF(AS1990&lt;=3, "0-3 months", IF(AS1990&lt;=6, "4-6 months", "&gt; 6 months"))), "")</f>
        <v>0-3 months</v>
      </c>
      <c r="AU1990" s="22" t="s">
        <v>3743</v>
      </c>
    </row>
    <row r="1991" spans="1:47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91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600">IF(W1991="RMB","1.13", "1")</f>
        <v>1</v>
      </c>
      <c r="Z1991" s="18">
        <f t="shared" si="581"/>
        <v>12000000</v>
      </c>
      <c r="AA1991" s="13">
        <v>7.2800000000000004E-2</v>
      </c>
      <c r="AB1991" s="21">
        <f t="shared" si="585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86"/>
        <v>63006605.696460173</v>
      </c>
      <c r="AJ1991" s="19">
        <f t="shared" si="587"/>
        <v>8897485.660753984</v>
      </c>
      <c r="AK1991" s="20">
        <f t="shared" si="594"/>
        <v>0.141215124388995</v>
      </c>
      <c r="AL1991" s="17"/>
      <c r="AM1991" s="17"/>
      <c r="AN1991" s="17"/>
      <c r="AO1991" s="17"/>
      <c r="AP1991" s="28" t="str">
        <f t="shared" si="595"/>
        <v>20215</v>
      </c>
      <c r="AQ1991" s="28" t="str">
        <f t="shared" si="596"/>
        <v>20215JPY</v>
      </c>
      <c r="AR1991" s="206" t="str">
        <f t="shared" si="597"/>
        <v>YAMAHA_Mounter</v>
      </c>
      <c r="AS1991" s="22">
        <f t="shared" si="598"/>
        <v>4</v>
      </c>
      <c r="AT1991" s="24" t="str">
        <f t="shared" si="599"/>
        <v>4-6 months</v>
      </c>
      <c r="AU1991" s="22" t="s">
        <v>3744</v>
      </c>
    </row>
    <row r="1992" spans="1:47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91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600"/>
        <v>1</v>
      </c>
      <c r="Z1992" s="18">
        <f t="shared" si="581"/>
        <v>12000000</v>
      </c>
      <c r="AA1992" s="13">
        <v>7.2800000000000004E-2</v>
      </c>
      <c r="AB1992" s="21">
        <f t="shared" si="585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86"/>
        <v>63006605.696460173</v>
      </c>
      <c r="AJ1992" s="19">
        <f t="shared" si="587"/>
        <v>8897485.660753984</v>
      </c>
      <c r="AK1992" s="20">
        <f t="shared" si="594"/>
        <v>0.141215124388995</v>
      </c>
      <c r="AL1992" s="17"/>
      <c r="AM1992" s="17"/>
      <c r="AN1992" s="17"/>
      <c r="AO1992" s="17"/>
      <c r="AP1992" s="28" t="str">
        <f t="shared" si="595"/>
        <v>20215</v>
      </c>
      <c r="AQ1992" s="28" t="str">
        <f t="shared" si="596"/>
        <v>20215JPY</v>
      </c>
      <c r="AR1992" s="206" t="str">
        <f t="shared" si="597"/>
        <v>YAMAHA_Mounter</v>
      </c>
      <c r="AS1992" s="22">
        <f t="shared" si="598"/>
        <v>4</v>
      </c>
      <c r="AT1992" s="24" t="str">
        <f t="shared" si="599"/>
        <v>4-6 months</v>
      </c>
      <c r="AU1992" s="22" t="s">
        <v>3744</v>
      </c>
    </row>
    <row r="1993" spans="1:47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91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600"/>
        <v>1</v>
      </c>
      <c r="Z1993" s="18">
        <f t="shared" si="581"/>
        <v>8000000</v>
      </c>
      <c r="AA1993" s="13">
        <v>7.2800000000000004E-2</v>
      </c>
      <c r="AB1993" s="21">
        <f t="shared" si="585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86"/>
        <v>63006605.696460173</v>
      </c>
      <c r="AJ1993" s="19">
        <f t="shared" si="587"/>
        <v>8897485.660753984</v>
      </c>
      <c r="AK1993" s="20">
        <f t="shared" si="594"/>
        <v>0.141215124388995</v>
      </c>
      <c r="AL1993" s="17"/>
      <c r="AM1993" s="17"/>
      <c r="AN1993" s="17"/>
      <c r="AO1993" s="17"/>
      <c r="AP1993" s="28" t="str">
        <f t="shared" si="595"/>
        <v>20215</v>
      </c>
      <c r="AQ1993" s="28" t="str">
        <f t="shared" si="596"/>
        <v>20215JPY</v>
      </c>
      <c r="AR1993" s="206" t="str">
        <f t="shared" si="597"/>
        <v>YAMAHA_Mounter</v>
      </c>
      <c r="AS1993" s="22">
        <f t="shared" si="598"/>
        <v>4</v>
      </c>
      <c r="AT1993" s="24" t="str">
        <f t="shared" si="599"/>
        <v>4-6 months</v>
      </c>
      <c r="AU1993" s="22" t="s">
        <v>3744</v>
      </c>
    </row>
    <row r="1994" spans="1:47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91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600"/>
        <v>1</v>
      </c>
      <c r="Z1994" s="18">
        <f t="shared" ref="Z1994:Z2057" si="601">IF(X1994="","",X1994*MAX(O1994,N1994))</f>
        <v>8000000</v>
      </c>
      <c r="AA1994" s="13">
        <v>7.2800000000000004E-2</v>
      </c>
      <c r="AB1994" s="21">
        <f t="shared" si="585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86"/>
        <v>63006605.696460173</v>
      </c>
      <c r="AJ1994" s="19">
        <f t="shared" si="587"/>
        <v>8897485.660753984</v>
      </c>
      <c r="AK1994" s="20">
        <f t="shared" si="594"/>
        <v>0.141215124388995</v>
      </c>
      <c r="AL1994" s="17"/>
      <c r="AM1994" s="17"/>
      <c r="AN1994" s="17"/>
      <c r="AO1994" s="17"/>
      <c r="AP1994" s="28" t="str">
        <f t="shared" si="595"/>
        <v>20215</v>
      </c>
      <c r="AQ1994" s="28" t="str">
        <f t="shared" si="596"/>
        <v>20215JPY</v>
      </c>
      <c r="AR1994" s="206" t="str">
        <f t="shared" si="597"/>
        <v>YAMAHA_Mounter</v>
      </c>
      <c r="AS1994" s="22">
        <f t="shared" si="598"/>
        <v>4</v>
      </c>
      <c r="AT1994" s="24" t="str">
        <f t="shared" si="599"/>
        <v>4-6 months</v>
      </c>
      <c r="AU1994" s="22" t="s">
        <v>3744</v>
      </c>
    </row>
    <row r="1995" spans="1:47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91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600"/>
        <v>1</v>
      </c>
      <c r="Z1995" s="18">
        <f t="shared" si="601"/>
        <v>8000000</v>
      </c>
      <c r="AA1995" s="13">
        <v>7.2800000000000004E-2</v>
      </c>
      <c r="AB1995" s="21">
        <f t="shared" si="585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86"/>
        <v>63006605.696460173</v>
      </c>
      <c r="AJ1995" s="19">
        <f t="shared" si="587"/>
        <v>8897485.660753984</v>
      </c>
      <c r="AK1995" s="20">
        <f t="shared" si="594"/>
        <v>0.141215124388995</v>
      </c>
      <c r="AL1995" s="17"/>
      <c r="AM1995" s="17"/>
      <c r="AN1995" s="17"/>
      <c r="AO1995" s="17"/>
      <c r="AP1995" s="28" t="str">
        <f t="shared" si="595"/>
        <v>20215</v>
      </c>
      <c r="AQ1995" s="28" t="str">
        <f t="shared" si="596"/>
        <v>20215JPY</v>
      </c>
      <c r="AR1995" s="206" t="str">
        <f t="shared" si="597"/>
        <v>YAMAHA_Mounter</v>
      </c>
      <c r="AS1995" s="22">
        <f t="shared" si="598"/>
        <v>4</v>
      </c>
      <c r="AT1995" s="24" t="str">
        <f t="shared" si="599"/>
        <v>4-6 months</v>
      </c>
      <c r="AU1995" s="22" t="s">
        <v>3744</v>
      </c>
    </row>
    <row r="1996" spans="1:47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91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600"/>
        <v>1</v>
      </c>
      <c r="Z1996" s="18">
        <f t="shared" si="601"/>
        <v>13000000</v>
      </c>
      <c r="AA1996" s="13">
        <v>7.0000000000000007E-2</v>
      </c>
      <c r="AB1996" s="21">
        <f t="shared" si="585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86"/>
        <v>29500529.005044252</v>
      </c>
      <c r="AJ1996" s="19">
        <f t="shared" si="587"/>
        <v>3253064.846231177</v>
      </c>
      <c r="AK1996" s="20">
        <f t="shared" si="594"/>
        <v>0.11027140718984871</v>
      </c>
      <c r="AL1996" s="17"/>
      <c r="AM1996" s="17"/>
      <c r="AN1996" s="17"/>
      <c r="AO1996" s="17"/>
      <c r="AP1996" s="28" t="str">
        <f t="shared" si="595"/>
        <v>202111</v>
      </c>
      <c r="AQ1996" s="28" t="str">
        <f t="shared" si="596"/>
        <v>202111JPY</v>
      </c>
      <c r="AR1996" s="206" t="str">
        <f t="shared" si="597"/>
        <v>YAMAHA_Mounter</v>
      </c>
      <c r="AS1996" s="22">
        <f t="shared" si="598"/>
        <v>6</v>
      </c>
      <c r="AT1996" s="24" t="str">
        <f t="shared" si="599"/>
        <v>4-6 months</v>
      </c>
      <c r="AU1996" s="22" t="s">
        <v>3744</v>
      </c>
    </row>
    <row r="1997" spans="1:47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91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600"/>
        <v>1</v>
      </c>
      <c r="Z1997" s="18">
        <f t="shared" si="601"/>
        <v>13000000</v>
      </c>
      <c r="AA1997" s="13">
        <v>7.0000000000000007E-2</v>
      </c>
      <c r="AB1997" s="21">
        <f t="shared" si="585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86"/>
        <v>29500529.005044252</v>
      </c>
      <c r="AJ1997" s="19">
        <f t="shared" si="587"/>
        <v>3253064.846231177</v>
      </c>
      <c r="AK1997" s="20">
        <f t="shared" si="594"/>
        <v>0.11027140718984871</v>
      </c>
      <c r="AL1997" s="17"/>
      <c r="AM1997" s="17"/>
      <c r="AN1997" s="17"/>
      <c r="AO1997" s="17"/>
      <c r="AP1997" s="28" t="str">
        <f t="shared" si="595"/>
        <v>202111</v>
      </c>
      <c r="AQ1997" s="28" t="str">
        <f t="shared" si="596"/>
        <v>202111JPY</v>
      </c>
      <c r="AR1997" s="206" t="str">
        <f t="shared" si="597"/>
        <v>YAMAHA_Mounter</v>
      </c>
      <c r="AS1997" s="22">
        <f t="shared" si="598"/>
        <v>6</v>
      </c>
      <c r="AT1997" s="24" t="str">
        <f t="shared" si="599"/>
        <v>4-6 months</v>
      </c>
      <c r="AU1997" s="22" t="s">
        <v>3744</v>
      </c>
    </row>
    <row r="1998" spans="1:47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91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600"/>
        <v>1</v>
      </c>
      <c r="Z1998" s="18">
        <f t="shared" si="601"/>
        <v>8360000</v>
      </c>
      <c r="AA1998" s="13">
        <v>6.9199999999999998E-2</v>
      </c>
      <c r="AB1998" s="21">
        <f t="shared" si="585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86"/>
        <v>28726768.133805312</v>
      </c>
      <c r="AJ1998" s="19">
        <f t="shared" si="587"/>
        <v>3853638.1988864429</v>
      </c>
      <c r="AK1998" s="20">
        <f t="shared" si="594"/>
        <v>0.1341479898099476</v>
      </c>
      <c r="AL1998" s="17"/>
      <c r="AM1998" s="17"/>
      <c r="AN1998" s="17"/>
      <c r="AO1998" s="17"/>
      <c r="AP1998" s="28" t="str">
        <f t="shared" si="595"/>
        <v>20223</v>
      </c>
      <c r="AQ1998" s="28" t="str">
        <f t="shared" si="596"/>
        <v>20223JPY</v>
      </c>
      <c r="AR1998" s="206" t="str">
        <f t="shared" si="597"/>
        <v>YAMAHA_Mounter</v>
      </c>
      <c r="AS1998" s="22">
        <f t="shared" si="598"/>
        <v>10</v>
      </c>
      <c r="AT1998" s="24" t="str">
        <f t="shared" si="599"/>
        <v>&gt; 6 months</v>
      </c>
      <c r="AU1998" s="22" t="s">
        <v>3744</v>
      </c>
    </row>
    <row r="1999" spans="1:47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91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600"/>
        <v>1</v>
      </c>
      <c r="Z1999" s="18">
        <f t="shared" si="601"/>
        <v>8360000</v>
      </c>
      <c r="AA1999" s="13">
        <v>6.9199999999999998E-2</v>
      </c>
      <c r="AB1999" s="21">
        <f t="shared" si="585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86"/>
        <v>28726768.133805312</v>
      </c>
      <c r="AJ1999" s="19">
        <f t="shared" si="587"/>
        <v>3853638.1988864429</v>
      </c>
      <c r="AK1999" s="20">
        <f t="shared" si="594"/>
        <v>0.1341479898099476</v>
      </c>
      <c r="AL1999" s="17"/>
      <c r="AM1999" s="17"/>
      <c r="AN1999" s="17"/>
      <c r="AO1999" s="17"/>
      <c r="AP1999" s="28" t="str">
        <f t="shared" si="595"/>
        <v>20223</v>
      </c>
      <c r="AQ1999" s="28" t="str">
        <f t="shared" si="596"/>
        <v>20223JPY</v>
      </c>
      <c r="AR1999" s="206" t="str">
        <f t="shared" si="597"/>
        <v>YAMAHA_Mounter</v>
      </c>
      <c r="AS1999" s="22">
        <f t="shared" si="598"/>
        <v>10</v>
      </c>
      <c r="AT1999" s="24" t="str">
        <f t="shared" si="599"/>
        <v>&gt; 6 months</v>
      </c>
      <c r="AU1999" s="22" t="s">
        <v>3744</v>
      </c>
    </row>
    <row r="2000" spans="1:47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91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600"/>
        <v>1</v>
      </c>
      <c r="Z2000" s="18">
        <f t="shared" si="601"/>
        <v>15000000</v>
      </c>
      <c r="AA2000" s="13">
        <v>5.96E-2</v>
      </c>
      <c r="AB2000" s="21">
        <f t="shared" si="585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86"/>
        <v>35073581.838938057</v>
      </c>
      <c r="AJ2000" s="19">
        <f t="shared" si="587"/>
        <v>5034113.9728989396</v>
      </c>
      <c r="AK2000" s="20">
        <f t="shared" si="594"/>
        <v>0.14353007902118958</v>
      </c>
      <c r="AL2000" s="17"/>
      <c r="AM2000" s="17"/>
      <c r="AN2000" s="17"/>
      <c r="AO2000" s="17"/>
      <c r="AP2000" s="28" t="str">
        <f t="shared" si="595"/>
        <v>20228</v>
      </c>
      <c r="AQ2000" s="28" t="str">
        <f t="shared" si="596"/>
        <v>20228JPY</v>
      </c>
      <c r="AR2000" s="206" t="str">
        <f t="shared" si="597"/>
        <v>YAMAHA_Mounter</v>
      </c>
      <c r="AS2000" s="22">
        <f t="shared" si="598"/>
        <v>3</v>
      </c>
      <c r="AT2000" s="24" t="str">
        <f t="shared" si="599"/>
        <v>0-3 months</v>
      </c>
      <c r="AU2000" s="22" t="s">
        <v>3744</v>
      </c>
    </row>
    <row r="2001" spans="1:47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91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600"/>
        <v>1</v>
      </c>
      <c r="Z2001" s="18">
        <f t="shared" si="601"/>
        <v>15000000</v>
      </c>
      <c r="AA2001" s="13">
        <v>5.96E-2</v>
      </c>
      <c r="AB2001" s="21">
        <f t="shared" si="585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86"/>
        <v>35073581.838938057</v>
      </c>
      <c r="AJ2001" s="19">
        <f t="shared" si="587"/>
        <v>5034113.9728989396</v>
      </c>
      <c r="AK2001" s="20">
        <f t="shared" si="594"/>
        <v>0.14353007902118958</v>
      </c>
      <c r="AL2001" s="17"/>
      <c r="AM2001" s="17"/>
      <c r="AN2001" s="17"/>
      <c r="AO2001" s="17"/>
      <c r="AP2001" s="28" t="str">
        <f t="shared" si="595"/>
        <v>20228</v>
      </c>
      <c r="AQ2001" s="28" t="str">
        <f t="shared" si="596"/>
        <v>20228JPY</v>
      </c>
      <c r="AR2001" s="206" t="str">
        <f t="shared" si="597"/>
        <v>YAMAHA_Mounter</v>
      </c>
      <c r="AS2001" s="22">
        <f t="shared" si="598"/>
        <v>3</v>
      </c>
      <c r="AT2001" s="24" t="str">
        <f t="shared" si="599"/>
        <v>0-3 months</v>
      </c>
      <c r="AU2001" s="22" t="s">
        <v>3744</v>
      </c>
    </row>
    <row r="2002" spans="1:47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91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600"/>
        <v>1.13</v>
      </c>
      <c r="Z2002" s="18">
        <f t="shared" si="601"/>
        <v>430000</v>
      </c>
      <c r="AA2002" s="13">
        <v>1.1299999999999999</v>
      </c>
      <c r="AB2002" s="21">
        <f t="shared" si="585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86"/>
        <v>33543315.897345133</v>
      </c>
      <c r="AJ2002" s="19">
        <f t="shared" si="587"/>
        <v>4706169.3252984071</v>
      </c>
      <c r="AK2002" s="20">
        <f t="shared" si="594"/>
        <v>0.14030125523967318</v>
      </c>
      <c r="AL2002" s="17"/>
      <c r="AM2002" s="17"/>
      <c r="AN2002" s="17"/>
      <c r="AO2002" s="17"/>
      <c r="AP2002" s="28" t="str">
        <f t="shared" si="595"/>
        <v>20233</v>
      </c>
      <c r="AQ2002" s="28" t="str">
        <f t="shared" si="596"/>
        <v>20233RMB</v>
      </c>
      <c r="AR2002" s="206" t="str">
        <f t="shared" si="597"/>
        <v>YAMAHA_Mounter</v>
      </c>
      <c r="AS2002" s="22">
        <f t="shared" si="598"/>
        <v>0</v>
      </c>
      <c r="AT2002" s="24" t="str">
        <f t="shared" si="599"/>
        <v>0-3 months</v>
      </c>
      <c r="AU2002" s="22" t="s">
        <v>3750</v>
      </c>
    </row>
    <row r="2003" spans="1:47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91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600"/>
        <v>1.13</v>
      </c>
      <c r="Z2003" s="18">
        <f t="shared" si="601"/>
        <v>430000</v>
      </c>
      <c r="AA2003" s="13">
        <v>1.1299999999999999</v>
      </c>
      <c r="AB2003" s="21">
        <f t="shared" si="585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86"/>
        <v>33543315.897345133</v>
      </c>
      <c r="AJ2003" s="19">
        <f t="shared" si="587"/>
        <v>4706169.3252984071</v>
      </c>
      <c r="AK2003" s="20">
        <f t="shared" si="594"/>
        <v>0.14030125523967318</v>
      </c>
      <c r="AL2003" s="17"/>
      <c r="AM2003" s="17"/>
      <c r="AN2003" s="17"/>
      <c r="AO2003" s="17"/>
      <c r="AP2003" s="28" t="str">
        <f t="shared" si="595"/>
        <v>20233</v>
      </c>
      <c r="AQ2003" s="28" t="str">
        <f t="shared" si="596"/>
        <v>20233RMB</v>
      </c>
      <c r="AR2003" s="206" t="str">
        <f t="shared" si="597"/>
        <v>YAMAHA_Mounter</v>
      </c>
      <c r="AS2003" s="22">
        <f t="shared" si="598"/>
        <v>0</v>
      </c>
      <c r="AT2003" s="24" t="str">
        <f t="shared" si="599"/>
        <v>0-3 months</v>
      </c>
      <c r="AU2003" s="22" t="s">
        <v>3750</v>
      </c>
    </row>
    <row r="2004" spans="1:47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91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601"/>
        <v>13000000</v>
      </c>
      <c r="AA2004" s="22">
        <v>5.6300000000000003E-2</v>
      </c>
      <c r="AB2004" s="21">
        <f t="shared" si="585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86"/>
        <v>23146578.081415929</v>
      </c>
      <c r="AJ2004" s="27">
        <f t="shared" si="587"/>
        <v>2745231.3889985834</v>
      </c>
      <c r="AK2004" s="28">
        <f t="shared" si="594"/>
        <v>0.11860204041143742</v>
      </c>
      <c r="AL2004" s="24"/>
      <c r="AM2004" s="24"/>
      <c r="AN2004" s="24"/>
      <c r="AO2004" s="24"/>
      <c r="AP2004" s="28" t="str">
        <f t="shared" si="595"/>
        <v>20241</v>
      </c>
      <c r="AQ2004" s="28" t="str">
        <f t="shared" si="596"/>
        <v>20241JPY</v>
      </c>
      <c r="AR2004" s="206" t="str">
        <f t="shared" si="597"/>
        <v>YAMAHA_Mounter</v>
      </c>
      <c r="AS2004" s="22">
        <f t="shared" si="598"/>
        <v>1</v>
      </c>
      <c r="AT2004" s="24" t="str">
        <f t="shared" si="599"/>
        <v>0-3 months</v>
      </c>
      <c r="AU2004" s="22" t="s">
        <v>3744</v>
      </c>
    </row>
    <row r="2005" spans="1:47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91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601"/>
        <v>7500000</v>
      </c>
      <c r="AA2005" s="22">
        <v>5.6300000000000003E-2</v>
      </c>
      <c r="AB2005" s="21">
        <f t="shared" si="585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86"/>
        <v>23146578.081415929</v>
      </c>
      <c r="AJ2005" s="27">
        <f t="shared" si="587"/>
        <v>2745231.3889985834</v>
      </c>
      <c r="AK2005" s="28">
        <f t="shared" si="594"/>
        <v>0.11860204041143742</v>
      </c>
      <c r="AL2005" s="24"/>
      <c r="AM2005" s="24"/>
      <c r="AN2005" s="24"/>
      <c r="AO2005" s="24"/>
      <c r="AP2005" s="28" t="str">
        <f t="shared" si="595"/>
        <v>20241</v>
      </c>
      <c r="AQ2005" s="28" t="str">
        <f t="shared" si="596"/>
        <v>20241JPY</v>
      </c>
      <c r="AR2005" s="206" t="str">
        <f t="shared" si="597"/>
        <v>YAMAHA_Mounter</v>
      </c>
      <c r="AS2005" s="22">
        <f t="shared" si="598"/>
        <v>1</v>
      </c>
      <c r="AT2005" s="24" t="str">
        <f t="shared" si="599"/>
        <v>0-3 months</v>
      </c>
      <c r="AU2005" s="22" t="s">
        <v>3744</v>
      </c>
    </row>
    <row r="2006" spans="1:47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91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601"/>
        <v>23880000</v>
      </c>
      <c r="AA2006" s="13">
        <v>7.2099999999999997E-2</v>
      </c>
      <c r="AB2006" s="21">
        <f t="shared" si="585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86"/>
        <v>26754147.763010349</v>
      </c>
      <c r="AJ2006" s="19">
        <f t="shared" si="587"/>
        <v>3429137.9965357962</v>
      </c>
      <c r="AK2006" s="20">
        <f t="shared" si="594"/>
        <v>0.12817220069617921</v>
      </c>
      <c r="AL2006" s="17"/>
      <c r="AM2006" s="17"/>
      <c r="AN2006" s="17"/>
      <c r="AO2006" s="17"/>
      <c r="AP2006" s="28" t="str">
        <f t="shared" si="595"/>
        <v>20188</v>
      </c>
      <c r="AQ2006" s="28" t="str">
        <f t="shared" si="596"/>
        <v>20188JPY</v>
      </c>
      <c r="AR2006" s="206" t="str">
        <f t="shared" si="597"/>
        <v>YAMAHA_Mounter</v>
      </c>
      <c r="AS2006" s="22">
        <f t="shared" si="598"/>
        <v>4</v>
      </c>
      <c r="AT2006" s="24" t="str">
        <f t="shared" si="599"/>
        <v>4-6 months</v>
      </c>
      <c r="AU2006" s="22" t="s">
        <v>3745</v>
      </c>
    </row>
    <row r="2007" spans="1:47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91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601"/>
        <v>30000000</v>
      </c>
      <c r="AA2007" s="13">
        <v>7.0400000000000004E-2</v>
      </c>
      <c r="AB2007" s="21">
        <f t="shared" si="585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86"/>
        <v>29840797.698275864</v>
      </c>
      <c r="AJ2007" s="19">
        <f t="shared" si="587"/>
        <v>3940167.6555448272</v>
      </c>
      <c r="AK2007" s="20">
        <f t="shared" si="594"/>
        <v>0.13203962224416277</v>
      </c>
      <c r="AL2007" s="17"/>
      <c r="AM2007" s="17"/>
      <c r="AN2007" s="17"/>
      <c r="AO2007" s="17"/>
      <c r="AP2007" s="28" t="str">
        <f t="shared" si="595"/>
        <v>201812</v>
      </c>
      <c r="AQ2007" s="28" t="str">
        <f t="shared" si="596"/>
        <v>201812JPY</v>
      </c>
      <c r="AR2007" s="206" t="str">
        <f t="shared" si="597"/>
        <v>YAMAHA_Mounter</v>
      </c>
      <c r="AS2007" s="22">
        <f t="shared" si="598"/>
        <v>8</v>
      </c>
      <c r="AT2007" s="24" t="str">
        <f t="shared" si="599"/>
        <v>&gt; 6 months</v>
      </c>
      <c r="AU2007" s="22" t="s">
        <v>3745</v>
      </c>
    </row>
    <row r="2008" spans="1:47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91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601"/>
        <v>12235000</v>
      </c>
      <c r="AA2008" s="13">
        <v>7.0400000000000004E-2</v>
      </c>
      <c r="AB2008" s="21">
        <f t="shared" si="585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86"/>
        <v>29840797.698275864</v>
      </c>
      <c r="AJ2008" s="19">
        <f t="shared" si="587"/>
        <v>3940167.6555448272</v>
      </c>
      <c r="AK2008" s="20">
        <f t="shared" si="594"/>
        <v>0.13203962224416277</v>
      </c>
      <c r="AL2008" s="17"/>
      <c r="AM2008" s="17"/>
      <c r="AN2008" s="17"/>
      <c r="AO2008" s="17"/>
      <c r="AP2008" s="28" t="str">
        <f t="shared" si="595"/>
        <v>201812</v>
      </c>
      <c r="AQ2008" s="28" t="str">
        <f t="shared" si="596"/>
        <v>201812JPY</v>
      </c>
      <c r="AR2008" s="206" t="str">
        <f t="shared" si="597"/>
        <v>YAMAHA_Mounter</v>
      </c>
      <c r="AS2008" s="22">
        <f t="shared" si="598"/>
        <v>4</v>
      </c>
      <c r="AT2008" s="24" t="str">
        <f t="shared" si="599"/>
        <v>4-6 months</v>
      </c>
      <c r="AU2008" s="22" t="s">
        <v>3745</v>
      </c>
    </row>
    <row r="2009" spans="1:47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91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601"/>
        <v>14000000</v>
      </c>
      <c r="AA2009" s="13">
        <v>7.0400000000000004E-2</v>
      </c>
      <c r="AB2009" s="21">
        <f t="shared" si="585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86"/>
        <v>29840797.698275864</v>
      </c>
      <c r="AJ2009" s="19">
        <f t="shared" si="587"/>
        <v>3940167.6555448272</v>
      </c>
      <c r="AK2009" s="20">
        <f t="shared" si="594"/>
        <v>0.13203962224416277</v>
      </c>
      <c r="AL2009" s="17"/>
      <c r="AM2009" s="17"/>
      <c r="AN2009" s="17"/>
      <c r="AO2009" s="17"/>
      <c r="AP2009" s="28" t="str">
        <f t="shared" si="595"/>
        <v>201812</v>
      </c>
      <c r="AQ2009" s="28" t="str">
        <f t="shared" si="596"/>
        <v>201812JPY</v>
      </c>
      <c r="AR2009" s="206" t="str">
        <f t="shared" si="597"/>
        <v>YAMAHA_Mounter</v>
      </c>
      <c r="AS2009" s="22">
        <f t="shared" si="598"/>
        <v>4</v>
      </c>
      <c r="AT2009" s="24" t="str">
        <f t="shared" si="599"/>
        <v>4-6 months</v>
      </c>
      <c r="AU2009" s="22" t="s">
        <v>3745</v>
      </c>
    </row>
    <row r="2010" spans="1:47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91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601"/>
        <v>17407500</v>
      </c>
      <c r="AA2010" s="13">
        <v>7.0400000000000004E-2</v>
      </c>
      <c r="AB2010" s="21">
        <f t="shared" si="585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86"/>
        <v>29840797.698275864</v>
      </c>
      <c r="AJ2010" s="19">
        <f t="shared" si="587"/>
        <v>3940167.6555448272</v>
      </c>
      <c r="AK2010" s="20">
        <f t="shared" si="594"/>
        <v>0.13203962224416277</v>
      </c>
      <c r="AL2010" s="17"/>
      <c r="AM2010" s="17"/>
      <c r="AN2010" s="17"/>
      <c r="AO2010" s="17"/>
      <c r="AP2010" s="28" t="str">
        <f t="shared" si="595"/>
        <v>201812</v>
      </c>
      <c r="AQ2010" s="28" t="str">
        <f t="shared" si="596"/>
        <v>201812JPY</v>
      </c>
      <c r="AR2010" s="206" t="str">
        <f t="shared" si="597"/>
        <v>YAMAHA_Mounter</v>
      </c>
      <c r="AS2010" s="22">
        <f t="shared" si="598"/>
        <v>3</v>
      </c>
      <c r="AT2010" s="24" t="str">
        <f t="shared" si="599"/>
        <v>0-3 months</v>
      </c>
      <c r="AU2010" s="22" t="s">
        <v>3745</v>
      </c>
    </row>
    <row r="2011" spans="1:47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91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601"/>
        <v>17407500</v>
      </c>
      <c r="AA2011" s="13">
        <v>7.0400000000000004E-2</v>
      </c>
      <c r="AB2011" s="21">
        <f t="shared" si="585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86"/>
        <v>29840797.698275864</v>
      </c>
      <c r="AJ2011" s="19">
        <f t="shared" si="587"/>
        <v>3940167.6555448272</v>
      </c>
      <c r="AK2011" s="20">
        <f t="shared" si="594"/>
        <v>0.13203962224416277</v>
      </c>
      <c r="AL2011" s="17"/>
      <c r="AM2011" s="17"/>
      <c r="AN2011" s="17"/>
      <c r="AO2011" s="17"/>
      <c r="AP2011" s="28" t="str">
        <f t="shared" si="595"/>
        <v>201812</v>
      </c>
      <c r="AQ2011" s="28" t="str">
        <f t="shared" si="596"/>
        <v>201812JPY</v>
      </c>
      <c r="AR2011" s="206" t="str">
        <f t="shared" si="597"/>
        <v>YAMAHA_Mounter</v>
      </c>
      <c r="AS2011" s="22">
        <f t="shared" si="598"/>
        <v>3</v>
      </c>
      <c r="AT2011" s="24" t="str">
        <f t="shared" si="599"/>
        <v>0-3 months</v>
      </c>
      <c r="AU2011" s="22" t="s">
        <v>3745</v>
      </c>
    </row>
    <row r="2012" spans="1:47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91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601"/>
        <v>15500000</v>
      </c>
      <c r="AA2012" s="13">
        <v>7.22E-2</v>
      </c>
      <c r="AB2012" s="21">
        <f t="shared" si="585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86"/>
        <v>47416008.333399981</v>
      </c>
      <c r="AJ2012" s="19">
        <f t="shared" si="587"/>
        <v>6981738.4465290187</v>
      </c>
      <c r="AK2012" s="20">
        <f t="shared" si="594"/>
        <v>0.14724433143839863</v>
      </c>
      <c r="AL2012" s="17"/>
      <c r="AM2012" s="17"/>
      <c r="AN2012" s="17"/>
      <c r="AO2012" s="17"/>
      <c r="AP2012" s="28" t="str">
        <f t="shared" si="595"/>
        <v>20193</v>
      </c>
      <c r="AQ2012" s="28" t="str">
        <f t="shared" si="596"/>
        <v>20193JPY</v>
      </c>
      <c r="AR2012" s="206" t="str">
        <f t="shared" si="597"/>
        <v>YAMAHA_Mounter</v>
      </c>
      <c r="AS2012" s="22">
        <f t="shared" si="598"/>
        <v>4</v>
      </c>
      <c r="AT2012" s="24" t="str">
        <f t="shared" si="599"/>
        <v>4-6 months</v>
      </c>
      <c r="AU2012" s="22" t="s">
        <v>3745</v>
      </c>
    </row>
    <row r="2013" spans="1:47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91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601"/>
        <v>15500000</v>
      </c>
      <c r="AA2013" s="13">
        <v>7.22E-2</v>
      </c>
      <c r="AB2013" s="21">
        <f t="shared" si="585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86"/>
        <v>47416008.333399981</v>
      </c>
      <c r="AJ2013" s="19">
        <f t="shared" si="587"/>
        <v>6981738.4465290187</v>
      </c>
      <c r="AK2013" s="20">
        <f t="shared" si="594"/>
        <v>0.14724433143839863</v>
      </c>
      <c r="AL2013" s="17"/>
      <c r="AM2013" s="17"/>
      <c r="AN2013" s="17"/>
      <c r="AO2013" s="17"/>
      <c r="AP2013" s="28" t="str">
        <f t="shared" si="595"/>
        <v>20193</v>
      </c>
      <c r="AQ2013" s="28" t="str">
        <f t="shared" si="596"/>
        <v>20193JPY</v>
      </c>
      <c r="AR2013" s="206" t="str">
        <f t="shared" si="597"/>
        <v>YAMAHA_Mounter</v>
      </c>
      <c r="AS2013" s="22">
        <f t="shared" si="598"/>
        <v>4</v>
      </c>
      <c r="AT2013" s="24" t="str">
        <f t="shared" si="599"/>
        <v>4-6 months</v>
      </c>
      <c r="AU2013" s="22" t="s">
        <v>3745</v>
      </c>
    </row>
    <row r="2014" spans="1:47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91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601"/>
        <v>15500000</v>
      </c>
      <c r="AA2014" s="13">
        <v>7.22E-2</v>
      </c>
      <c r="AB2014" s="21">
        <f t="shared" si="585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86"/>
        <v>47416008.333399981</v>
      </c>
      <c r="AJ2014" s="19">
        <f t="shared" si="587"/>
        <v>6981738.4465290187</v>
      </c>
      <c r="AK2014" s="20">
        <f t="shared" si="594"/>
        <v>0.14724433143839863</v>
      </c>
      <c r="AL2014" s="17"/>
      <c r="AM2014" s="17"/>
      <c r="AN2014" s="17"/>
      <c r="AO2014" s="17"/>
      <c r="AP2014" s="28" t="str">
        <f t="shared" si="595"/>
        <v>20193</v>
      </c>
      <c r="AQ2014" s="28" t="str">
        <f t="shared" si="596"/>
        <v>20193JPY</v>
      </c>
      <c r="AR2014" s="206" t="str">
        <f t="shared" si="597"/>
        <v>YAMAHA_Mounter</v>
      </c>
      <c r="AS2014" s="22">
        <f t="shared" si="598"/>
        <v>4</v>
      </c>
      <c r="AT2014" s="24" t="str">
        <f t="shared" si="599"/>
        <v>4-6 months</v>
      </c>
      <c r="AU2014" s="22" t="s">
        <v>3745</v>
      </c>
    </row>
    <row r="2015" spans="1:47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91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601"/>
        <v>15500000</v>
      </c>
      <c r="AA2015" s="13">
        <v>7.22E-2</v>
      </c>
      <c r="AB2015" s="21">
        <f t="shared" si="585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86"/>
        <v>47416008.333399981</v>
      </c>
      <c r="AJ2015" s="19">
        <f t="shared" si="587"/>
        <v>6981738.4465290187</v>
      </c>
      <c r="AK2015" s="20">
        <f t="shared" si="594"/>
        <v>0.14724433143839863</v>
      </c>
      <c r="AL2015" s="17"/>
      <c r="AM2015" s="17"/>
      <c r="AN2015" s="17"/>
      <c r="AO2015" s="17"/>
      <c r="AP2015" s="28" t="str">
        <f t="shared" si="595"/>
        <v>20193</v>
      </c>
      <c r="AQ2015" s="28" t="str">
        <f t="shared" si="596"/>
        <v>20193JPY</v>
      </c>
      <c r="AR2015" s="206" t="str">
        <f t="shared" si="597"/>
        <v>YAMAHA_Mounter</v>
      </c>
      <c r="AS2015" s="22">
        <f t="shared" si="598"/>
        <v>4</v>
      </c>
      <c r="AT2015" s="24" t="str">
        <f t="shared" si="599"/>
        <v>4-6 months</v>
      </c>
      <c r="AU2015" s="22" t="s">
        <v>3745</v>
      </c>
    </row>
    <row r="2016" spans="1:47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91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601"/>
        <v>12882566</v>
      </c>
      <c r="AA2016" s="13">
        <v>7.22E-2</v>
      </c>
      <c r="AB2016" s="21">
        <f t="shared" si="585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86"/>
        <v>47416008.333399981</v>
      </c>
      <c r="AJ2016" s="19">
        <f t="shared" si="587"/>
        <v>6981738.4465290187</v>
      </c>
      <c r="AK2016" s="20">
        <f t="shared" si="594"/>
        <v>0.14724433143839863</v>
      </c>
      <c r="AL2016" s="17"/>
      <c r="AM2016" s="17"/>
      <c r="AN2016" s="17"/>
      <c r="AO2016" s="17"/>
      <c r="AP2016" s="28" t="str">
        <f t="shared" si="595"/>
        <v>20193</v>
      </c>
      <c r="AQ2016" s="28" t="str">
        <f t="shared" si="596"/>
        <v>20193JPY</v>
      </c>
      <c r="AR2016" s="206" t="str">
        <f t="shared" si="597"/>
        <v>YAMAHA_Mounter</v>
      </c>
      <c r="AS2016" s="22">
        <f t="shared" si="598"/>
        <v>4</v>
      </c>
      <c r="AT2016" s="24" t="str">
        <f t="shared" si="599"/>
        <v>4-6 months</v>
      </c>
      <c r="AU2016" s="22" t="s">
        <v>3745</v>
      </c>
    </row>
    <row r="2017" spans="1:47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91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601"/>
        <v>12882566</v>
      </c>
      <c r="AA2017" s="13">
        <v>7.22E-2</v>
      </c>
      <c r="AB2017" s="21">
        <f t="shared" si="585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86"/>
        <v>47416008.333399981</v>
      </c>
      <c r="AJ2017" s="19">
        <f t="shared" si="587"/>
        <v>6981738.4465290187</v>
      </c>
      <c r="AK2017" s="20">
        <f t="shared" si="594"/>
        <v>0.14724433143839863</v>
      </c>
      <c r="AL2017" s="17"/>
      <c r="AM2017" s="17"/>
      <c r="AN2017" s="17"/>
      <c r="AO2017" s="17"/>
      <c r="AP2017" s="28" t="str">
        <f t="shared" si="595"/>
        <v>20193</v>
      </c>
      <c r="AQ2017" s="28" t="str">
        <f t="shared" si="596"/>
        <v>20193JPY</v>
      </c>
      <c r="AR2017" s="206" t="str">
        <f t="shared" si="597"/>
        <v>YAMAHA_Mounter</v>
      </c>
      <c r="AS2017" s="22">
        <f t="shared" si="598"/>
        <v>4</v>
      </c>
      <c r="AT2017" s="24" t="str">
        <f t="shared" si="599"/>
        <v>4-6 months</v>
      </c>
      <c r="AU2017" s="22" t="s">
        <v>3745</v>
      </c>
    </row>
    <row r="2018" spans="1:47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91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601"/>
        <v>12882566</v>
      </c>
      <c r="AA2018" s="13">
        <v>7.22E-2</v>
      </c>
      <c r="AB2018" s="21">
        <f t="shared" si="585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86"/>
        <v>47416008.333399981</v>
      </c>
      <c r="AJ2018" s="19">
        <f t="shared" si="587"/>
        <v>6981738.4465290187</v>
      </c>
      <c r="AK2018" s="20">
        <f t="shared" si="594"/>
        <v>0.14724433143839863</v>
      </c>
      <c r="AL2018" s="17"/>
      <c r="AM2018" s="17"/>
      <c r="AN2018" s="17"/>
      <c r="AO2018" s="17"/>
      <c r="AP2018" s="28" t="str">
        <f t="shared" si="595"/>
        <v>20193</v>
      </c>
      <c r="AQ2018" s="28" t="str">
        <f t="shared" si="596"/>
        <v>20193JPY</v>
      </c>
      <c r="AR2018" s="206" t="str">
        <f t="shared" si="597"/>
        <v>YAMAHA_Mounter</v>
      </c>
      <c r="AS2018" s="22">
        <f t="shared" si="598"/>
        <v>4</v>
      </c>
      <c r="AT2018" s="24" t="str">
        <f t="shared" si="599"/>
        <v>4-6 months</v>
      </c>
      <c r="AU2018" s="22" t="s">
        <v>3745</v>
      </c>
    </row>
    <row r="2019" spans="1:47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91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601"/>
        <v>12882566</v>
      </c>
      <c r="AA2019" s="13">
        <v>7.22E-2</v>
      </c>
      <c r="AB2019" s="21">
        <f t="shared" si="585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86"/>
        <v>47416008.333399981</v>
      </c>
      <c r="AJ2019" s="19">
        <f t="shared" si="587"/>
        <v>6981738.4465290187</v>
      </c>
      <c r="AK2019" s="20">
        <f t="shared" si="594"/>
        <v>0.14724433143839863</v>
      </c>
      <c r="AL2019" s="17"/>
      <c r="AM2019" s="17"/>
      <c r="AN2019" s="17"/>
      <c r="AO2019" s="17"/>
      <c r="AP2019" s="28" t="str">
        <f t="shared" si="595"/>
        <v>20193</v>
      </c>
      <c r="AQ2019" s="28" t="str">
        <f t="shared" si="596"/>
        <v>20193JPY</v>
      </c>
      <c r="AR2019" s="206" t="str">
        <f t="shared" si="597"/>
        <v>YAMAHA_Mounter</v>
      </c>
      <c r="AS2019" s="22">
        <f t="shared" si="598"/>
        <v>4</v>
      </c>
      <c r="AT2019" s="24" t="str">
        <f t="shared" si="599"/>
        <v>4-6 months</v>
      </c>
      <c r="AU2019" s="22" t="s">
        <v>3745</v>
      </c>
    </row>
    <row r="2020" spans="1:47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91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601"/>
        <v>12882566</v>
      </c>
      <c r="AA2020" s="13">
        <v>7.22E-2</v>
      </c>
      <c r="AB2020" s="21">
        <f t="shared" si="585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86"/>
        <v>47416008.333399981</v>
      </c>
      <c r="AJ2020" s="19">
        <f t="shared" si="587"/>
        <v>6981738.4465290187</v>
      </c>
      <c r="AK2020" s="20">
        <f t="shared" si="594"/>
        <v>0.14724433143839863</v>
      </c>
      <c r="AL2020" s="17"/>
      <c r="AM2020" s="17"/>
      <c r="AN2020" s="17"/>
      <c r="AO2020" s="17"/>
      <c r="AP2020" s="28" t="str">
        <f t="shared" si="595"/>
        <v>20193</v>
      </c>
      <c r="AQ2020" s="28" t="str">
        <f t="shared" si="596"/>
        <v>20193JPY</v>
      </c>
      <c r="AR2020" s="206" t="str">
        <f t="shared" si="597"/>
        <v>YAMAHA_Mounter</v>
      </c>
      <c r="AS2020" s="22">
        <f t="shared" si="598"/>
        <v>4</v>
      </c>
      <c r="AT2020" s="24" t="str">
        <f t="shared" si="599"/>
        <v>4-6 months</v>
      </c>
      <c r="AU2020" s="22" t="s">
        <v>3745</v>
      </c>
    </row>
    <row r="2021" spans="1:47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91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601"/>
        <v>12882566</v>
      </c>
      <c r="AA2021" s="13">
        <v>7.22E-2</v>
      </c>
      <c r="AB2021" s="21">
        <f t="shared" si="585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86"/>
        <v>47416008.333399981</v>
      </c>
      <c r="AJ2021" s="19">
        <f t="shared" si="587"/>
        <v>6981738.4465290187</v>
      </c>
      <c r="AK2021" s="20">
        <f t="shared" si="594"/>
        <v>0.14724433143839863</v>
      </c>
      <c r="AL2021" s="17"/>
      <c r="AM2021" s="17"/>
      <c r="AN2021" s="17"/>
      <c r="AO2021" s="17"/>
      <c r="AP2021" s="28" t="str">
        <f t="shared" si="595"/>
        <v>20193</v>
      </c>
      <c r="AQ2021" s="28" t="str">
        <f t="shared" si="596"/>
        <v>20193JPY</v>
      </c>
      <c r="AR2021" s="206" t="str">
        <f t="shared" si="597"/>
        <v>YAMAHA_Mounter</v>
      </c>
      <c r="AS2021" s="22">
        <f t="shared" si="598"/>
        <v>4</v>
      </c>
      <c r="AT2021" s="24" t="str">
        <f t="shared" si="599"/>
        <v>4-6 months</v>
      </c>
      <c r="AU2021" s="22" t="s">
        <v>3745</v>
      </c>
    </row>
    <row r="2022" spans="1:47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91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601"/>
        <v>12882566</v>
      </c>
      <c r="AA2022" s="13">
        <v>7.22E-2</v>
      </c>
      <c r="AB2022" s="21">
        <f t="shared" si="585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86"/>
        <v>47416008.333399981</v>
      </c>
      <c r="AJ2022" s="19">
        <f t="shared" si="587"/>
        <v>6981738.4465290187</v>
      </c>
      <c r="AK2022" s="20">
        <f t="shared" si="594"/>
        <v>0.14724433143839863</v>
      </c>
      <c r="AL2022" s="17"/>
      <c r="AM2022" s="17"/>
      <c r="AN2022" s="17"/>
      <c r="AO2022" s="17"/>
      <c r="AP2022" s="28" t="str">
        <f t="shared" si="595"/>
        <v>20193</v>
      </c>
      <c r="AQ2022" s="28" t="str">
        <f t="shared" si="596"/>
        <v>20193JPY</v>
      </c>
      <c r="AR2022" s="206" t="str">
        <f t="shared" si="597"/>
        <v>YAMAHA_Mounter</v>
      </c>
      <c r="AS2022" s="22">
        <f t="shared" si="598"/>
        <v>4</v>
      </c>
      <c r="AT2022" s="24" t="str">
        <f t="shared" si="599"/>
        <v>4-6 months</v>
      </c>
      <c r="AU2022" s="22" t="s">
        <v>3745</v>
      </c>
    </row>
    <row r="2023" spans="1:47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91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601"/>
        <v>12169500</v>
      </c>
      <c r="AA2023" s="13">
        <v>7.5700000000000003E-2</v>
      </c>
      <c r="AB2023" s="21">
        <f t="shared" si="585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86"/>
        <v>37969334.083628319</v>
      </c>
      <c r="AJ2023" s="19">
        <f t="shared" si="587"/>
        <v>5097226.4551657084</v>
      </c>
      <c r="AK2023" s="20">
        <f t="shared" si="594"/>
        <v>0.13424587441904964</v>
      </c>
      <c r="AL2023" s="17"/>
      <c r="AM2023" s="17"/>
      <c r="AN2023" s="17"/>
      <c r="AO2023" s="17"/>
      <c r="AP2023" s="28" t="str">
        <f t="shared" si="595"/>
        <v>20208</v>
      </c>
      <c r="AQ2023" s="28" t="str">
        <f t="shared" si="596"/>
        <v>20208JPY</v>
      </c>
      <c r="AR2023" s="206" t="str">
        <f t="shared" si="597"/>
        <v>YAMAHA_Mounter</v>
      </c>
      <c r="AS2023" s="22">
        <f t="shared" si="598"/>
        <v>2</v>
      </c>
      <c r="AT2023" s="24" t="str">
        <f t="shared" si="599"/>
        <v>0-3 months</v>
      </c>
      <c r="AU2023" s="22" t="s">
        <v>3745</v>
      </c>
    </row>
    <row r="2024" spans="1:47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91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601"/>
        <v>12169500</v>
      </c>
      <c r="AA2024" s="13">
        <v>7.3400000000000007E-2</v>
      </c>
      <c r="AB2024" s="21">
        <f t="shared" si="585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86"/>
        <v>35384300.169380538</v>
      </c>
      <c r="AJ2024" s="19">
        <f t="shared" si="587"/>
        <v>5044538.8896988509</v>
      </c>
      <c r="AK2024" s="20">
        <f t="shared" si="594"/>
        <v>0.14256432557804533</v>
      </c>
      <c r="AL2024" s="17"/>
      <c r="AM2024" s="17"/>
      <c r="AN2024" s="17"/>
      <c r="AO2024" s="17"/>
      <c r="AP2024" s="28" t="str">
        <f t="shared" si="595"/>
        <v>20207</v>
      </c>
      <c r="AQ2024" s="28" t="str">
        <f t="shared" si="596"/>
        <v>20207JPY</v>
      </c>
      <c r="AR2024" s="206" t="str">
        <f t="shared" si="597"/>
        <v>YAMAHA_Mounter</v>
      </c>
      <c r="AS2024" s="22">
        <f t="shared" si="598"/>
        <v>1</v>
      </c>
      <c r="AT2024" s="24" t="str">
        <f t="shared" si="599"/>
        <v>0-3 months</v>
      </c>
      <c r="AU2024" s="22" t="s">
        <v>3745</v>
      </c>
    </row>
    <row r="2025" spans="1:47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91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601"/>
        <v>8169500</v>
      </c>
      <c r="AA2025" s="13">
        <v>7.3400000000000007E-2</v>
      </c>
      <c r="AB2025" s="21">
        <f t="shared" si="585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86"/>
        <v>35384300.169380538</v>
      </c>
      <c r="AJ2025" s="19">
        <f t="shared" si="587"/>
        <v>5044538.8896988509</v>
      </c>
      <c r="AK2025" s="20">
        <f t="shared" si="594"/>
        <v>0.14256432557804533</v>
      </c>
      <c r="AL2025" s="17"/>
      <c r="AM2025" s="17"/>
      <c r="AN2025" s="17"/>
      <c r="AO2025" s="17"/>
      <c r="AP2025" s="28" t="str">
        <f t="shared" si="595"/>
        <v>20207</v>
      </c>
      <c r="AQ2025" s="28" t="str">
        <f t="shared" si="596"/>
        <v>20207JPY</v>
      </c>
      <c r="AR2025" s="206" t="str">
        <f t="shared" si="597"/>
        <v>YAMAHA_Mounter</v>
      </c>
      <c r="AS2025" s="22">
        <f t="shared" si="598"/>
        <v>1</v>
      </c>
      <c r="AT2025" s="24" t="str">
        <f t="shared" si="599"/>
        <v>0-3 months</v>
      </c>
      <c r="AU2025" s="22" t="s">
        <v>3745</v>
      </c>
    </row>
    <row r="2026" spans="1:47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91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601"/>
        <v>8169500</v>
      </c>
      <c r="AA2026" s="13">
        <v>7.3400000000000007E-2</v>
      </c>
      <c r="AB2026" s="21">
        <f t="shared" si="585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86"/>
        <v>35384300.169380538</v>
      </c>
      <c r="AJ2026" s="19">
        <f t="shared" si="587"/>
        <v>5044538.8896988509</v>
      </c>
      <c r="AK2026" s="20">
        <f t="shared" si="594"/>
        <v>0.14256432557804533</v>
      </c>
      <c r="AL2026" s="17"/>
      <c r="AM2026" s="17"/>
      <c r="AN2026" s="17"/>
      <c r="AO2026" s="17"/>
      <c r="AP2026" s="28" t="str">
        <f t="shared" si="595"/>
        <v>20207</v>
      </c>
      <c r="AQ2026" s="28" t="str">
        <f t="shared" si="596"/>
        <v>20207JPY</v>
      </c>
      <c r="AR2026" s="206" t="str">
        <f t="shared" si="597"/>
        <v>YAMAHA_Mounter</v>
      </c>
      <c r="AS2026" s="22">
        <f t="shared" si="598"/>
        <v>1</v>
      </c>
      <c r="AT2026" s="24" t="str">
        <f t="shared" si="599"/>
        <v>0-3 months</v>
      </c>
      <c r="AU2026" s="22" t="s">
        <v>3745</v>
      </c>
    </row>
    <row r="2027" spans="1:47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91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601"/>
        <v>13200000</v>
      </c>
      <c r="AA2027" s="13">
        <v>7.3400000000000007E-2</v>
      </c>
      <c r="AB2027" s="21">
        <f t="shared" si="585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86"/>
        <v>35384300.169380538</v>
      </c>
      <c r="AJ2027" s="19">
        <f t="shared" si="587"/>
        <v>5044538.8896988509</v>
      </c>
      <c r="AK2027" s="20">
        <f t="shared" si="594"/>
        <v>0.14256432557804533</v>
      </c>
      <c r="AL2027" s="17"/>
      <c r="AM2027" s="17"/>
      <c r="AN2027" s="17"/>
      <c r="AO2027" s="17"/>
      <c r="AP2027" s="28" t="str">
        <f t="shared" si="595"/>
        <v>20207</v>
      </c>
      <c r="AQ2027" s="28" t="str">
        <f t="shared" si="596"/>
        <v>20207JPY</v>
      </c>
      <c r="AR2027" s="206" t="str">
        <f t="shared" si="597"/>
        <v>YAMAHA_Mounter</v>
      </c>
      <c r="AS2027" s="22">
        <f t="shared" si="598"/>
        <v>1</v>
      </c>
      <c r="AT2027" s="24" t="str">
        <f t="shared" si="599"/>
        <v>0-3 months</v>
      </c>
      <c r="AU2027" s="22" t="s">
        <v>3745</v>
      </c>
    </row>
    <row r="2028" spans="1:47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91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601"/>
        <v>9200000</v>
      </c>
      <c r="AA2028" s="13">
        <v>7.3400000000000007E-2</v>
      </c>
      <c r="AB2028" s="21">
        <f t="shared" si="585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86"/>
        <v>35384300.169380538</v>
      </c>
      <c r="AJ2028" s="19">
        <f t="shared" si="587"/>
        <v>5044538.8896988509</v>
      </c>
      <c r="AK2028" s="20">
        <f t="shared" si="594"/>
        <v>0.14256432557804533</v>
      </c>
      <c r="AL2028" s="17"/>
      <c r="AM2028" s="17"/>
      <c r="AN2028" s="17"/>
      <c r="AO2028" s="17"/>
      <c r="AP2028" s="28" t="str">
        <f t="shared" si="595"/>
        <v>20207</v>
      </c>
      <c r="AQ2028" s="28" t="str">
        <f t="shared" si="596"/>
        <v>20207JPY</v>
      </c>
      <c r="AR2028" s="206" t="str">
        <f t="shared" si="597"/>
        <v>YAMAHA_Mounter</v>
      </c>
      <c r="AS2028" s="22">
        <f t="shared" si="598"/>
        <v>1</v>
      </c>
      <c r="AT2028" s="24" t="str">
        <f t="shared" si="599"/>
        <v>0-3 months</v>
      </c>
      <c r="AU2028" s="22" t="s">
        <v>3745</v>
      </c>
    </row>
    <row r="2029" spans="1:47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91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601"/>
        <v>9200000</v>
      </c>
      <c r="AA2029" s="13">
        <v>7.3400000000000007E-2</v>
      </c>
      <c r="AB2029" s="21">
        <f t="shared" si="585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86"/>
        <v>35384300.169380538</v>
      </c>
      <c r="AJ2029" s="19">
        <f t="shared" si="587"/>
        <v>5044538.8896988509</v>
      </c>
      <c r="AK2029" s="20">
        <f t="shared" si="594"/>
        <v>0.14256432557804533</v>
      </c>
      <c r="AL2029" s="17"/>
      <c r="AM2029" s="17"/>
      <c r="AN2029" s="17"/>
      <c r="AO2029" s="17"/>
      <c r="AP2029" s="28" t="str">
        <f t="shared" si="595"/>
        <v>20207</v>
      </c>
      <c r="AQ2029" s="28" t="str">
        <f t="shared" si="596"/>
        <v>20207JPY</v>
      </c>
      <c r="AR2029" s="206" t="str">
        <f t="shared" si="597"/>
        <v>YAMAHA_Mounter</v>
      </c>
      <c r="AS2029" s="22">
        <f t="shared" si="598"/>
        <v>1</v>
      </c>
      <c r="AT2029" s="24" t="str">
        <f t="shared" si="599"/>
        <v>0-3 months</v>
      </c>
      <c r="AU2029" s="22" t="s">
        <v>3745</v>
      </c>
    </row>
    <row r="2030" spans="1:47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91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601"/>
        <v>9200000</v>
      </c>
      <c r="AA2030" s="13">
        <v>7.3400000000000007E-2</v>
      </c>
      <c r="AB2030" s="21">
        <f t="shared" si="585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86"/>
        <v>35384300.169380538</v>
      </c>
      <c r="AJ2030" s="19">
        <f t="shared" si="587"/>
        <v>5044538.8896988509</v>
      </c>
      <c r="AK2030" s="20">
        <f t="shared" si="594"/>
        <v>0.14256432557804533</v>
      </c>
      <c r="AL2030" s="17"/>
      <c r="AM2030" s="17"/>
      <c r="AN2030" s="17"/>
      <c r="AO2030" s="17"/>
      <c r="AP2030" s="28" t="str">
        <f t="shared" si="595"/>
        <v>20207</v>
      </c>
      <c r="AQ2030" s="28" t="str">
        <f t="shared" si="596"/>
        <v>20207JPY</v>
      </c>
      <c r="AR2030" s="206" t="str">
        <f t="shared" si="597"/>
        <v>YAMAHA_Mounter</v>
      </c>
      <c r="AS2030" s="22">
        <f t="shared" si="598"/>
        <v>1</v>
      </c>
      <c r="AT2030" s="24" t="str">
        <f t="shared" si="599"/>
        <v>0-3 months</v>
      </c>
      <c r="AU2030" s="22" t="s">
        <v>3745</v>
      </c>
    </row>
    <row r="2031" spans="1:47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91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602">IF(W2031="RMB","1.13", "1")</f>
        <v>1</v>
      </c>
      <c r="Z2031" s="18">
        <f t="shared" si="601"/>
        <v>7700000</v>
      </c>
      <c r="AA2031" s="13">
        <v>7.6799999999999993E-2</v>
      </c>
      <c r="AB2031" s="21">
        <f t="shared" si="585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86"/>
        <v>45803245.025628321</v>
      </c>
      <c r="AJ2031" s="19">
        <f t="shared" si="587"/>
        <v>5664636.2584379362</v>
      </c>
      <c r="AK2031" s="20">
        <f t="shared" si="594"/>
        <v>0.12367325186825515</v>
      </c>
      <c r="AL2031" s="17"/>
      <c r="AM2031" s="17"/>
      <c r="AN2031" s="17"/>
      <c r="AO2031" s="17"/>
      <c r="AP2031" s="28" t="str">
        <f t="shared" si="595"/>
        <v>20211</v>
      </c>
      <c r="AQ2031" s="28" t="str">
        <f t="shared" si="596"/>
        <v>20211JPY</v>
      </c>
      <c r="AR2031" s="206" t="str">
        <f t="shared" si="597"/>
        <v>YAMAHA_Mounter</v>
      </c>
      <c r="AS2031" s="22">
        <f t="shared" si="598"/>
        <v>1</v>
      </c>
      <c r="AT2031" s="24" t="str">
        <f t="shared" si="599"/>
        <v>0-3 months</v>
      </c>
      <c r="AU2031" s="22" t="s">
        <v>3745</v>
      </c>
    </row>
    <row r="2032" spans="1:47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91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602"/>
        <v>1</v>
      </c>
      <c r="Z2032" s="18">
        <f t="shared" si="601"/>
        <v>7700000</v>
      </c>
      <c r="AA2032" s="13">
        <v>7.6799999999999993E-2</v>
      </c>
      <c r="AB2032" s="21">
        <f t="shared" si="585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86"/>
        <v>45803245.025628321</v>
      </c>
      <c r="AJ2032" s="19">
        <f t="shared" si="587"/>
        <v>5664636.2584379362</v>
      </c>
      <c r="AK2032" s="20">
        <f t="shared" si="594"/>
        <v>0.12367325186825515</v>
      </c>
      <c r="AL2032" s="17"/>
      <c r="AM2032" s="17"/>
      <c r="AN2032" s="17"/>
      <c r="AO2032" s="17"/>
      <c r="AP2032" s="28" t="str">
        <f t="shared" si="595"/>
        <v>20211</v>
      </c>
      <c r="AQ2032" s="28" t="str">
        <f t="shared" si="596"/>
        <v>20211JPY</v>
      </c>
      <c r="AR2032" s="206" t="str">
        <f t="shared" si="597"/>
        <v>YAMAHA_Mounter</v>
      </c>
      <c r="AS2032" s="22">
        <f t="shared" si="598"/>
        <v>1</v>
      </c>
      <c r="AT2032" s="24" t="str">
        <f t="shared" si="599"/>
        <v>0-3 months</v>
      </c>
      <c r="AU2032" s="22" t="s">
        <v>3745</v>
      </c>
    </row>
    <row r="2033" spans="1:47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91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602"/>
        <v>1</v>
      </c>
      <c r="Z2033" s="18">
        <f t="shared" si="601"/>
        <v>11900000</v>
      </c>
      <c r="AA2033" s="13">
        <v>7.4499999999999997E-2</v>
      </c>
      <c r="AB2033" s="21">
        <f t="shared" si="585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86"/>
        <v>57778307.282035396</v>
      </c>
      <c r="AJ2033" s="19">
        <f t="shared" si="587"/>
        <v>7259860.7225420559</v>
      </c>
      <c r="AK2033" s="20">
        <f t="shared" si="594"/>
        <v>0.12565028406083667</v>
      </c>
      <c r="AL2033" s="17"/>
      <c r="AM2033" s="17"/>
      <c r="AN2033" s="17"/>
      <c r="AO2033" s="17"/>
      <c r="AP2033" s="28" t="str">
        <f t="shared" si="595"/>
        <v>20213</v>
      </c>
      <c r="AQ2033" s="28" t="str">
        <f t="shared" si="596"/>
        <v>20213JPY</v>
      </c>
      <c r="AR2033" s="206" t="str">
        <f t="shared" si="597"/>
        <v>YAMAHA_Mounter</v>
      </c>
      <c r="AS2033" s="22">
        <f t="shared" si="598"/>
        <v>3</v>
      </c>
      <c r="AT2033" s="24" t="str">
        <f t="shared" si="599"/>
        <v>0-3 months</v>
      </c>
      <c r="AU2033" s="22" t="s">
        <v>3745</v>
      </c>
    </row>
    <row r="2034" spans="1:47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91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602"/>
        <v>1</v>
      </c>
      <c r="Z2034" s="18">
        <f t="shared" si="601"/>
        <v>11900000</v>
      </c>
      <c r="AA2034" s="13">
        <v>7.4499999999999997E-2</v>
      </c>
      <c r="AB2034" s="21">
        <f t="shared" si="585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86"/>
        <v>57778307.282035396</v>
      </c>
      <c r="AJ2034" s="19">
        <f t="shared" si="587"/>
        <v>7259860.7225420559</v>
      </c>
      <c r="AK2034" s="20">
        <f t="shared" si="594"/>
        <v>0.12565028406083667</v>
      </c>
      <c r="AL2034" s="17"/>
      <c r="AM2034" s="17"/>
      <c r="AN2034" s="17"/>
      <c r="AO2034" s="17"/>
      <c r="AP2034" s="28" t="str">
        <f t="shared" si="595"/>
        <v>20213</v>
      </c>
      <c r="AQ2034" s="28" t="str">
        <f t="shared" si="596"/>
        <v>20213JPY</v>
      </c>
      <c r="AR2034" s="206" t="str">
        <f t="shared" si="597"/>
        <v>YAMAHA_Mounter</v>
      </c>
      <c r="AS2034" s="22">
        <f t="shared" si="598"/>
        <v>3</v>
      </c>
      <c r="AT2034" s="24" t="str">
        <f t="shared" si="599"/>
        <v>0-3 months</v>
      </c>
      <c r="AU2034" s="22" t="s">
        <v>3745</v>
      </c>
    </row>
    <row r="2035" spans="1:47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91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602"/>
        <v>1</v>
      </c>
      <c r="Z2035" s="18">
        <f t="shared" si="601"/>
        <v>11900000</v>
      </c>
      <c r="AA2035" s="13">
        <v>7.4499999999999997E-2</v>
      </c>
      <c r="AB2035" s="21">
        <f t="shared" si="585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86"/>
        <v>57778307.282035396</v>
      </c>
      <c r="AJ2035" s="19">
        <f t="shared" si="587"/>
        <v>7259860.7225420559</v>
      </c>
      <c r="AK2035" s="20">
        <f t="shared" si="594"/>
        <v>0.12565028406083667</v>
      </c>
      <c r="AL2035" s="17"/>
      <c r="AM2035" s="17"/>
      <c r="AN2035" s="17"/>
      <c r="AO2035" s="17"/>
      <c r="AP2035" s="28" t="str">
        <f t="shared" si="595"/>
        <v>20213</v>
      </c>
      <c r="AQ2035" s="28" t="str">
        <f t="shared" si="596"/>
        <v>20213JPY</v>
      </c>
      <c r="AR2035" s="206" t="str">
        <f t="shared" si="597"/>
        <v>YAMAHA_Mounter</v>
      </c>
      <c r="AS2035" s="22">
        <f t="shared" si="598"/>
        <v>3</v>
      </c>
      <c r="AT2035" s="24" t="str">
        <f t="shared" si="599"/>
        <v>0-3 months</v>
      </c>
      <c r="AU2035" s="22" t="s">
        <v>3745</v>
      </c>
    </row>
    <row r="2036" spans="1:47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91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602"/>
        <v>1</v>
      </c>
      <c r="Z2036" s="18">
        <f t="shared" si="601"/>
        <v>7500000</v>
      </c>
      <c r="AA2036" s="13">
        <v>7.4499999999999997E-2</v>
      </c>
      <c r="AB2036" s="21">
        <f t="shared" si="585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86"/>
        <v>57778307.282035396</v>
      </c>
      <c r="AJ2036" s="19">
        <f t="shared" si="587"/>
        <v>7259860.7225420559</v>
      </c>
      <c r="AK2036" s="20">
        <f t="shared" si="594"/>
        <v>0.12565028406083667</v>
      </c>
      <c r="AL2036" s="17"/>
      <c r="AM2036" s="17"/>
      <c r="AN2036" s="17"/>
      <c r="AO2036" s="17"/>
      <c r="AP2036" s="28" t="str">
        <f t="shared" si="595"/>
        <v>20213</v>
      </c>
      <c r="AQ2036" s="28" t="str">
        <f t="shared" si="596"/>
        <v>20213JPY</v>
      </c>
      <c r="AR2036" s="206" t="str">
        <f t="shared" si="597"/>
        <v>YAMAHA_Mounter</v>
      </c>
      <c r="AS2036" s="22">
        <f t="shared" si="598"/>
        <v>3</v>
      </c>
      <c r="AT2036" s="24" t="str">
        <f t="shared" si="599"/>
        <v>0-3 months</v>
      </c>
      <c r="AU2036" s="22" t="s">
        <v>3745</v>
      </c>
    </row>
    <row r="2037" spans="1:47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91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602"/>
        <v>1</v>
      </c>
      <c r="Z2037" s="18">
        <f t="shared" si="601"/>
        <v>7500000</v>
      </c>
      <c r="AA2037" s="13">
        <v>7.4499999999999997E-2</v>
      </c>
      <c r="AB2037" s="21">
        <f t="shared" si="585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86"/>
        <v>57778307.282035396</v>
      </c>
      <c r="AJ2037" s="19">
        <f t="shared" si="587"/>
        <v>7259860.7225420559</v>
      </c>
      <c r="AK2037" s="20">
        <f t="shared" si="594"/>
        <v>0.12565028406083667</v>
      </c>
      <c r="AL2037" s="17"/>
      <c r="AM2037" s="17"/>
      <c r="AN2037" s="17"/>
      <c r="AO2037" s="17"/>
      <c r="AP2037" s="28" t="str">
        <f t="shared" si="595"/>
        <v>20213</v>
      </c>
      <c r="AQ2037" s="28" t="str">
        <f t="shared" si="596"/>
        <v>20213JPY</v>
      </c>
      <c r="AR2037" s="206" t="str">
        <f t="shared" si="597"/>
        <v>YAMAHA_Mounter</v>
      </c>
      <c r="AS2037" s="22">
        <f t="shared" si="598"/>
        <v>3</v>
      </c>
      <c r="AT2037" s="24" t="str">
        <f t="shared" si="599"/>
        <v>0-3 months</v>
      </c>
      <c r="AU2037" s="22" t="s">
        <v>3745</v>
      </c>
    </row>
    <row r="2038" spans="1:47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91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602"/>
        <v>1</v>
      </c>
      <c r="Z2038" s="18">
        <f t="shared" si="601"/>
        <v>7500000</v>
      </c>
      <c r="AA2038" s="13">
        <v>7.4499999999999997E-2</v>
      </c>
      <c r="AB2038" s="21">
        <f t="shared" ref="AB2038:AB2101" si="603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86"/>
        <v>57778307.282035396</v>
      </c>
      <c r="AJ2038" s="19">
        <f t="shared" si="587"/>
        <v>7259860.7225420559</v>
      </c>
      <c r="AK2038" s="20">
        <f t="shared" si="594"/>
        <v>0.12565028406083667</v>
      </c>
      <c r="AL2038" s="17"/>
      <c r="AM2038" s="17"/>
      <c r="AN2038" s="17"/>
      <c r="AO2038" s="17"/>
      <c r="AP2038" s="28" t="str">
        <f t="shared" si="595"/>
        <v>20213</v>
      </c>
      <c r="AQ2038" s="28" t="str">
        <f t="shared" si="596"/>
        <v>20213JPY</v>
      </c>
      <c r="AR2038" s="206" t="str">
        <f t="shared" si="597"/>
        <v>YAMAHA_Mounter</v>
      </c>
      <c r="AS2038" s="22">
        <f t="shared" si="598"/>
        <v>3</v>
      </c>
      <c r="AT2038" s="24" t="str">
        <f t="shared" si="599"/>
        <v>0-3 months</v>
      </c>
      <c r="AU2038" s="22" t="s">
        <v>3745</v>
      </c>
    </row>
    <row r="2039" spans="1:47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91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602"/>
        <v>1</v>
      </c>
      <c r="Z2039" s="18">
        <f t="shared" si="601"/>
        <v>7500000</v>
      </c>
      <c r="AA2039" s="13">
        <v>7.17E-2</v>
      </c>
      <c r="AB2039" s="21">
        <f t="shared" si="603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86"/>
        <v>43684091.636631854</v>
      </c>
      <c r="AJ2039" s="19">
        <f t="shared" si="587"/>
        <v>6483951.8242071122</v>
      </c>
      <c r="AK2039" s="20">
        <f t="shared" si="594"/>
        <v>0.14842821680123736</v>
      </c>
      <c r="AL2039" s="17"/>
      <c r="AM2039" s="17"/>
      <c r="AN2039" s="17"/>
      <c r="AO2039" s="17"/>
      <c r="AP2039" s="28" t="str">
        <f t="shared" si="595"/>
        <v>20214</v>
      </c>
      <c r="AQ2039" s="28" t="str">
        <f t="shared" si="596"/>
        <v>20214JPY</v>
      </c>
      <c r="AR2039" s="206" t="str">
        <f t="shared" si="597"/>
        <v>YAMAHA_Mounter</v>
      </c>
      <c r="AS2039" s="22">
        <f t="shared" si="598"/>
        <v>4</v>
      </c>
      <c r="AT2039" s="24" t="str">
        <f t="shared" si="599"/>
        <v>4-6 months</v>
      </c>
      <c r="AU2039" s="22" t="s">
        <v>3745</v>
      </c>
    </row>
    <row r="2040" spans="1:47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91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602"/>
        <v>1</v>
      </c>
      <c r="Z2040" s="18">
        <f t="shared" si="601"/>
        <v>7500000</v>
      </c>
      <c r="AA2040" s="13">
        <v>7.17E-2</v>
      </c>
      <c r="AB2040" s="21">
        <f t="shared" si="603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86"/>
        <v>43684091.636631854</v>
      </c>
      <c r="AJ2040" s="19">
        <f t="shared" si="587"/>
        <v>6483951.8242071122</v>
      </c>
      <c r="AK2040" s="20">
        <f t="shared" si="594"/>
        <v>0.14842821680123736</v>
      </c>
      <c r="AL2040" s="17"/>
      <c r="AM2040" s="17"/>
      <c r="AN2040" s="17"/>
      <c r="AO2040" s="17"/>
      <c r="AP2040" s="28" t="str">
        <f t="shared" si="595"/>
        <v>20214</v>
      </c>
      <c r="AQ2040" s="28" t="str">
        <f t="shared" si="596"/>
        <v>20214JPY</v>
      </c>
      <c r="AR2040" s="206" t="str">
        <f t="shared" si="597"/>
        <v>YAMAHA_Mounter</v>
      </c>
      <c r="AS2040" s="22">
        <f t="shared" si="598"/>
        <v>4</v>
      </c>
      <c r="AT2040" s="24" t="str">
        <f t="shared" si="599"/>
        <v>4-6 months</v>
      </c>
      <c r="AU2040" s="22" t="s">
        <v>3745</v>
      </c>
    </row>
    <row r="2041" spans="1:47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91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602"/>
        <v>1</v>
      </c>
      <c r="Z2041" s="18">
        <f t="shared" si="601"/>
        <v>7500000</v>
      </c>
      <c r="AA2041" s="13">
        <v>7.17E-2</v>
      </c>
      <c r="AB2041" s="21">
        <f t="shared" si="603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86"/>
        <v>43684091.636631854</v>
      </c>
      <c r="AJ2041" s="19">
        <f t="shared" si="587"/>
        <v>6483951.8242071122</v>
      </c>
      <c r="AK2041" s="20">
        <f t="shared" si="594"/>
        <v>0.14842821680123736</v>
      </c>
      <c r="AL2041" s="17"/>
      <c r="AM2041" s="17"/>
      <c r="AN2041" s="17"/>
      <c r="AO2041" s="17"/>
      <c r="AP2041" s="28" t="str">
        <f t="shared" si="595"/>
        <v>20214</v>
      </c>
      <c r="AQ2041" s="28" t="str">
        <f t="shared" si="596"/>
        <v>20214JPY</v>
      </c>
      <c r="AR2041" s="206" t="str">
        <f t="shared" si="597"/>
        <v>YAMAHA_Mounter</v>
      </c>
      <c r="AS2041" s="22">
        <f t="shared" si="598"/>
        <v>4</v>
      </c>
      <c r="AT2041" s="24" t="str">
        <f t="shared" si="599"/>
        <v>4-6 months</v>
      </c>
      <c r="AU2041" s="22" t="s">
        <v>3745</v>
      </c>
    </row>
    <row r="2042" spans="1:47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91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602"/>
        <v>1</v>
      </c>
      <c r="Z2042" s="18">
        <f t="shared" si="601"/>
        <v>7500000</v>
      </c>
      <c r="AA2042" s="13">
        <v>7.17E-2</v>
      </c>
      <c r="AB2042" s="21">
        <f t="shared" si="603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86"/>
        <v>43684091.636631854</v>
      </c>
      <c r="AJ2042" s="19">
        <f t="shared" si="587"/>
        <v>6483951.8242071122</v>
      </c>
      <c r="AK2042" s="20">
        <f t="shared" si="594"/>
        <v>0.14842821680123736</v>
      </c>
      <c r="AL2042" s="17"/>
      <c r="AM2042" s="17"/>
      <c r="AN2042" s="17"/>
      <c r="AO2042" s="17"/>
      <c r="AP2042" s="28" t="str">
        <f t="shared" si="595"/>
        <v>20214</v>
      </c>
      <c r="AQ2042" s="28" t="str">
        <f t="shared" si="596"/>
        <v>20214JPY</v>
      </c>
      <c r="AR2042" s="206" t="str">
        <f t="shared" si="597"/>
        <v>YAMAHA_Mounter</v>
      </c>
      <c r="AS2042" s="22">
        <f t="shared" si="598"/>
        <v>4</v>
      </c>
      <c r="AT2042" s="24" t="str">
        <f t="shared" si="599"/>
        <v>4-6 months</v>
      </c>
      <c r="AU2042" s="22" t="s">
        <v>3745</v>
      </c>
    </row>
    <row r="2043" spans="1:47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91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602"/>
        <v>1</v>
      </c>
      <c r="Z2043" s="18">
        <f t="shared" si="601"/>
        <v>18000000</v>
      </c>
      <c r="AA2043" s="13">
        <v>6.2799999999999995E-2</v>
      </c>
      <c r="AB2043" s="21">
        <f t="shared" si="603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86"/>
        <v>44014086.982070789</v>
      </c>
      <c r="AJ2043" s="19">
        <f t="shared" si="587"/>
        <v>6419974.0221889298</v>
      </c>
      <c r="AK2043" s="20">
        <f t="shared" si="594"/>
        <v>0.14586180158193709</v>
      </c>
      <c r="AL2043" s="17"/>
      <c r="AM2043" s="17"/>
      <c r="AN2043" s="17"/>
      <c r="AO2043" s="17"/>
      <c r="AP2043" s="28" t="str">
        <f t="shared" si="595"/>
        <v>20225</v>
      </c>
      <c r="AQ2043" s="28" t="str">
        <f t="shared" si="596"/>
        <v>20225JPY</v>
      </c>
      <c r="AR2043" s="206" t="str">
        <f t="shared" si="597"/>
        <v>YAMAHA_Mounter</v>
      </c>
      <c r="AS2043" s="22">
        <f t="shared" si="598"/>
        <v>3</v>
      </c>
      <c r="AT2043" s="24" t="str">
        <f t="shared" si="599"/>
        <v>0-3 months</v>
      </c>
      <c r="AU2043" s="22" t="s">
        <v>3745</v>
      </c>
    </row>
    <row r="2044" spans="1:47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91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602"/>
        <v>1</v>
      </c>
      <c r="Z2044" s="18">
        <f t="shared" si="601"/>
        <v>18000000</v>
      </c>
      <c r="AA2044" s="13">
        <v>6.2799999999999995E-2</v>
      </c>
      <c r="AB2044" s="21">
        <f t="shared" si="603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86"/>
        <v>44014086.982070789</v>
      </c>
      <c r="AJ2044" s="19">
        <f t="shared" si="587"/>
        <v>6419974.0221889298</v>
      </c>
      <c r="AK2044" s="20">
        <f t="shared" si="594"/>
        <v>0.14586180158193709</v>
      </c>
      <c r="AL2044" s="17"/>
      <c r="AM2044" s="17"/>
      <c r="AN2044" s="17"/>
      <c r="AO2044" s="17"/>
      <c r="AP2044" s="28" t="str">
        <f t="shared" si="595"/>
        <v>20225</v>
      </c>
      <c r="AQ2044" s="28" t="str">
        <f t="shared" si="596"/>
        <v>20225JPY</v>
      </c>
      <c r="AR2044" s="206" t="str">
        <f t="shared" si="597"/>
        <v>YAMAHA_Mounter</v>
      </c>
      <c r="AS2044" s="22">
        <f t="shared" si="598"/>
        <v>3</v>
      </c>
      <c r="AT2044" s="24" t="str">
        <f t="shared" si="599"/>
        <v>0-3 months</v>
      </c>
      <c r="AU2044" s="22" t="s">
        <v>3745</v>
      </c>
    </row>
    <row r="2045" spans="1:47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91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602"/>
        <v>1</v>
      </c>
      <c r="Z2045" s="18">
        <f t="shared" si="601"/>
        <v>18000000</v>
      </c>
      <c r="AA2045" s="13">
        <v>6.2799999999999995E-2</v>
      </c>
      <c r="AB2045" s="21">
        <f t="shared" si="603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86"/>
        <v>44014086.982070789</v>
      </c>
      <c r="AJ2045" s="19">
        <f t="shared" si="587"/>
        <v>6419974.0221889298</v>
      </c>
      <c r="AK2045" s="20">
        <f t="shared" si="594"/>
        <v>0.14586180158193709</v>
      </c>
      <c r="AL2045" s="17"/>
      <c r="AM2045" s="17"/>
      <c r="AN2045" s="17"/>
      <c r="AO2045" s="17"/>
      <c r="AP2045" s="28" t="str">
        <f t="shared" si="595"/>
        <v>20225</v>
      </c>
      <c r="AQ2045" s="28" t="str">
        <f t="shared" si="596"/>
        <v>20225JPY</v>
      </c>
      <c r="AR2045" s="206" t="str">
        <f t="shared" si="597"/>
        <v>YAMAHA_Mounter</v>
      </c>
      <c r="AS2045" s="22">
        <f t="shared" si="598"/>
        <v>3</v>
      </c>
      <c r="AT2045" s="24" t="str">
        <f t="shared" si="599"/>
        <v>0-3 months</v>
      </c>
      <c r="AU2045" s="22" t="s">
        <v>3745</v>
      </c>
    </row>
    <row r="2046" spans="1:47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91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602"/>
        <v>1</v>
      </c>
      <c r="Z2046" s="18">
        <f t="shared" si="601"/>
        <v>16000000</v>
      </c>
      <c r="AA2046" s="13">
        <v>6.2799999999999995E-2</v>
      </c>
      <c r="AB2046" s="21">
        <f t="shared" si="603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86"/>
        <v>44014086.982070789</v>
      </c>
      <c r="AJ2046" s="19">
        <f t="shared" si="587"/>
        <v>6419974.0221889298</v>
      </c>
      <c r="AK2046" s="20">
        <f t="shared" si="594"/>
        <v>0.14586180158193709</v>
      </c>
      <c r="AL2046" s="17"/>
      <c r="AM2046" s="17"/>
      <c r="AN2046" s="17"/>
      <c r="AO2046" s="17"/>
      <c r="AP2046" s="28" t="str">
        <f t="shared" si="595"/>
        <v>20225</v>
      </c>
      <c r="AQ2046" s="28" t="str">
        <f t="shared" si="596"/>
        <v>20225JPY</v>
      </c>
      <c r="AR2046" s="206" t="str">
        <f t="shared" si="597"/>
        <v>YAMAHA_Mounter</v>
      </c>
      <c r="AS2046" s="22">
        <f t="shared" si="598"/>
        <v>3</v>
      </c>
      <c r="AT2046" s="24" t="str">
        <f t="shared" si="599"/>
        <v>0-3 months</v>
      </c>
      <c r="AU2046" s="22" t="s">
        <v>3745</v>
      </c>
    </row>
    <row r="2047" spans="1:47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91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602"/>
        <v>1</v>
      </c>
      <c r="Z2047" s="18">
        <f t="shared" si="601"/>
        <v>16000000</v>
      </c>
      <c r="AA2047" s="13">
        <v>6.2799999999999995E-2</v>
      </c>
      <c r="AB2047" s="21">
        <f t="shared" si="603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86"/>
        <v>44014086.982070789</v>
      </c>
      <c r="AJ2047" s="19">
        <f t="shared" si="587"/>
        <v>6419974.0221889298</v>
      </c>
      <c r="AK2047" s="20">
        <f t="shared" si="594"/>
        <v>0.14586180158193709</v>
      </c>
      <c r="AL2047" s="17"/>
      <c r="AM2047" s="17"/>
      <c r="AN2047" s="17"/>
      <c r="AO2047" s="17"/>
      <c r="AP2047" s="28" t="str">
        <f t="shared" si="595"/>
        <v>20225</v>
      </c>
      <c r="AQ2047" s="28" t="str">
        <f t="shared" si="596"/>
        <v>20225JPY</v>
      </c>
      <c r="AR2047" s="206" t="str">
        <f t="shared" si="597"/>
        <v>YAMAHA_Mounter</v>
      </c>
      <c r="AS2047" s="22">
        <f t="shared" si="598"/>
        <v>3</v>
      </c>
      <c r="AT2047" s="24" t="str">
        <f t="shared" si="599"/>
        <v>0-3 months</v>
      </c>
      <c r="AU2047" s="22" t="s">
        <v>3745</v>
      </c>
    </row>
    <row r="2048" spans="1:47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91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602"/>
        <v>1</v>
      </c>
      <c r="Z2048" s="18">
        <f t="shared" si="601"/>
        <v>11000000</v>
      </c>
      <c r="AA2048" s="13">
        <v>6.2799999999999995E-2</v>
      </c>
      <c r="AB2048" s="21">
        <f t="shared" si="603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86"/>
        <v>44014086.982070789</v>
      </c>
      <c r="AJ2048" s="19">
        <f t="shared" si="587"/>
        <v>6419974.0221889298</v>
      </c>
      <c r="AK2048" s="20">
        <f t="shared" si="594"/>
        <v>0.14586180158193709</v>
      </c>
      <c r="AL2048" s="17"/>
      <c r="AM2048" s="17"/>
      <c r="AN2048" s="17"/>
      <c r="AO2048" s="17"/>
      <c r="AP2048" s="28" t="str">
        <f t="shared" si="595"/>
        <v>20225</v>
      </c>
      <c r="AQ2048" s="28" t="str">
        <f t="shared" si="596"/>
        <v>20225JPY</v>
      </c>
      <c r="AR2048" s="206" t="str">
        <f t="shared" si="597"/>
        <v>YAMAHA_Mounter</v>
      </c>
      <c r="AS2048" s="22">
        <f t="shared" si="598"/>
        <v>3</v>
      </c>
      <c r="AT2048" s="24" t="str">
        <f t="shared" si="599"/>
        <v>0-3 months</v>
      </c>
      <c r="AU2048" s="22" t="s">
        <v>3745</v>
      </c>
    </row>
    <row r="2049" spans="1:47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91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602"/>
        <v>1</v>
      </c>
      <c r="Z2049" s="18">
        <f t="shared" si="601"/>
        <v>11000000</v>
      </c>
      <c r="AA2049" s="13">
        <v>6.2799999999999995E-2</v>
      </c>
      <c r="AB2049" s="21">
        <f t="shared" si="603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86"/>
        <v>44014086.982070789</v>
      </c>
      <c r="AJ2049" s="19">
        <f t="shared" si="587"/>
        <v>6419974.0221889298</v>
      </c>
      <c r="AK2049" s="20">
        <f t="shared" si="594"/>
        <v>0.14586180158193709</v>
      </c>
      <c r="AL2049" s="17"/>
      <c r="AM2049" s="17"/>
      <c r="AN2049" s="17"/>
      <c r="AO2049" s="17"/>
      <c r="AP2049" s="28" t="str">
        <f t="shared" si="595"/>
        <v>20225</v>
      </c>
      <c r="AQ2049" s="28" t="str">
        <f t="shared" si="596"/>
        <v>20225JPY</v>
      </c>
      <c r="AR2049" s="206" t="str">
        <f t="shared" si="597"/>
        <v>YAMAHA_Mounter</v>
      </c>
      <c r="AS2049" s="22">
        <f t="shared" si="598"/>
        <v>3</v>
      </c>
      <c r="AT2049" s="24" t="str">
        <f t="shared" si="599"/>
        <v>0-3 months</v>
      </c>
      <c r="AU2049" s="22" t="s">
        <v>3745</v>
      </c>
    </row>
    <row r="2050" spans="1:47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91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602"/>
        <v>1</v>
      </c>
      <c r="Z2050" s="18">
        <f t="shared" si="601"/>
        <v>11000000</v>
      </c>
      <c r="AA2050" s="13">
        <v>6.2799999999999995E-2</v>
      </c>
      <c r="AB2050" s="21">
        <f t="shared" si="603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ref="AI2050:AI2113" si="604">IF(P2050="C66 SERVICE","",SUMIFS(AB:AB,F:F,F2050,G:G,G2050,E:E,E2050))</f>
        <v>44014086.982070789</v>
      </c>
      <c r="AJ2050" s="19">
        <f t="shared" ref="AJ2050:AJ2113" si="605">IF(P2050="C66 SERVICE","",SUMIFS(AC:AC,F:F,F2050,G:G,G2050,E:E,E2050))</f>
        <v>6419974.0221889298</v>
      </c>
      <c r="AK2050" s="20">
        <f t="shared" si="594"/>
        <v>0.14586180158193709</v>
      </c>
      <c r="AL2050" s="17"/>
      <c r="AM2050" s="17"/>
      <c r="AN2050" s="17"/>
      <c r="AO2050" s="17"/>
      <c r="AP2050" s="28" t="str">
        <f t="shared" si="595"/>
        <v>20225</v>
      </c>
      <c r="AQ2050" s="28" t="str">
        <f t="shared" si="596"/>
        <v>20225JPY</v>
      </c>
      <c r="AR2050" s="206" t="str">
        <f t="shared" si="597"/>
        <v>YAMAHA_Mounter</v>
      </c>
      <c r="AS2050" s="22">
        <f t="shared" si="598"/>
        <v>3</v>
      </c>
      <c r="AT2050" s="24" t="str">
        <f t="shared" si="599"/>
        <v>0-3 months</v>
      </c>
      <c r="AU2050" s="22" t="s">
        <v>3745</v>
      </c>
    </row>
    <row r="2051" spans="1:47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91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602"/>
        <v>1</v>
      </c>
      <c r="Z2051" s="18">
        <f t="shared" si="601"/>
        <v>11000000</v>
      </c>
      <c r="AA2051" s="13">
        <v>6.2799999999999995E-2</v>
      </c>
      <c r="AB2051" s="21">
        <f t="shared" si="603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604"/>
        <v>44014086.982070789</v>
      </c>
      <c r="AJ2051" s="19">
        <f t="shared" si="605"/>
        <v>6419974.0221889298</v>
      </c>
      <c r="AK2051" s="20">
        <f t="shared" si="594"/>
        <v>0.14586180158193709</v>
      </c>
      <c r="AL2051" s="17"/>
      <c r="AM2051" s="17"/>
      <c r="AN2051" s="17"/>
      <c r="AO2051" s="17"/>
      <c r="AP2051" s="28" t="str">
        <f t="shared" si="595"/>
        <v>20225</v>
      </c>
      <c r="AQ2051" s="28" t="str">
        <f t="shared" si="596"/>
        <v>20225JPY</v>
      </c>
      <c r="AR2051" s="206" t="str">
        <f t="shared" si="597"/>
        <v>YAMAHA_Mounter</v>
      </c>
      <c r="AS2051" s="22">
        <f t="shared" si="598"/>
        <v>3</v>
      </c>
      <c r="AT2051" s="24" t="str">
        <f t="shared" si="599"/>
        <v>0-3 months</v>
      </c>
      <c r="AU2051" s="22" t="s">
        <v>3745</v>
      </c>
    </row>
    <row r="2052" spans="1:47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91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602"/>
        <v>1</v>
      </c>
      <c r="Z2052" s="18">
        <f t="shared" si="601"/>
        <v>11000000</v>
      </c>
      <c r="AA2052" s="13">
        <v>6.2799999999999995E-2</v>
      </c>
      <c r="AB2052" s="21">
        <f t="shared" si="603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604"/>
        <v>44014086.982070789</v>
      </c>
      <c r="AJ2052" s="19">
        <f t="shared" si="605"/>
        <v>6419974.0221889298</v>
      </c>
      <c r="AK2052" s="20">
        <f t="shared" si="594"/>
        <v>0.14586180158193709</v>
      </c>
      <c r="AL2052" s="17"/>
      <c r="AM2052" s="17"/>
      <c r="AN2052" s="17"/>
      <c r="AO2052" s="17"/>
      <c r="AP2052" s="28" t="str">
        <f t="shared" si="595"/>
        <v>20225</v>
      </c>
      <c r="AQ2052" s="28" t="str">
        <f t="shared" si="596"/>
        <v>20225JPY</v>
      </c>
      <c r="AR2052" s="206" t="str">
        <f t="shared" si="597"/>
        <v>YAMAHA_Mounter</v>
      </c>
      <c r="AS2052" s="22">
        <f t="shared" si="598"/>
        <v>3</v>
      </c>
      <c r="AT2052" s="24" t="str">
        <f t="shared" si="599"/>
        <v>0-3 months</v>
      </c>
      <c r="AU2052" s="22" t="s">
        <v>3745</v>
      </c>
    </row>
    <row r="2053" spans="1:47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91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602"/>
        <v>1</v>
      </c>
      <c r="Z2053" s="18">
        <f t="shared" si="601"/>
        <v>16000000</v>
      </c>
      <c r="AA2053" s="13">
        <v>6.25E-2</v>
      </c>
      <c r="AB2053" s="21">
        <f t="shared" si="603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604"/>
        <v>35682787.057522126</v>
      </c>
      <c r="AJ2053" s="19">
        <f t="shared" si="605"/>
        <v>5833368.3789623892</v>
      </c>
      <c r="AK2053" s="20">
        <f t="shared" si="594"/>
        <v>0.16347849649632912</v>
      </c>
      <c r="AL2053" s="17"/>
      <c r="AM2053" s="17"/>
      <c r="AN2053" s="17"/>
      <c r="AO2053" s="17"/>
      <c r="AP2053" s="28" t="str">
        <f t="shared" si="595"/>
        <v>20226</v>
      </c>
      <c r="AQ2053" s="28" t="str">
        <f t="shared" si="596"/>
        <v>20226JPY</v>
      </c>
      <c r="AR2053" s="206" t="str">
        <f t="shared" si="597"/>
        <v>YAMAHA_Mounter</v>
      </c>
      <c r="AS2053" s="22">
        <f t="shared" si="598"/>
        <v>4</v>
      </c>
      <c r="AT2053" s="24" t="str">
        <f t="shared" si="599"/>
        <v>4-6 months</v>
      </c>
      <c r="AU2053" s="22" t="s">
        <v>3745</v>
      </c>
    </row>
    <row r="2054" spans="1:47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602"/>
        <v>1</v>
      </c>
      <c r="Z2054" s="18">
        <f t="shared" si="601"/>
        <v>11000000</v>
      </c>
      <c r="AA2054" s="13">
        <v>6.25E-2</v>
      </c>
      <c r="AB2054" s="21">
        <f t="shared" si="603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si="604"/>
        <v>35682787.057522126</v>
      </c>
      <c r="AJ2054" s="19">
        <f t="shared" si="605"/>
        <v>5833368.3789623892</v>
      </c>
      <c r="AK2054" s="20">
        <f t="shared" ref="AK2054:AK2117" si="612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3">IF(F2054="","",F2054&amp;G2054)</f>
        <v>20226</v>
      </c>
      <c r="AQ2054" s="28" t="str">
        <f t="shared" ref="AQ2054:AQ2117" si="614">IF(W2054="","",F2054&amp;G2054&amp;W2054)</f>
        <v>20226JPY</v>
      </c>
      <c r="AR2054" s="206" t="str">
        <f t="shared" ref="AR2054:AR2117" si="615">IFERROR(IF(AND(M2054="YAMAHA", R2054="C28"), "YAMAHA_Non_Mounter", IF(AND(M2054="YAMAHA", R2054="C49"), "YAMAHA_Mounter", M2054)),"")</f>
        <v>YAMAHA_Mounter</v>
      </c>
      <c r="AS2054" s="22">
        <f t="shared" ref="AS2054:AS2117" si="616">IFERROR(IF(OR(G2054="TBA", G2054=""), "", DATEDIF(DATE(B2054, C2054, 1), DATE(F2054, G2054, 1), "M")),"")</f>
        <v>4</v>
      </c>
      <c r="AT2054" s="24" t="str">
        <f t="shared" ref="AT2054:AT2117" si="617">IF(ISNUMBER(AS2054), IF(AS2054&gt;=0, IF(AS2054&lt;=3, "0-3 months", IF(AS2054&lt;=6, "4-6 months", "&gt; 6 months"))), "")</f>
        <v>4-6 months</v>
      </c>
      <c r="AU2054" s="22" t="s">
        <v>3745</v>
      </c>
    </row>
    <row r="2055" spans="1:47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609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602"/>
        <v>1.13</v>
      </c>
      <c r="Z2055" s="18">
        <f t="shared" si="601"/>
        <v>762233</v>
      </c>
      <c r="AA2055" s="13">
        <v>1.17</v>
      </c>
      <c r="AB2055" s="21">
        <f t="shared" si="603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04"/>
        <v>36480247.665929198</v>
      </c>
      <c r="AJ2055" s="19">
        <f t="shared" si="605"/>
        <v>5330996.6372757526</v>
      </c>
      <c r="AK2055" s="20">
        <f t="shared" si="612"/>
        <v>0.14613378412599562</v>
      </c>
      <c r="AL2055" s="17"/>
      <c r="AM2055" s="17"/>
      <c r="AN2055" s="17"/>
      <c r="AO2055" s="17"/>
      <c r="AP2055" s="28" t="str">
        <f t="shared" si="613"/>
        <v>20227</v>
      </c>
      <c r="AQ2055" s="28" t="str">
        <f t="shared" si="614"/>
        <v>20227RMB</v>
      </c>
      <c r="AR2055" s="206" t="str">
        <f t="shared" si="615"/>
        <v>YAMAHA_Mounter</v>
      </c>
      <c r="AS2055" s="22">
        <f t="shared" si="616"/>
        <v>1</v>
      </c>
      <c r="AT2055" s="24" t="str">
        <f t="shared" si="617"/>
        <v>0-3 months</v>
      </c>
      <c r="AU2055" s="22" t="s">
        <v>3750</v>
      </c>
    </row>
    <row r="2056" spans="1:47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609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602"/>
        <v>1.13</v>
      </c>
      <c r="Z2056" s="18">
        <f t="shared" si="601"/>
        <v>762233</v>
      </c>
      <c r="AA2056" s="13">
        <v>1.17</v>
      </c>
      <c r="AB2056" s="21">
        <f t="shared" si="603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04"/>
        <v>36480247.665929198</v>
      </c>
      <c r="AJ2056" s="19">
        <f t="shared" si="605"/>
        <v>5330996.6372757526</v>
      </c>
      <c r="AK2056" s="20">
        <f t="shared" si="612"/>
        <v>0.14613378412599562</v>
      </c>
      <c r="AL2056" s="17"/>
      <c r="AM2056" s="17"/>
      <c r="AN2056" s="17"/>
      <c r="AO2056" s="17"/>
      <c r="AP2056" s="28" t="str">
        <f t="shared" si="613"/>
        <v>20227</v>
      </c>
      <c r="AQ2056" s="28" t="str">
        <f t="shared" si="614"/>
        <v>20227RMB</v>
      </c>
      <c r="AR2056" s="206" t="str">
        <f t="shared" si="615"/>
        <v>YAMAHA_Mounter</v>
      </c>
      <c r="AS2056" s="22">
        <f t="shared" si="616"/>
        <v>1</v>
      </c>
      <c r="AT2056" s="24" t="str">
        <f t="shared" si="617"/>
        <v>0-3 months</v>
      </c>
      <c r="AU2056" s="22" t="s">
        <v>3750</v>
      </c>
    </row>
    <row r="2057" spans="1:47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609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602"/>
        <v>1.13</v>
      </c>
      <c r="Z2057" s="18">
        <f t="shared" si="601"/>
        <v>575779</v>
      </c>
      <c r="AA2057" s="13">
        <v>1.17</v>
      </c>
      <c r="AB2057" s="21">
        <f t="shared" si="603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04"/>
        <v>36480247.665929198</v>
      </c>
      <c r="AJ2057" s="19">
        <f t="shared" si="605"/>
        <v>5330996.6372757526</v>
      </c>
      <c r="AK2057" s="20">
        <f t="shared" si="612"/>
        <v>0.14613378412599562</v>
      </c>
      <c r="AL2057" s="17"/>
      <c r="AM2057" s="17"/>
      <c r="AN2057" s="17"/>
      <c r="AO2057" s="17"/>
      <c r="AP2057" s="28" t="str">
        <f t="shared" si="613"/>
        <v>20227</v>
      </c>
      <c r="AQ2057" s="28" t="str">
        <f t="shared" si="614"/>
        <v>20227RMB</v>
      </c>
      <c r="AR2057" s="206" t="str">
        <f t="shared" si="615"/>
        <v>YAMAHA_Mounter</v>
      </c>
      <c r="AS2057" s="22">
        <f t="shared" si="616"/>
        <v>1</v>
      </c>
      <c r="AT2057" s="24" t="str">
        <f t="shared" si="617"/>
        <v>0-3 months</v>
      </c>
      <c r="AU2057" s="22" t="s">
        <v>3750</v>
      </c>
    </row>
    <row r="2058" spans="1:47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609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602"/>
        <v>1</v>
      </c>
      <c r="Z2058" s="18">
        <f t="shared" ref="Z2058:Z2121" si="618">IF(X2058="","",X2058*MAX(O2058,N2058))</f>
        <v>17000000</v>
      </c>
      <c r="AA2058" s="13">
        <v>5.8700000000000002E-2</v>
      </c>
      <c r="AB2058" s="21">
        <f t="shared" si="603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04"/>
        <v>36480247.665929198</v>
      </c>
      <c r="AJ2058" s="19">
        <f t="shared" si="605"/>
        <v>5330996.6372757526</v>
      </c>
      <c r="AK2058" s="20">
        <f t="shared" si="612"/>
        <v>0.14613378412599562</v>
      </c>
      <c r="AL2058" s="17"/>
      <c r="AM2058" s="17"/>
      <c r="AN2058" s="17"/>
      <c r="AO2058" s="17"/>
      <c r="AP2058" s="28" t="str">
        <f t="shared" si="613"/>
        <v>20227</v>
      </c>
      <c r="AQ2058" s="28" t="str">
        <f t="shared" si="614"/>
        <v>20227JPY</v>
      </c>
      <c r="AR2058" s="206" t="str">
        <f t="shared" si="615"/>
        <v>YAMAHA_Mounter</v>
      </c>
      <c r="AS2058" s="22">
        <f t="shared" si="616"/>
        <v>0</v>
      </c>
      <c r="AT2058" s="24" t="str">
        <f t="shared" si="617"/>
        <v>0-3 months</v>
      </c>
      <c r="AU2058" s="22" t="s">
        <v>3240</v>
      </c>
    </row>
    <row r="2059" spans="1:47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609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602"/>
        <v>1</v>
      </c>
      <c r="Z2059" s="18">
        <f t="shared" si="618"/>
        <v>17000000</v>
      </c>
      <c r="AA2059" s="13">
        <v>5.8700000000000002E-2</v>
      </c>
      <c r="AB2059" s="21">
        <f t="shared" si="603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04"/>
        <v>36480247.665929198</v>
      </c>
      <c r="AJ2059" s="19">
        <f t="shared" si="605"/>
        <v>5330996.6372757526</v>
      </c>
      <c r="AK2059" s="20">
        <f t="shared" si="612"/>
        <v>0.14613378412599562</v>
      </c>
      <c r="AL2059" s="17"/>
      <c r="AM2059" s="17"/>
      <c r="AN2059" s="17"/>
      <c r="AO2059" s="17"/>
      <c r="AP2059" s="28" t="str">
        <f t="shared" si="613"/>
        <v>20227</v>
      </c>
      <c r="AQ2059" s="28" t="str">
        <f t="shared" si="614"/>
        <v>20227JPY</v>
      </c>
      <c r="AR2059" s="206" t="str">
        <f t="shared" si="615"/>
        <v>YAMAHA_Mounter</v>
      </c>
      <c r="AS2059" s="22">
        <f t="shared" si="616"/>
        <v>0</v>
      </c>
      <c r="AT2059" s="24" t="str">
        <f t="shared" si="617"/>
        <v>0-3 months</v>
      </c>
      <c r="AU2059" s="22" t="s">
        <v>3240</v>
      </c>
    </row>
    <row r="2060" spans="1:47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609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602"/>
        <v>1</v>
      </c>
      <c r="Z2060" s="18">
        <f t="shared" si="618"/>
        <v>17000000</v>
      </c>
      <c r="AA2060" s="13">
        <v>5.8700000000000002E-2</v>
      </c>
      <c r="AB2060" s="21">
        <f t="shared" si="603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04"/>
        <v>36480247.665929198</v>
      </c>
      <c r="AJ2060" s="19">
        <f t="shared" si="605"/>
        <v>5330996.6372757526</v>
      </c>
      <c r="AK2060" s="20">
        <f t="shared" si="612"/>
        <v>0.14613378412599562</v>
      </c>
      <c r="AL2060" s="17"/>
      <c r="AM2060" s="17"/>
      <c r="AN2060" s="17"/>
      <c r="AO2060" s="17"/>
      <c r="AP2060" s="28" t="str">
        <f t="shared" si="613"/>
        <v>20227</v>
      </c>
      <c r="AQ2060" s="28" t="str">
        <f t="shared" si="614"/>
        <v>20227JPY</v>
      </c>
      <c r="AR2060" s="206" t="str">
        <f t="shared" si="615"/>
        <v>YAMAHA_Mounter</v>
      </c>
      <c r="AS2060" s="22">
        <f t="shared" si="616"/>
        <v>0</v>
      </c>
      <c r="AT2060" s="24" t="str">
        <f t="shared" si="617"/>
        <v>0-3 months</v>
      </c>
      <c r="AU2060" s="22" t="s">
        <v>3240</v>
      </c>
    </row>
    <row r="2061" spans="1:47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609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602"/>
        <v>1</v>
      </c>
      <c r="Z2061" s="18">
        <f t="shared" si="618"/>
        <v>12014500</v>
      </c>
      <c r="AA2061" s="13">
        <v>5.8700000000000002E-2</v>
      </c>
      <c r="AB2061" s="21">
        <f t="shared" si="603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04"/>
        <v>36480247.665929198</v>
      </c>
      <c r="AJ2061" s="19">
        <f t="shared" si="605"/>
        <v>5330996.6372757526</v>
      </c>
      <c r="AK2061" s="20">
        <f t="shared" si="612"/>
        <v>0.14613378412599562</v>
      </c>
      <c r="AL2061" s="17"/>
      <c r="AM2061" s="17"/>
      <c r="AN2061" s="17"/>
      <c r="AO2061" s="17"/>
      <c r="AP2061" s="28" t="str">
        <f t="shared" si="613"/>
        <v>20227</v>
      </c>
      <c r="AQ2061" s="28" t="str">
        <f t="shared" si="614"/>
        <v>20227JPY</v>
      </c>
      <c r="AR2061" s="206" t="str">
        <f t="shared" si="615"/>
        <v>YAMAHA_Mounter</v>
      </c>
      <c r="AS2061" s="22">
        <f t="shared" si="616"/>
        <v>0</v>
      </c>
      <c r="AT2061" s="24" t="str">
        <f t="shared" si="617"/>
        <v>0-3 months</v>
      </c>
      <c r="AU2061" s="22" t="s">
        <v>3240</v>
      </c>
    </row>
    <row r="2062" spans="1:47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609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602"/>
        <v>1</v>
      </c>
      <c r="Z2062" s="18">
        <f t="shared" si="618"/>
        <v>12014500</v>
      </c>
      <c r="AA2062" s="13">
        <v>5.8700000000000002E-2</v>
      </c>
      <c r="AB2062" s="21">
        <f t="shared" si="603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04"/>
        <v>36480247.665929198</v>
      </c>
      <c r="AJ2062" s="19">
        <f t="shared" si="605"/>
        <v>5330996.6372757526</v>
      </c>
      <c r="AK2062" s="20">
        <f t="shared" si="612"/>
        <v>0.14613378412599562</v>
      </c>
      <c r="AL2062" s="17"/>
      <c r="AM2062" s="17"/>
      <c r="AN2062" s="17"/>
      <c r="AO2062" s="17"/>
      <c r="AP2062" s="28" t="str">
        <f t="shared" si="613"/>
        <v>20227</v>
      </c>
      <c r="AQ2062" s="28" t="str">
        <f t="shared" si="614"/>
        <v>20227JPY</v>
      </c>
      <c r="AR2062" s="206" t="str">
        <f t="shared" si="615"/>
        <v>YAMAHA_Mounter</v>
      </c>
      <c r="AS2062" s="22">
        <f t="shared" si="616"/>
        <v>0</v>
      </c>
      <c r="AT2062" s="24" t="str">
        <f t="shared" si="617"/>
        <v>0-3 months</v>
      </c>
      <c r="AU2062" s="22" t="s">
        <v>3240</v>
      </c>
    </row>
    <row r="2063" spans="1:47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609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619">IF(W2063="RMB","1.13", "1")</f>
        <v>1</v>
      </c>
      <c r="Z2063" s="18">
        <f t="shared" si="618"/>
        <v>12014500</v>
      </c>
      <c r="AA2063" s="13">
        <v>5.8700000000000002E-2</v>
      </c>
      <c r="AB2063" s="21">
        <f t="shared" si="603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04"/>
        <v>36480247.665929198</v>
      </c>
      <c r="AJ2063" s="19">
        <f t="shared" si="605"/>
        <v>5330996.6372757526</v>
      </c>
      <c r="AK2063" s="20">
        <f t="shared" si="612"/>
        <v>0.14613378412599562</v>
      </c>
      <c r="AL2063" s="17"/>
      <c r="AM2063" s="17"/>
      <c r="AN2063" s="17"/>
      <c r="AO2063" s="17"/>
      <c r="AP2063" s="28" t="str">
        <f t="shared" si="613"/>
        <v>20227</v>
      </c>
      <c r="AQ2063" s="28" t="str">
        <f t="shared" si="614"/>
        <v>20227JPY</v>
      </c>
      <c r="AR2063" s="206" t="str">
        <f t="shared" si="615"/>
        <v>YAMAHA_Mounter</v>
      </c>
      <c r="AS2063" s="22">
        <f t="shared" si="616"/>
        <v>0</v>
      </c>
      <c r="AT2063" s="24" t="str">
        <f t="shared" si="617"/>
        <v>0-3 months</v>
      </c>
      <c r="AU2063" s="22" t="s">
        <v>3240</v>
      </c>
    </row>
    <row r="2064" spans="1:47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609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619"/>
        <v>1</v>
      </c>
      <c r="Z2064" s="18">
        <f t="shared" si="618"/>
        <v>17000000</v>
      </c>
      <c r="AA2064" s="13">
        <v>5.7799999999999997E-2</v>
      </c>
      <c r="AB2064" s="21">
        <f t="shared" si="603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04"/>
        <v>15948576.102654871</v>
      </c>
      <c r="AJ2064" s="19">
        <f t="shared" si="605"/>
        <v>2739848.7004853105</v>
      </c>
      <c r="AK2064" s="20">
        <f t="shared" si="612"/>
        <v>0.17179268436567344</v>
      </c>
      <c r="AL2064" s="17"/>
      <c r="AM2064" s="17"/>
      <c r="AN2064" s="17"/>
      <c r="AO2064" s="17"/>
      <c r="AP2064" s="28" t="str">
        <f t="shared" si="613"/>
        <v>20229</v>
      </c>
      <c r="AQ2064" s="28" t="str">
        <f t="shared" si="614"/>
        <v>20229JPY</v>
      </c>
      <c r="AR2064" s="206" t="str">
        <f t="shared" si="615"/>
        <v>YAMAHA_Mounter</v>
      </c>
      <c r="AS2064" s="22">
        <f t="shared" si="616"/>
        <v>2</v>
      </c>
      <c r="AT2064" s="24" t="str">
        <f t="shared" si="617"/>
        <v>0-3 months</v>
      </c>
      <c r="AU2064" s="22" t="s">
        <v>3745</v>
      </c>
    </row>
    <row r="2065" spans="1:47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609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619"/>
        <v>1</v>
      </c>
      <c r="Z2065" s="18">
        <f t="shared" si="618"/>
        <v>12294000</v>
      </c>
      <c r="AA2065" s="13">
        <v>5.7799999999999997E-2</v>
      </c>
      <c r="AB2065" s="21">
        <f t="shared" si="603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04"/>
        <v>15948576.102654871</v>
      </c>
      <c r="AJ2065" s="19">
        <f t="shared" si="605"/>
        <v>2739848.7004853105</v>
      </c>
      <c r="AK2065" s="20">
        <f t="shared" si="612"/>
        <v>0.17179268436567344</v>
      </c>
      <c r="AL2065" s="17"/>
      <c r="AM2065" s="17"/>
      <c r="AN2065" s="17"/>
      <c r="AO2065" s="17"/>
      <c r="AP2065" s="28" t="str">
        <f t="shared" si="613"/>
        <v>20229</v>
      </c>
      <c r="AQ2065" s="28" t="str">
        <f t="shared" si="614"/>
        <v>20229JPY</v>
      </c>
      <c r="AR2065" s="206" t="str">
        <f t="shared" si="615"/>
        <v>YAMAHA_Mounter</v>
      </c>
      <c r="AS2065" s="22">
        <f t="shared" si="616"/>
        <v>2</v>
      </c>
      <c r="AT2065" s="24" t="str">
        <f t="shared" si="617"/>
        <v>0-3 months</v>
      </c>
      <c r="AU2065" s="22" t="s">
        <v>3745</v>
      </c>
    </row>
    <row r="2066" spans="1:47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609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619"/>
        <v>1.13</v>
      </c>
      <c r="Z2066" s="18">
        <f t="shared" si="618"/>
        <v>910000</v>
      </c>
      <c r="AA2066" s="13">
        <v>1.1000000000000001</v>
      </c>
      <c r="AB2066" s="21">
        <f t="shared" si="603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04"/>
        <v>22717528.991150443</v>
      </c>
      <c r="AJ2066" s="19">
        <f t="shared" si="605"/>
        <v>3947747.192555753</v>
      </c>
      <c r="AK2066" s="20">
        <f t="shared" si="612"/>
        <v>0.1737753782153679</v>
      </c>
      <c r="AL2066" s="17"/>
      <c r="AM2066" s="17"/>
      <c r="AN2066" s="17"/>
      <c r="AO2066" s="17"/>
      <c r="AP2066" s="28" t="str">
        <f t="shared" si="613"/>
        <v>202210</v>
      </c>
      <c r="AQ2066" s="28" t="str">
        <f t="shared" si="614"/>
        <v>202210RMB</v>
      </c>
      <c r="AR2066" s="206" t="str">
        <f t="shared" si="615"/>
        <v>YAMAHA_Mounter</v>
      </c>
      <c r="AS2066" s="22">
        <f t="shared" si="616"/>
        <v>1</v>
      </c>
      <c r="AT2066" s="24" t="str">
        <f t="shared" si="617"/>
        <v>0-3 months</v>
      </c>
      <c r="AU2066" s="22" t="s">
        <v>3240</v>
      </c>
    </row>
    <row r="2067" spans="1:47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609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619"/>
        <v>1.13</v>
      </c>
      <c r="Z2067" s="18">
        <f t="shared" si="618"/>
        <v>700000</v>
      </c>
      <c r="AA2067" s="13">
        <v>1.1000000000000001</v>
      </c>
      <c r="AB2067" s="21">
        <f t="shared" si="603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04"/>
        <v>22717528.991150443</v>
      </c>
      <c r="AJ2067" s="19">
        <f t="shared" si="605"/>
        <v>3947747.192555753</v>
      </c>
      <c r="AK2067" s="20">
        <f t="shared" si="612"/>
        <v>0.1737753782153679</v>
      </c>
      <c r="AL2067" s="17"/>
      <c r="AM2067" s="17"/>
      <c r="AN2067" s="17"/>
      <c r="AO2067" s="17"/>
      <c r="AP2067" s="28" t="str">
        <f t="shared" si="613"/>
        <v>202210</v>
      </c>
      <c r="AQ2067" s="28" t="str">
        <f t="shared" si="614"/>
        <v>202210RMB</v>
      </c>
      <c r="AR2067" s="206" t="str">
        <f t="shared" si="615"/>
        <v>YAMAHA_Mounter</v>
      </c>
      <c r="AS2067" s="22">
        <f t="shared" si="616"/>
        <v>1</v>
      </c>
      <c r="AT2067" s="24" t="str">
        <f t="shared" si="617"/>
        <v>0-3 months</v>
      </c>
      <c r="AU2067" s="22" t="s">
        <v>3240</v>
      </c>
    </row>
    <row r="2068" spans="1:47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609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619"/>
        <v>1.13</v>
      </c>
      <c r="Z2068" s="18">
        <f t="shared" si="618"/>
        <v>925000</v>
      </c>
      <c r="AA2068" s="13">
        <v>1.1000000000000001</v>
      </c>
      <c r="AB2068" s="21">
        <f t="shared" si="603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04"/>
        <v>22717528.991150443</v>
      </c>
      <c r="AJ2068" s="19">
        <f t="shared" si="605"/>
        <v>3947747.192555753</v>
      </c>
      <c r="AK2068" s="20">
        <f t="shared" si="612"/>
        <v>0.1737753782153679</v>
      </c>
      <c r="AL2068" s="17"/>
      <c r="AM2068" s="17"/>
      <c r="AN2068" s="17"/>
      <c r="AO2068" s="17"/>
      <c r="AP2068" s="28" t="str">
        <f t="shared" si="613"/>
        <v>202210</v>
      </c>
      <c r="AQ2068" s="28" t="str">
        <f t="shared" si="614"/>
        <v>202210RMB</v>
      </c>
      <c r="AR2068" s="206" t="str">
        <f t="shared" si="615"/>
        <v>YAMAHA_Mounter</v>
      </c>
      <c r="AS2068" s="22">
        <f t="shared" si="616"/>
        <v>0</v>
      </c>
      <c r="AT2068" s="24" t="str">
        <f t="shared" si="617"/>
        <v>0-3 months</v>
      </c>
      <c r="AU2068" s="22" t="s">
        <v>3750</v>
      </c>
    </row>
    <row r="2069" spans="1:47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609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619"/>
        <v>1.13</v>
      </c>
      <c r="Z2069" s="18">
        <f t="shared" si="618"/>
        <v>925000</v>
      </c>
      <c r="AA2069" s="13">
        <v>1.1000000000000001</v>
      </c>
      <c r="AB2069" s="21">
        <f t="shared" si="603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04"/>
        <v>22717528.991150443</v>
      </c>
      <c r="AJ2069" s="19">
        <f t="shared" si="605"/>
        <v>3947747.192555753</v>
      </c>
      <c r="AK2069" s="20">
        <f t="shared" si="612"/>
        <v>0.1737753782153679</v>
      </c>
      <c r="AL2069" s="17"/>
      <c r="AM2069" s="17"/>
      <c r="AN2069" s="17"/>
      <c r="AO2069" s="17"/>
      <c r="AP2069" s="28" t="str">
        <f t="shared" si="613"/>
        <v>202210</v>
      </c>
      <c r="AQ2069" s="28" t="str">
        <f t="shared" si="614"/>
        <v>202210RMB</v>
      </c>
      <c r="AR2069" s="206" t="str">
        <f t="shared" si="615"/>
        <v>YAMAHA_Mounter</v>
      </c>
      <c r="AS2069" s="22">
        <f t="shared" si="616"/>
        <v>0</v>
      </c>
      <c r="AT2069" s="24" t="str">
        <f t="shared" si="617"/>
        <v>0-3 months</v>
      </c>
      <c r="AU2069" s="22" t="s">
        <v>3750</v>
      </c>
    </row>
    <row r="2070" spans="1:47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609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619"/>
        <v>1.13</v>
      </c>
      <c r="Z2070" s="18">
        <f t="shared" si="618"/>
        <v>925000</v>
      </c>
      <c r="AA2070" s="13">
        <v>1.1000000000000001</v>
      </c>
      <c r="AB2070" s="21">
        <f t="shared" si="603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04"/>
        <v>22717528.991150443</v>
      </c>
      <c r="AJ2070" s="19">
        <f t="shared" si="605"/>
        <v>3947747.192555753</v>
      </c>
      <c r="AK2070" s="20">
        <f t="shared" si="612"/>
        <v>0.1737753782153679</v>
      </c>
      <c r="AL2070" s="17"/>
      <c r="AM2070" s="17"/>
      <c r="AN2070" s="17"/>
      <c r="AO2070" s="17"/>
      <c r="AP2070" s="28" t="str">
        <f t="shared" si="613"/>
        <v>202210</v>
      </c>
      <c r="AQ2070" s="28" t="str">
        <f t="shared" si="614"/>
        <v>202210RMB</v>
      </c>
      <c r="AR2070" s="206" t="str">
        <f t="shared" si="615"/>
        <v>YAMAHA_Mounter</v>
      </c>
      <c r="AS2070" s="22">
        <f t="shared" si="616"/>
        <v>0</v>
      </c>
      <c r="AT2070" s="24" t="str">
        <f t="shared" si="617"/>
        <v>0-3 months</v>
      </c>
      <c r="AU2070" s="22" t="s">
        <v>3750</v>
      </c>
    </row>
    <row r="2071" spans="1:47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609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619"/>
        <v>1.13</v>
      </c>
      <c r="Z2071" s="18">
        <f t="shared" si="618"/>
        <v>925000</v>
      </c>
      <c r="AA2071" s="13">
        <v>1.1000000000000001</v>
      </c>
      <c r="AB2071" s="21">
        <f t="shared" si="603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04"/>
        <v>22717528.991150443</v>
      </c>
      <c r="AJ2071" s="19">
        <f t="shared" si="605"/>
        <v>3947747.192555753</v>
      </c>
      <c r="AK2071" s="20">
        <f t="shared" si="612"/>
        <v>0.1737753782153679</v>
      </c>
      <c r="AL2071" s="17"/>
      <c r="AM2071" s="17"/>
      <c r="AN2071" s="17"/>
      <c r="AO2071" s="17"/>
      <c r="AP2071" s="28" t="str">
        <f t="shared" si="613"/>
        <v>202210</v>
      </c>
      <c r="AQ2071" s="28" t="str">
        <f t="shared" si="614"/>
        <v>202210RMB</v>
      </c>
      <c r="AR2071" s="206" t="str">
        <f t="shared" si="615"/>
        <v>YAMAHA_Mounter</v>
      </c>
      <c r="AS2071" s="22">
        <f t="shared" si="616"/>
        <v>0</v>
      </c>
      <c r="AT2071" s="24" t="str">
        <f t="shared" si="617"/>
        <v>0-3 months</v>
      </c>
      <c r="AU2071" s="22" t="s">
        <v>3750</v>
      </c>
    </row>
    <row r="2072" spans="1:47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609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619"/>
        <v>1.13</v>
      </c>
      <c r="Z2072" s="18">
        <f t="shared" si="618"/>
        <v>710800</v>
      </c>
      <c r="AA2072" s="13">
        <v>1.1000000000000001</v>
      </c>
      <c r="AB2072" s="21">
        <f t="shared" si="603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04"/>
        <v>22717528.991150443</v>
      </c>
      <c r="AJ2072" s="19">
        <f t="shared" si="605"/>
        <v>3947747.192555753</v>
      </c>
      <c r="AK2072" s="20">
        <f t="shared" si="612"/>
        <v>0.1737753782153679</v>
      </c>
      <c r="AL2072" s="17"/>
      <c r="AM2072" s="17"/>
      <c r="AN2072" s="17"/>
      <c r="AO2072" s="17"/>
      <c r="AP2072" s="28" t="str">
        <f t="shared" si="613"/>
        <v>202210</v>
      </c>
      <c r="AQ2072" s="28" t="str">
        <f t="shared" si="614"/>
        <v>202210RMB</v>
      </c>
      <c r="AR2072" s="206" t="str">
        <f t="shared" si="615"/>
        <v>YAMAHA_Mounter</v>
      </c>
      <c r="AS2072" s="22">
        <f t="shared" si="616"/>
        <v>0</v>
      </c>
      <c r="AT2072" s="24" t="str">
        <f t="shared" si="617"/>
        <v>0-3 months</v>
      </c>
      <c r="AU2072" s="22" t="s">
        <v>3750</v>
      </c>
    </row>
    <row r="2073" spans="1:47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609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619"/>
        <v>1.13</v>
      </c>
      <c r="Z2073" s="18">
        <f t="shared" si="618"/>
        <v>710800</v>
      </c>
      <c r="AA2073" s="13">
        <v>1.1000000000000001</v>
      </c>
      <c r="AB2073" s="21">
        <f t="shared" si="603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04"/>
        <v>22717528.991150443</v>
      </c>
      <c r="AJ2073" s="19">
        <f t="shared" si="605"/>
        <v>3947747.192555753</v>
      </c>
      <c r="AK2073" s="20">
        <f t="shared" si="612"/>
        <v>0.1737753782153679</v>
      </c>
      <c r="AL2073" s="17"/>
      <c r="AM2073" s="17"/>
      <c r="AN2073" s="17"/>
      <c r="AO2073" s="17"/>
      <c r="AP2073" s="28" t="str">
        <f t="shared" si="613"/>
        <v>202210</v>
      </c>
      <c r="AQ2073" s="28" t="str">
        <f t="shared" si="614"/>
        <v>202210RMB</v>
      </c>
      <c r="AR2073" s="206" t="str">
        <f t="shared" si="615"/>
        <v>YAMAHA_Mounter</v>
      </c>
      <c r="AS2073" s="22">
        <f t="shared" si="616"/>
        <v>0</v>
      </c>
      <c r="AT2073" s="24" t="str">
        <f t="shared" si="617"/>
        <v>0-3 months</v>
      </c>
      <c r="AU2073" s="22" t="s">
        <v>3750</v>
      </c>
    </row>
    <row r="2074" spans="1:47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609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619"/>
        <v>1.13</v>
      </c>
      <c r="Z2074" s="18">
        <f t="shared" si="618"/>
        <v>990000</v>
      </c>
      <c r="AA2074" s="13">
        <v>1.08</v>
      </c>
      <c r="AB2074" s="21">
        <f t="shared" si="603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04"/>
        <v>31017966.201968137</v>
      </c>
      <c r="AJ2074" s="19">
        <f t="shared" si="605"/>
        <v>4704250.3347305888</v>
      </c>
      <c r="AK2074" s="20">
        <f t="shared" si="612"/>
        <v>0.15166211427595458</v>
      </c>
      <c r="AL2074" s="17"/>
      <c r="AM2074" s="17"/>
      <c r="AN2074" s="17"/>
      <c r="AO2074" s="17"/>
      <c r="AP2074" s="28" t="str">
        <f t="shared" si="613"/>
        <v>202211</v>
      </c>
      <c r="AQ2074" s="28" t="str">
        <f t="shared" si="614"/>
        <v>202211RMB</v>
      </c>
      <c r="AR2074" s="206" t="str">
        <f t="shared" si="615"/>
        <v>YAMAHA_Mounter</v>
      </c>
      <c r="AS2074" s="22">
        <f t="shared" si="616"/>
        <v>0</v>
      </c>
      <c r="AT2074" s="24" t="str">
        <f t="shared" si="617"/>
        <v>0-3 months</v>
      </c>
      <c r="AU2074" s="22" t="s">
        <v>3750</v>
      </c>
    </row>
    <row r="2075" spans="1:47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609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619"/>
        <v>1.13</v>
      </c>
      <c r="Z2075" s="18">
        <f t="shared" si="618"/>
        <v>990000</v>
      </c>
      <c r="AA2075" s="13">
        <v>1.08</v>
      </c>
      <c r="AB2075" s="21">
        <f t="shared" si="603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04"/>
        <v>31017966.201968137</v>
      </c>
      <c r="AJ2075" s="19">
        <f t="shared" si="605"/>
        <v>4704250.3347305888</v>
      </c>
      <c r="AK2075" s="20">
        <f t="shared" si="612"/>
        <v>0.15166211427595458</v>
      </c>
      <c r="AL2075" s="17"/>
      <c r="AM2075" s="17"/>
      <c r="AN2075" s="17"/>
      <c r="AO2075" s="17"/>
      <c r="AP2075" s="28" t="str">
        <f t="shared" si="613"/>
        <v>202211</v>
      </c>
      <c r="AQ2075" s="28" t="str">
        <f t="shared" si="614"/>
        <v>202211RMB</v>
      </c>
      <c r="AR2075" s="206" t="str">
        <f t="shared" si="615"/>
        <v>YAMAHA_Mounter</v>
      </c>
      <c r="AS2075" s="22">
        <f t="shared" si="616"/>
        <v>0</v>
      </c>
      <c r="AT2075" s="24" t="str">
        <f t="shared" si="617"/>
        <v>0-3 months</v>
      </c>
      <c r="AU2075" s="22" t="s">
        <v>3750</v>
      </c>
    </row>
    <row r="2076" spans="1:47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609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619"/>
        <v>1.13</v>
      </c>
      <c r="Z2076" s="18">
        <f t="shared" si="618"/>
        <v>990000</v>
      </c>
      <c r="AA2076" s="13">
        <v>1.08</v>
      </c>
      <c r="AB2076" s="21">
        <f t="shared" si="603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04"/>
        <v>31017966.201968137</v>
      </c>
      <c r="AJ2076" s="19">
        <f t="shared" si="605"/>
        <v>4704250.3347305888</v>
      </c>
      <c r="AK2076" s="20">
        <f t="shared" si="612"/>
        <v>0.15166211427595458</v>
      </c>
      <c r="AL2076" s="17"/>
      <c r="AM2076" s="17"/>
      <c r="AN2076" s="17"/>
      <c r="AO2076" s="17"/>
      <c r="AP2076" s="28" t="str">
        <f t="shared" si="613"/>
        <v>202211</v>
      </c>
      <c r="AQ2076" s="28" t="str">
        <f t="shared" si="614"/>
        <v>202211RMB</v>
      </c>
      <c r="AR2076" s="206" t="str">
        <f t="shared" si="615"/>
        <v>YAMAHA_Mounter</v>
      </c>
      <c r="AS2076" s="22">
        <f t="shared" si="616"/>
        <v>0</v>
      </c>
      <c r="AT2076" s="24" t="str">
        <f t="shared" si="617"/>
        <v>0-3 months</v>
      </c>
      <c r="AU2076" s="22" t="s">
        <v>3750</v>
      </c>
    </row>
    <row r="2077" spans="1:47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609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619"/>
        <v>1.13</v>
      </c>
      <c r="Z2077" s="18">
        <f t="shared" si="618"/>
        <v>990000</v>
      </c>
      <c r="AA2077" s="13">
        <v>1.08</v>
      </c>
      <c r="AB2077" s="21">
        <f t="shared" si="603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04"/>
        <v>31017966.201968137</v>
      </c>
      <c r="AJ2077" s="19">
        <f t="shared" si="605"/>
        <v>4704250.3347305888</v>
      </c>
      <c r="AK2077" s="20">
        <f t="shared" si="612"/>
        <v>0.15166211427595458</v>
      </c>
      <c r="AL2077" s="17"/>
      <c r="AM2077" s="17"/>
      <c r="AN2077" s="17"/>
      <c r="AO2077" s="17"/>
      <c r="AP2077" s="28" t="str">
        <f t="shared" si="613"/>
        <v>202211</v>
      </c>
      <c r="AQ2077" s="28" t="str">
        <f t="shared" si="614"/>
        <v>202211RMB</v>
      </c>
      <c r="AR2077" s="206" t="str">
        <f t="shared" si="615"/>
        <v>YAMAHA_Mounter</v>
      </c>
      <c r="AS2077" s="22">
        <f t="shared" si="616"/>
        <v>0</v>
      </c>
      <c r="AT2077" s="24" t="str">
        <f t="shared" si="617"/>
        <v>0-3 months</v>
      </c>
      <c r="AU2077" s="22" t="s">
        <v>3750</v>
      </c>
    </row>
    <row r="2078" spans="1:47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609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619"/>
        <v>1.13</v>
      </c>
      <c r="Z2078" s="18">
        <f t="shared" si="618"/>
        <v>851000</v>
      </c>
      <c r="AA2078" s="13">
        <v>1.08</v>
      </c>
      <c r="AB2078" s="21">
        <f t="shared" si="603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04"/>
        <v>31017966.201968137</v>
      </c>
      <c r="AJ2078" s="19">
        <f t="shared" si="605"/>
        <v>4704250.3347305888</v>
      </c>
      <c r="AK2078" s="20">
        <f t="shared" si="612"/>
        <v>0.15166211427595458</v>
      </c>
      <c r="AL2078" s="17"/>
      <c r="AM2078" s="17"/>
      <c r="AN2078" s="17"/>
      <c r="AO2078" s="17"/>
      <c r="AP2078" s="28" t="str">
        <f t="shared" si="613"/>
        <v>202211</v>
      </c>
      <c r="AQ2078" s="28" t="str">
        <f t="shared" si="614"/>
        <v>202211RMB</v>
      </c>
      <c r="AR2078" s="206" t="str">
        <f t="shared" si="615"/>
        <v>YAMAHA_Mounter</v>
      </c>
      <c r="AS2078" s="22">
        <f t="shared" si="616"/>
        <v>0</v>
      </c>
      <c r="AT2078" s="24" t="str">
        <f t="shared" si="617"/>
        <v>0-3 months</v>
      </c>
      <c r="AU2078" s="22" t="s">
        <v>3750</v>
      </c>
    </row>
    <row r="2079" spans="1:47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609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619"/>
        <v>1.13</v>
      </c>
      <c r="Z2079" s="18">
        <f t="shared" si="618"/>
        <v>851000</v>
      </c>
      <c r="AA2079" s="13">
        <v>1.08</v>
      </c>
      <c r="AB2079" s="21">
        <f t="shared" si="603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04"/>
        <v>31017966.201968137</v>
      </c>
      <c r="AJ2079" s="19">
        <f t="shared" si="605"/>
        <v>4704250.3347305888</v>
      </c>
      <c r="AK2079" s="20">
        <f t="shared" si="612"/>
        <v>0.15166211427595458</v>
      </c>
      <c r="AL2079" s="17"/>
      <c r="AM2079" s="17"/>
      <c r="AN2079" s="17"/>
      <c r="AO2079" s="17"/>
      <c r="AP2079" s="28" t="str">
        <f t="shared" si="613"/>
        <v>202211</v>
      </c>
      <c r="AQ2079" s="28" t="str">
        <f t="shared" si="614"/>
        <v>202211RMB</v>
      </c>
      <c r="AR2079" s="206" t="str">
        <f t="shared" si="615"/>
        <v>YAMAHA_Mounter</v>
      </c>
      <c r="AS2079" s="22">
        <f t="shared" si="616"/>
        <v>0</v>
      </c>
      <c r="AT2079" s="24" t="str">
        <f t="shared" si="617"/>
        <v>0-3 months</v>
      </c>
      <c r="AU2079" s="22" t="s">
        <v>3750</v>
      </c>
    </row>
    <row r="2080" spans="1:47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609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619"/>
        <v>1.13</v>
      </c>
      <c r="Z2080" s="18">
        <f t="shared" si="618"/>
        <v>851000</v>
      </c>
      <c r="AA2080" s="13">
        <v>1.08</v>
      </c>
      <c r="AB2080" s="21">
        <f t="shared" si="603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04"/>
        <v>31017966.201968137</v>
      </c>
      <c r="AJ2080" s="19">
        <f t="shared" si="605"/>
        <v>4704250.3347305888</v>
      </c>
      <c r="AK2080" s="20">
        <f t="shared" si="612"/>
        <v>0.15166211427595458</v>
      </c>
      <c r="AL2080" s="17"/>
      <c r="AM2080" s="17"/>
      <c r="AN2080" s="17"/>
      <c r="AO2080" s="17"/>
      <c r="AP2080" s="28" t="str">
        <f t="shared" si="613"/>
        <v>202211</v>
      </c>
      <c r="AQ2080" s="28" t="str">
        <f t="shared" si="614"/>
        <v>202211RMB</v>
      </c>
      <c r="AR2080" s="206" t="str">
        <f t="shared" si="615"/>
        <v>YAMAHA_Mounter</v>
      </c>
      <c r="AS2080" s="22">
        <f t="shared" si="616"/>
        <v>0</v>
      </c>
      <c r="AT2080" s="24" t="str">
        <f t="shared" si="617"/>
        <v>0-3 months</v>
      </c>
      <c r="AU2080" s="22" t="s">
        <v>3750</v>
      </c>
    </row>
    <row r="2081" spans="1:47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609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619"/>
        <v>1.13</v>
      </c>
      <c r="Z2081" s="18">
        <f t="shared" si="618"/>
        <v>851000</v>
      </c>
      <c r="AA2081" s="13">
        <v>1.08</v>
      </c>
      <c r="AB2081" s="21">
        <f t="shared" si="603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04"/>
        <v>31017966.201968137</v>
      </c>
      <c r="AJ2081" s="19">
        <f t="shared" si="605"/>
        <v>4704250.3347305888</v>
      </c>
      <c r="AK2081" s="20">
        <f t="shared" si="612"/>
        <v>0.15166211427595458</v>
      </c>
      <c r="AL2081" s="17"/>
      <c r="AM2081" s="17"/>
      <c r="AN2081" s="17"/>
      <c r="AO2081" s="17"/>
      <c r="AP2081" s="28" t="str">
        <f t="shared" si="613"/>
        <v>202211</v>
      </c>
      <c r="AQ2081" s="28" t="str">
        <f t="shared" si="614"/>
        <v>202211RMB</v>
      </c>
      <c r="AR2081" s="206" t="str">
        <f t="shared" si="615"/>
        <v>YAMAHA_Mounter</v>
      </c>
      <c r="AS2081" s="22">
        <f t="shared" si="616"/>
        <v>0</v>
      </c>
      <c r="AT2081" s="24" t="str">
        <f t="shared" si="617"/>
        <v>0-3 months</v>
      </c>
      <c r="AU2081" s="22" t="s">
        <v>3750</v>
      </c>
    </row>
    <row r="2082" spans="1:47" s="12" customFormat="1">
      <c r="A2082" s="33" t="str">
        <f t="shared" si="606"/>
        <v>cancel</v>
      </c>
      <c r="B2082" s="152"/>
      <c r="C2082" s="152" t="s">
        <v>185</v>
      </c>
      <c r="D2082" s="33" t="str">
        <f t="shared" si="607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608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609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618"/>
        <v>30000000</v>
      </c>
      <c r="AA2082" s="13">
        <v>7.2099999999999997E-2</v>
      </c>
      <c r="AB2082" s="21">
        <f t="shared" si="603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04"/>
        <v>499582152.5142017</v>
      </c>
      <c r="AJ2082" s="19">
        <f t="shared" si="605"/>
        <v>59520528.679470733</v>
      </c>
      <c r="AK2082" s="20">
        <f t="shared" si="612"/>
        <v>0.11914062257814291</v>
      </c>
      <c r="AL2082" s="17"/>
      <c r="AM2082" s="17"/>
      <c r="AN2082" s="17"/>
      <c r="AO2082" s="17"/>
      <c r="AP2082" s="28" t="str">
        <f t="shared" si="613"/>
        <v>CancelCancel</v>
      </c>
      <c r="AQ2082" s="28" t="str">
        <f t="shared" si="614"/>
        <v>CancelCancelJPY</v>
      </c>
      <c r="AR2082" s="206" t="str">
        <f t="shared" si="615"/>
        <v>YAMAHA_Mounter</v>
      </c>
      <c r="AS2082" s="22" t="str">
        <f t="shared" si="616"/>
        <v/>
      </c>
      <c r="AT2082" s="24" t="str">
        <f t="shared" si="617"/>
        <v/>
      </c>
      <c r="AU2082" s="22" t="s">
        <v>3745</v>
      </c>
    </row>
    <row r="2083" spans="1:47" s="12" customFormat="1">
      <c r="A2083" s="33" t="str">
        <f t="shared" si="606"/>
        <v>cancel</v>
      </c>
      <c r="B2083" s="152"/>
      <c r="C2083" s="152" t="s">
        <v>185</v>
      </c>
      <c r="D2083" s="33" t="str">
        <f t="shared" si="607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608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609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618"/>
        <v>23880000</v>
      </c>
      <c r="AA2083" s="13">
        <v>7.2099999999999997E-2</v>
      </c>
      <c r="AB2083" s="21">
        <f t="shared" si="603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04"/>
        <v>499582152.5142017</v>
      </c>
      <c r="AJ2083" s="19">
        <f t="shared" si="605"/>
        <v>59520528.679470733</v>
      </c>
      <c r="AK2083" s="20">
        <f t="shared" si="612"/>
        <v>0.11914062257814291</v>
      </c>
      <c r="AL2083" s="17"/>
      <c r="AM2083" s="17"/>
      <c r="AN2083" s="17"/>
      <c r="AO2083" s="17"/>
      <c r="AP2083" s="28" t="str">
        <f t="shared" si="613"/>
        <v>CancelCancel</v>
      </c>
      <c r="AQ2083" s="28" t="str">
        <f t="shared" si="614"/>
        <v>CancelCancelJPY</v>
      </c>
      <c r="AR2083" s="206" t="str">
        <f t="shared" si="615"/>
        <v>YAMAHA_Mounter</v>
      </c>
      <c r="AS2083" s="22" t="str">
        <f t="shared" si="616"/>
        <v/>
      </c>
      <c r="AT2083" s="24" t="str">
        <f t="shared" si="617"/>
        <v/>
      </c>
      <c r="AU2083" s="22" t="s">
        <v>3745</v>
      </c>
    </row>
    <row r="2084" spans="1:47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608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609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618"/>
        <v>30000000</v>
      </c>
      <c r="AA2084" s="13">
        <v>7.0699999999999999E-2</v>
      </c>
      <c r="AB2084" s="21">
        <f t="shared" si="603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04"/>
        <v>499582152.5142017</v>
      </c>
      <c r="AJ2084" s="19">
        <f t="shared" si="605"/>
        <v>59520528.679470733</v>
      </c>
      <c r="AK2084" s="20">
        <f t="shared" si="612"/>
        <v>0.11914062257814291</v>
      </c>
      <c r="AL2084" s="17"/>
      <c r="AM2084" s="17"/>
      <c r="AN2084" s="17"/>
      <c r="AO2084" s="17"/>
      <c r="AP2084" s="28" t="str">
        <f t="shared" si="613"/>
        <v>CancelCancel</v>
      </c>
      <c r="AQ2084" s="28" t="str">
        <f t="shared" si="614"/>
        <v>CancelCancelJPY</v>
      </c>
      <c r="AR2084" s="206" t="str">
        <f t="shared" si="615"/>
        <v>YAMAHA_Mounter</v>
      </c>
      <c r="AS2084" s="22" t="str">
        <f t="shared" si="616"/>
        <v/>
      </c>
      <c r="AT2084" s="24" t="str">
        <f t="shared" si="617"/>
        <v/>
      </c>
      <c r="AU2084" s="22" t="s">
        <v>3744</v>
      </c>
    </row>
    <row r="2085" spans="1:47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608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609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618"/>
        <v>13500000</v>
      </c>
      <c r="AA2085" s="13">
        <v>7.0199999999999999E-2</v>
      </c>
      <c r="AB2085" s="21">
        <f t="shared" si="603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04"/>
        <v>499582152.5142017</v>
      </c>
      <c r="AJ2085" s="19">
        <f t="shared" si="605"/>
        <v>59520528.679470733</v>
      </c>
      <c r="AK2085" s="20">
        <f t="shared" si="612"/>
        <v>0.11914062257814291</v>
      </c>
      <c r="AL2085" s="17"/>
      <c r="AM2085" s="17"/>
      <c r="AN2085" s="17"/>
      <c r="AO2085" s="17" t="s">
        <v>614</v>
      </c>
      <c r="AP2085" s="28" t="str">
        <f t="shared" si="613"/>
        <v>CancelCancel</v>
      </c>
      <c r="AQ2085" s="28" t="str">
        <f t="shared" si="614"/>
        <v>CancelCancelJPY</v>
      </c>
      <c r="AR2085" s="206" t="str">
        <f t="shared" si="615"/>
        <v>YAMAHA_Mounter</v>
      </c>
      <c r="AS2085" s="22" t="str">
        <f t="shared" si="616"/>
        <v/>
      </c>
      <c r="AT2085" s="24" t="str">
        <f t="shared" si="617"/>
        <v/>
      </c>
      <c r="AU2085" s="22" t="s">
        <v>3744</v>
      </c>
    </row>
    <row r="2086" spans="1:47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608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609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618"/>
        <v>13500000</v>
      </c>
      <c r="AA2086" s="13">
        <v>7.2300000000000003E-2</v>
      </c>
      <c r="AB2086" s="21">
        <f t="shared" si="603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04"/>
        <v>499582152.5142017</v>
      </c>
      <c r="AJ2086" s="19">
        <f t="shared" si="605"/>
        <v>59520528.679470733</v>
      </c>
      <c r="AK2086" s="20">
        <f t="shared" si="612"/>
        <v>0.11914062257814291</v>
      </c>
      <c r="AL2086" s="17"/>
      <c r="AM2086" s="17"/>
      <c r="AN2086" s="17"/>
      <c r="AO2086" s="17"/>
      <c r="AP2086" s="28" t="str">
        <f t="shared" si="613"/>
        <v>CancelCancel</v>
      </c>
      <c r="AQ2086" s="28" t="str">
        <f t="shared" si="614"/>
        <v>CancelCancelJPY</v>
      </c>
      <c r="AR2086" s="206" t="str">
        <f t="shared" si="615"/>
        <v>YAMAHA_Mounter</v>
      </c>
      <c r="AS2086" s="22" t="str">
        <f t="shared" si="616"/>
        <v/>
      </c>
      <c r="AT2086" s="24" t="str">
        <f t="shared" si="617"/>
        <v/>
      </c>
      <c r="AU2086" s="22" t="s">
        <v>3744</v>
      </c>
    </row>
    <row r="2087" spans="1:47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608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609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618"/>
        <v>27000000</v>
      </c>
      <c r="AA2087" s="13">
        <v>7.0199999999999999E-2</v>
      </c>
      <c r="AB2087" s="21">
        <f t="shared" si="603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04"/>
        <v>499582152.5142017</v>
      </c>
      <c r="AJ2087" s="19">
        <f t="shared" si="605"/>
        <v>59520528.679470733</v>
      </c>
      <c r="AK2087" s="20">
        <f t="shared" si="612"/>
        <v>0.11914062257814291</v>
      </c>
      <c r="AL2087" s="17"/>
      <c r="AM2087" s="17"/>
      <c r="AN2087" s="17"/>
      <c r="AO2087" s="17"/>
      <c r="AP2087" s="28" t="str">
        <f t="shared" si="613"/>
        <v>CancelCancel</v>
      </c>
      <c r="AQ2087" s="28" t="str">
        <f t="shared" si="614"/>
        <v>CancelCancelJPY</v>
      </c>
      <c r="AR2087" s="206" t="str">
        <f t="shared" si="615"/>
        <v>YAMAHA_Mounter</v>
      </c>
      <c r="AS2087" s="22" t="str">
        <f t="shared" si="616"/>
        <v/>
      </c>
      <c r="AT2087" s="24" t="str">
        <f t="shared" si="617"/>
        <v/>
      </c>
      <c r="AU2087" s="22" t="s">
        <v>3744</v>
      </c>
    </row>
    <row r="2088" spans="1:47" s="12" customFormat="1">
      <c r="A2088" s="33" t="str">
        <f t="shared" si="606"/>
        <v>cancel</v>
      </c>
      <c r="B2088" s="152"/>
      <c r="C2088" s="152" t="s">
        <v>185</v>
      </c>
      <c r="D2088" s="33" t="str">
        <f t="shared" si="607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608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609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618"/>
        <v>15000000</v>
      </c>
      <c r="AA2088" s="13">
        <v>7.2300000000000003E-2</v>
      </c>
      <c r="AB2088" s="21">
        <f t="shared" si="603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04"/>
        <v>499582152.5142017</v>
      </c>
      <c r="AJ2088" s="19">
        <f t="shared" si="605"/>
        <v>59520528.679470733</v>
      </c>
      <c r="AK2088" s="20">
        <f t="shared" si="612"/>
        <v>0.11914062257814291</v>
      </c>
      <c r="AL2088" s="17"/>
      <c r="AM2088" s="17"/>
      <c r="AN2088" s="17"/>
      <c r="AO2088" s="17"/>
      <c r="AP2088" s="28" t="str">
        <f t="shared" si="613"/>
        <v>CancelCancel</v>
      </c>
      <c r="AQ2088" s="28" t="str">
        <f t="shared" si="614"/>
        <v>CancelCancelJPY</v>
      </c>
      <c r="AR2088" s="206" t="str">
        <f t="shared" si="615"/>
        <v>YAMAHA_Mounter</v>
      </c>
      <c r="AS2088" s="22" t="str">
        <f t="shared" si="616"/>
        <v/>
      </c>
      <c r="AT2088" s="24" t="str">
        <f t="shared" si="617"/>
        <v/>
      </c>
      <c r="AU2088" s="22" t="s">
        <v>3744</v>
      </c>
    </row>
    <row r="2089" spans="1:47" s="12" customFormat="1">
      <c r="A2089" s="33" t="str">
        <f t="shared" si="606"/>
        <v>cancel</v>
      </c>
      <c r="B2089" s="152"/>
      <c r="C2089" s="152" t="s">
        <v>185</v>
      </c>
      <c r="D2089" s="33" t="str">
        <f t="shared" si="607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608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609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618"/>
        <v>15000000</v>
      </c>
      <c r="AA2089" s="13">
        <v>7.2300000000000003E-2</v>
      </c>
      <c r="AB2089" s="21">
        <f t="shared" si="603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04"/>
        <v>499582152.5142017</v>
      </c>
      <c r="AJ2089" s="19">
        <f t="shared" si="605"/>
        <v>59520528.679470733</v>
      </c>
      <c r="AK2089" s="20">
        <f t="shared" si="612"/>
        <v>0.11914062257814291</v>
      </c>
      <c r="AL2089" s="17"/>
      <c r="AM2089" s="17"/>
      <c r="AN2089" s="17"/>
      <c r="AO2089" s="17"/>
      <c r="AP2089" s="28" t="str">
        <f t="shared" si="613"/>
        <v>CancelCancel</v>
      </c>
      <c r="AQ2089" s="28" t="str">
        <f t="shared" si="614"/>
        <v>CancelCancelJPY</v>
      </c>
      <c r="AR2089" s="206" t="str">
        <f t="shared" si="615"/>
        <v>YAMAHA_Mounter</v>
      </c>
      <c r="AS2089" s="22" t="str">
        <f t="shared" si="616"/>
        <v/>
      </c>
      <c r="AT2089" s="24" t="str">
        <f t="shared" si="617"/>
        <v/>
      </c>
      <c r="AU2089" s="22" t="s">
        <v>3744</v>
      </c>
    </row>
    <row r="2090" spans="1:47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609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618"/>
        <v>18550000</v>
      </c>
      <c r="AA2090" s="13">
        <v>7.22E-2</v>
      </c>
      <c r="AB2090" s="21">
        <f t="shared" si="603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04"/>
        <v>47416008.333399981</v>
      </c>
      <c r="AJ2090" s="19">
        <f t="shared" si="605"/>
        <v>6981738.4465290187</v>
      </c>
      <c r="AK2090" s="20">
        <f t="shared" si="612"/>
        <v>0.14724433143839863</v>
      </c>
      <c r="AL2090" s="17"/>
      <c r="AM2090" s="17"/>
      <c r="AN2090" s="17"/>
      <c r="AO2090" s="17"/>
      <c r="AP2090" s="28" t="str">
        <f t="shared" si="613"/>
        <v>20193</v>
      </c>
      <c r="AQ2090" s="28" t="str">
        <f t="shared" si="614"/>
        <v>20193JPY</v>
      </c>
      <c r="AR2090" s="206" t="str">
        <f t="shared" si="615"/>
        <v>YAMAHA_Mounter</v>
      </c>
      <c r="AS2090" s="22">
        <f t="shared" si="616"/>
        <v>9</v>
      </c>
      <c r="AT2090" s="24" t="str">
        <f t="shared" si="617"/>
        <v>&gt; 6 months</v>
      </c>
      <c r="AU2090" s="22" t="s">
        <v>3744</v>
      </c>
    </row>
    <row r="2091" spans="1:47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609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618"/>
        <v>12500000</v>
      </c>
      <c r="AA2091" s="13">
        <v>7.0400000000000004E-2</v>
      </c>
      <c r="AB2091" s="21">
        <f t="shared" si="603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04"/>
        <v>29840797.698275864</v>
      </c>
      <c r="AJ2091" s="19">
        <f t="shared" si="605"/>
        <v>3940167.6555448272</v>
      </c>
      <c r="AK2091" s="20">
        <f t="shared" si="612"/>
        <v>0.13203962224416277</v>
      </c>
      <c r="AL2091" s="17"/>
      <c r="AM2091" s="17"/>
      <c r="AN2091" s="17"/>
      <c r="AO2091" s="17"/>
      <c r="AP2091" s="28" t="str">
        <f t="shared" si="613"/>
        <v>201812</v>
      </c>
      <c r="AQ2091" s="28" t="str">
        <f t="shared" si="614"/>
        <v>201812JPY</v>
      </c>
      <c r="AR2091" s="206" t="str">
        <f t="shared" si="615"/>
        <v>YAMAHA_Mounter</v>
      </c>
      <c r="AS2091" s="22">
        <f t="shared" si="616"/>
        <v>1</v>
      </c>
      <c r="AT2091" s="24" t="str">
        <f t="shared" si="617"/>
        <v>0-3 months</v>
      </c>
      <c r="AU2091" s="22" t="s">
        <v>3744</v>
      </c>
    </row>
    <row r="2092" spans="1:47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609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618"/>
        <v>7300000</v>
      </c>
      <c r="AA2092" s="13">
        <v>7.5700000000000003E-2</v>
      </c>
      <c r="AB2092" s="21">
        <f t="shared" si="603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04"/>
        <v>37969334.083628319</v>
      </c>
      <c r="AJ2092" s="19">
        <f t="shared" si="605"/>
        <v>5097226.4551657084</v>
      </c>
      <c r="AK2092" s="20">
        <f t="shared" si="612"/>
        <v>0.13424587441904964</v>
      </c>
      <c r="AL2092" s="17"/>
      <c r="AM2092" s="17"/>
      <c r="AN2092" s="17"/>
      <c r="AO2092" s="17"/>
      <c r="AP2092" s="28" t="str">
        <f t="shared" si="613"/>
        <v>20208</v>
      </c>
      <c r="AQ2092" s="28" t="str">
        <f t="shared" si="614"/>
        <v>20208JPY</v>
      </c>
      <c r="AR2092" s="206" t="str">
        <f t="shared" si="615"/>
        <v>YAMAHA_Mounter</v>
      </c>
      <c r="AS2092" s="22">
        <f t="shared" si="616"/>
        <v>1</v>
      </c>
      <c r="AT2092" s="24" t="str">
        <f t="shared" si="617"/>
        <v>0-3 months</v>
      </c>
      <c r="AU2092" s="22" t="s">
        <v>3744</v>
      </c>
    </row>
    <row r="2093" spans="1:47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609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618"/>
        <v>7300000</v>
      </c>
      <c r="AA2093" s="13">
        <v>7.5700000000000003E-2</v>
      </c>
      <c r="AB2093" s="21">
        <f t="shared" si="603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04"/>
        <v>37969334.083628319</v>
      </c>
      <c r="AJ2093" s="19">
        <f t="shared" si="605"/>
        <v>5097226.4551657084</v>
      </c>
      <c r="AK2093" s="20">
        <f t="shared" si="612"/>
        <v>0.13424587441904964</v>
      </c>
      <c r="AL2093" s="17"/>
      <c r="AM2093" s="17"/>
      <c r="AN2093" s="17"/>
      <c r="AO2093" s="17"/>
      <c r="AP2093" s="28" t="str">
        <f t="shared" si="613"/>
        <v>20208</v>
      </c>
      <c r="AQ2093" s="28" t="str">
        <f t="shared" si="614"/>
        <v>20208JPY</v>
      </c>
      <c r="AR2093" s="206" t="str">
        <f t="shared" si="615"/>
        <v>YAMAHA_Mounter</v>
      </c>
      <c r="AS2093" s="22">
        <f t="shared" si="616"/>
        <v>1</v>
      </c>
      <c r="AT2093" s="24" t="str">
        <f t="shared" si="617"/>
        <v>0-3 months</v>
      </c>
      <c r="AU2093" s="22" t="s">
        <v>3744</v>
      </c>
    </row>
    <row r="2094" spans="1:47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609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618"/>
        <v>840000</v>
      </c>
      <c r="AA2094" s="13">
        <v>1.08</v>
      </c>
      <c r="AB2094" s="21">
        <f t="shared" si="603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04"/>
        <v>31017966.201968137</v>
      </c>
      <c r="AJ2094" s="19">
        <f t="shared" si="605"/>
        <v>4704250.3347305888</v>
      </c>
      <c r="AK2094" s="20">
        <f t="shared" si="612"/>
        <v>0.15166211427595458</v>
      </c>
      <c r="AL2094" s="17"/>
      <c r="AM2094" s="17"/>
      <c r="AN2094" s="17"/>
      <c r="AO2094" s="17"/>
      <c r="AP2094" s="28" t="str">
        <f t="shared" si="613"/>
        <v>202211</v>
      </c>
      <c r="AQ2094" s="28" t="str">
        <f t="shared" si="614"/>
        <v>202211RMB</v>
      </c>
      <c r="AR2094" s="206" t="str">
        <f t="shared" si="615"/>
        <v>YAMAHA_Mounter</v>
      </c>
      <c r="AS2094" s="22">
        <f t="shared" si="616"/>
        <v>1</v>
      </c>
      <c r="AT2094" s="24" t="str">
        <f t="shared" si="617"/>
        <v>0-3 months</v>
      </c>
      <c r="AU2094" s="22" t="s">
        <v>3750</v>
      </c>
    </row>
    <row r="2095" spans="1:47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609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618"/>
        <v>12500000</v>
      </c>
      <c r="AA2095" s="22">
        <v>5.4100000000000002E-2</v>
      </c>
      <c r="AB2095" s="21">
        <f t="shared" si="603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04"/>
        <v>10524262.405309737</v>
      </c>
      <c r="AJ2095" s="27">
        <f t="shared" si="605"/>
        <v>1479050.9527127435</v>
      </c>
      <c r="AK2095" s="28">
        <f t="shared" si="612"/>
        <v>0.14053725532028996</v>
      </c>
      <c r="AL2095" s="24"/>
      <c r="AM2095" s="24"/>
      <c r="AN2095" s="24"/>
      <c r="AO2095" s="24"/>
      <c r="AP2095" s="28" t="str">
        <f t="shared" si="613"/>
        <v>20242</v>
      </c>
      <c r="AQ2095" s="28" t="str">
        <f t="shared" si="614"/>
        <v>20242JPY</v>
      </c>
      <c r="AR2095" s="206" t="str">
        <f t="shared" si="615"/>
        <v>YAMAHA_Mounter</v>
      </c>
      <c r="AS2095" s="22">
        <f t="shared" si="616"/>
        <v>1</v>
      </c>
      <c r="AT2095" s="24" t="str">
        <f t="shared" si="617"/>
        <v>0-3 months</v>
      </c>
      <c r="AU2095" s="22" t="s">
        <v>3744</v>
      </c>
    </row>
    <row r="2096" spans="1:47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609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618"/>
        <v>10000000</v>
      </c>
      <c r="AA2096" s="13">
        <v>0.06</v>
      </c>
      <c r="AB2096" s="21">
        <f t="shared" si="603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04"/>
        <v>30573205.452778768</v>
      </c>
      <c r="AJ2096" s="19">
        <f t="shared" si="605"/>
        <v>3790930.1683151261</v>
      </c>
      <c r="AK2096" s="20">
        <f t="shared" si="612"/>
        <v>0.12399518179964254</v>
      </c>
      <c r="AL2096" s="17"/>
      <c r="AM2096" s="17"/>
      <c r="AN2096" s="17"/>
      <c r="AO2096" s="17"/>
      <c r="AP2096" s="28" t="str">
        <f t="shared" si="613"/>
        <v>20234</v>
      </c>
      <c r="AQ2096" s="28" t="str">
        <f t="shared" si="614"/>
        <v>20234JPY</v>
      </c>
      <c r="AR2096" s="206" t="str">
        <f t="shared" si="615"/>
        <v>YAMAHA_Mounter</v>
      </c>
      <c r="AS2096" s="22">
        <f t="shared" si="616"/>
        <v>0</v>
      </c>
      <c r="AT2096" s="24" t="str">
        <f t="shared" si="617"/>
        <v>0-3 months</v>
      </c>
      <c r="AU2096" s="22" t="s">
        <v>3744</v>
      </c>
    </row>
    <row r="2097" spans="1:47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609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618"/>
        <v>13800000</v>
      </c>
      <c r="AA2097" s="13">
        <v>0.06</v>
      </c>
      <c r="AB2097" s="21">
        <f t="shared" si="603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04"/>
        <v>30573205.452778768</v>
      </c>
      <c r="AJ2097" s="19">
        <f t="shared" si="605"/>
        <v>3790930.1683151261</v>
      </c>
      <c r="AK2097" s="20">
        <f t="shared" si="612"/>
        <v>0.12399518179964254</v>
      </c>
      <c r="AL2097" s="17"/>
      <c r="AM2097" s="17"/>
      <c r="AN2097" s="17"/>
      <c r="AO2097" s="17"/>
      <c r="AP2097" s="28" t="str">
        <f t="shared" si="613"/>
        <v>20234</v>
      </c>
      <c r="AQ2097" s="28" t="str">
        <f t="shared" si="614"/>
        <v>20234JPY</v>
      </c>
      <c r="AR2097" s="206" t="str">
        <f t="shared" si="615"/>
        <v>YAMAHA_Mounter</v>
      </c>
      <c r="AS2097" s="22">
        <f t="shared" si="616"/>
        <v>0</v>
      </c>
      <c r="AT2097" s="24" t="str">
        <f t="shared" si="617"/>
        <v>0-3 months</v>
      </c>
      <c r="AU2097" s="22" t="s">
        <v>3744</v>
      </c>
    </row>
    <row r="2098" spans="1:47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609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618"/>
        <v>8800000</v>
      </c>
      <c r="AA2098" s="13">
        <v>7.2099999999999997E-2</v>
      </c>
      <c r="AB2098" s="21">
        <f t="shared" si="603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04"/>
        <v>54700260.692079648</v>
      </c>
      <c r="AJ2098" s="19">
        <f t="shared" si="605"/>
        <v>7482899.5749188727</v>
      </c>
      <c r="AK2098" s="20">
        <f t="shared" si="612"/>
        <v>0.13679824337660537</v>
      </c>
      <c r="AL2098" s="17"/>
      <c r="AM2098" s="17"/>
      <c r="AN2098" s="17"/>
      <c r="AO2098" s="17"/>
      <c r="AP2098" s="28" t="str">
        <f t="shared" si="613"/>
        <v>20216</v>
      </c>
      <c r="AQ2098" s="28" t="str">
        <f t="shared" si="614"/>
        <v>20216JPY</v>
      </c>
      <c r="AR2098" s="206" t="str">
        <f t="shared" si="615"/>
        <v>YAMAHA_Mounter</v>
      </c>
      <c r="AS2098" s="22">
        <f t="shared" si="616"/>
        <v>1</v>
      </c>
      <c r="AT2098" s="24" t="str">
        <f t="shared" si="617"/>
        <v>0-3 months</v>
      </c>
      <c r="AU2098" s="22" t="s">
        <v>3745</v>
      </c>
    </row>
    <row r="2099" spans="1:47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609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618"/>
        <v>13000000</v>
      </c>
      <c r="AA2099" s="13">
        <v>6.9199999999999998E-2</v>
      </c>
      <c r="AB2099" s="21">
        <f t="shared" si="603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04"/>
        <v>28726768.133805312</v>
      </c>
      <c r="AJ2099" s="19">
        <f t="shared" si="605"/>
        <v>3853638.1988864429</v>
      </c>
      <c r="AK2099" s="20">
        <f t="shared" si="612"/>
        <v>0.1341479898099476</v>
      </c>
      <c r="AL2099" s="17"/>
      <c r="AM2099" s="17"/>
      <c r="AN2099" s="17"/>
      <c r="AO2099" s="17"/>
      <c r="AP2099" s="28" t="str">
        <f t="shared" si="613"/>
        <v>20223</v>
      </c>
      <c r="AQ2099" s="28" t="str">
        <f t="shared" si="614"/>
        <v>20223JPY</v>
      </c>
      <c r="AR2099" s="206" t="str">
        <f t="shared" si="615"/>
        <v>YAMAHA_Mounter</v>
      </c>
      <c r="AS2099" s="22">
        <f t="shared" si="616"/>
        <v>10</v>
      </c>
      <c r="AT2099" s="24" t="str">
        <f t="shared" si="617"/>
        <v>&gt; 6 months</v>
      </c>
      <c r="AU2099" s="22" t="s">
        <v>3745</v>
      </c>
    </row>
    <row r="2100" spans="1:47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609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618"/>
        <v>10800000</v>
      </c>
      <c r="AA2100" s="13">
        <v>7.2999999999999995E-2</v>
      </c>
      <c r="AB2100" s="21">
        <f t="shared" si="603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04"/>
        <v>23168285.927433632</v>
      </c>
      <c r="AJ2100" s="19">
        <f t="shared" si="605"/>
        <v>2764878.916878053</v>
      </c>
      <c r="AK2100" s="20">
        <f t="shared" si="612"/>
        <v>0.11933895004309111</v>
      </c>
      <c r="AL2100" s="17"/>
      <c r="AM2100" s="17"/>
      <c r="AN2100" s="17"/>
      <c r="AO2100" s="17"/>
      <c r="AP2100" s="28" t="str">
        <f t="shared" si="613"/>
        <v>20203</v>
      </c>
      <c r="AQ2100" s="28" t="str">
        <f t="shared" si="614"/>
        <v>20203JPY</v>
      </c>
      <c r="AR2100" s="206" t="str">
        <f t="shared" si="615"/>
        <v>YAMAHA_Mounter</v>
      </c>
      <c r="AS2100" s="22">
        <f t="shared" si="616"/>
        <v>0</v>
      </c>
      <c r="AT2100" s="24" t="str">
        <f t="shared" si="617"/>
        <v>0-3 months</v>
      </c>
      <c r="AU2100" s="22" t="s">
        <v>3744</v>
      </c>
    </row>
    <row r="2101" spans="1:47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609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618"/>
        <v>523000</v>
      </c>
      <c r="AA2101" s="13">
        <v>1.077</v>
      </c>
      <c r="AB2101" s="21">
        <f t="shared" si="603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04"/>
        <v>26078226.463097349</v>
      </c>
      <c r="AJ2101" s="19">
        <f t="shared" si="605"/>
        <v>3137870.4427774516</v>
      </c>
      <c r="AK2101" s="20">
        <f t="shared" si="612"/>
        <v>0.12032530077218917</v>
      </c>
      <c r="AL2101" s="17"/>
      <c r="AM2101" s="17"/>
      <c r="AN2101" s="17"/>
      <c r="AO2101" s="17"/>
      <c r="AP2101" s="28" t="str">
        <f t="shared" si="613"/>
        <v>20239</v>
      </c>
      <c r="AQ2101" s="28" t="str">
        <f t="shared" si="614"/>
        <v>20239RMB</v>
      </c>
      <c r="AR2101" s="206" t="str">
        <f t="shared" si="615"/>
        <v>YAMAHA_Mounter</v>
      </c>
      <c r="AS2101" s="22">
        <f t="shared" si="616"/>
        <v>2</v>
      </c>
      <c r="AT2101" s="24" t="str">
        <f t="shared" si="617"/>
        <v>0-3 months</v>
      </c>
      <c r="AU2101" s="22" t="s">
        <v>3750</v>
      </c>
    </row>
    <row r="2102" spans="1:47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609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618"/>
        <v>523000</v>
      </c>
      <c r="AA2102" s="13">
        <v>1.077</v>
      </c>
      <c r="AB2102" s="21">
        <f t="shared" ref="AB2102:AB2165" si="620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04"/>
        <v>26078226.463097349</v>
      </c>
      <c r="AJ2102" s="19">
        <f t="shared" si="605"/>
        <v>3137870.4427774516</v>
      </c>
      <c r="AK2102" s="20">
        <f t="shared" si="612"/>
        <v>0.12032530077218917</v>
      </c>
      <c r="AL2102" s="17"/>
      <c r="AM2102" s="17"/>
      <c r="AN2102" s="17"/>
      <c r="AO2102" s="17"/>
      <c r="AP2102" s="28" t="str">
        <f t="shared" si="613"/>
        <v>20239</v>
      </c>
      <c r="AQ2102" s="28" t="str">
        <f t="shared" si="614"/>
        <v>20239RMB</v>
      </c>
      <c r="AR2102" s="206" t="str">
        <f t="shared" si="615"/>
        <v>YAMAHA_Mounter</v>
      </c>
      <c r="AS2102" s="22">
        <f t="shared" si="616"/>
        <v>2</v>
      </c>
      <c r="AT2102" s="24" t="str">
        <f t="shared" si="617"/>
        <v>0-3 months</v>
      </c>
      <c r="AU2102" s="22" t="s">
        <v>3750</v>
      </c>
    </row>
    <row r="2103" spans="1:47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609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618"/>
        <v>136000</v>
      </c>
      <c r="AA2103" s="13">
        <v>7.8</v>
      </c>
      <c r="AB2103" s="21">
        <f t="shared" si="620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04"/>
        <v>31750699.113741599</v>
      </c>
      <c r="AJ2103" s="19">
        <f t="shared" si="605"/>
        <v>4396077.3195289988</v>
      </c>
      <c r="AK2103" s="20">
        <f t="shared" si="612"/>
        <v>0.13845607946397598</v>
      </c>
      <c r="AL2103" s="17"/>
      <c r="AM2103" s="17"/>
      <c r="AN2103" s="17"/>
      <c r="AO2103" s="17"/>
      <c r="AP2103" s="28" t="str">
        <f t="shared" si="613"/>
        <v>20222</v>
      </c>
      <c r="AQ2103" s="28" t="str">
        <f t="shared" si="614"/>
        <v>20222USD</v>
      </c>
      <c r="AR2103" s="206" t="str">
        <f t="shared" si="615"/>
        <v>PEMTRON</v>
      </c>
      <c r="AS2103" s="22">
        <f t="shared" si="616"/>
        <v>5</v>
      </c>
      <c r="AT2103" s="24" t="str">
        <f t="shared" si="617"/>
        <v>4-6 months</v>
      </c>
      <c r="AU2103" s="22" t="s">
        <v>3240</v>
      </c>
    </row>
    <row r="2104" spans="1:47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609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618"/>
        <v>113500</v>
      </c>
      <c r="AA2104" s="13">
        <v>7.8</v>
      </c>
      <c r="AB2104" s="21">
        <f t="shared" si="620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04"/>
        <v>13640480.497522123</v>
      </c>
      <c r="AJ2104" s="19">
        <f t="shared" si="605"/>
        <v>1928605.8020906283</v>
      </c>
      <c r="AK2104" s="20">
        <f t="shared" si="612"/>
        <v>0.1413884065477731</v>
      </c>
      <c r="AL2104" s="17"/>
      <c r="AM2104" s="17"/>
      <c r="AN2104" s="17"/>
      <c r="AO2104" s="17"/>
      <c r="AP2104" s="28" t="str">
        <f t="shared" si="613"/>
        <v>20236</v>
      </c>
      <c r="AQ2104" s="28" t="str">
        <f t="shared" si="614"/>
        <v>20236USD</v>
      </c>
      <c r="AR2104" s="206" t="str">
        <f t="shared" si="615"/>
        <v>PEMTRON</v>
      </c>
      <c r="AS2104" s="22">
        <f t="shared" si="616"/>
        <v>3</v>
      </c>
      <c r="AT2104" s="24" t="str">
        <f t="shared" si="617"/>
        <v>0-3 months</v>
      </c>
      <c r="AU2104" s="22" t="s">
        <v>3240</v>
      </c>
    </row>
    <row r="2105" spans="1:47" s="12" customFormat="1">
      <c r="A2105" s="33" t="str">
        <f t="shared" si="606"/>
        <v>cancel</v>
      </c>
      <c r="B2105" s="152"/>
      <c r="C2105" s="152" t="s">
        <v>185</v>
      </c>
      <c r="D2105" s="33" t="str">
        <f t="shared" si="607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608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609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618"/>
        <v>12914000</v>
      </c>
      <c r="AA2105" s="13">
        <v>7.2800000000000004E-2</v>
      </c>
      <c r="AB2105" s="21">
        <f t="shared" si="620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04"/>
        <v>499582152.5142017</v>
      </c>
      <c r="AJ2105" s="19">
        <f t="shared" si="605"/>
        <v>59520528.679470733</v>
      </c>
      <c r="AK2105" s="20">
        <f t="shared" si="612"/>
        <v>0.11914062257814291</v>
      </c>
      <c r="AL2105" s="17"/>
      <c r="AM2105" s="17"/>
      <c r="AN2105" s="17"/>
      <c r="AO2105" s="17"/>
      <c r="AP2105" s="28" t="str">
        <f t="shared" si="613"/>
        <v>CancelCANCEL</v>
      </c>
      <c r="AQ2105" s="28" t="str">
        <f t="shared" si="614"/>
        <v>CancelCANCELJPY</v>
      </c>
      <c r="AR2105" s="206" t="str">
        <f t="shared" si="615"/>
        <v>YAMAHA_Mounter</v>
      </c>
      <c r="AS2105" s="22" t="str">
        <f t="shared" si="616"/>
        <v/>
      </c>
      <c r="AT2105" s="24" t="str">
        <f t="shared" si="617"/>
        <v/>
      </c>
      <c r="AU2105" s="22" t="s">
        <v>3744</v>
      </c>
    </row>
    <row r="2106" spans="1:47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609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618"/>
        <v>8900000</v>
      </c>
      <c r="AA2106" s="13">
        <v>7.2800000000000004E-2</v>
      </c>
      <c r="AB2106" s="21">
        <f t="shared" si="620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04"/>
        <v>63006605.696460173</v>
      </c>
      <c r="AJ2106" s="19">
        <f t="shared" si="605"/>
        <v>8897485.660753984</v>
      </c>
      <c r="AK2106" s="20">
        <f t="shared" si="612"/>
        <v>0.141215124388995</v>
      </c>
      <c r="AL2106" s="17"/>
      <c r="AM2106" s="17"/>
      <c r="AN2106" s="17"/>
      <c r="AO2106" s="17"/>
      <c r="AP2106" s="28" t="str">
        <f t="shared" si="613"/>
        <v>20215</v>
      </c>
      <c r="AQ2106" s="28" t="str">
        <f t="shared" si="614"/>
        <v>20215JPY</v>
      </c>
      <c r="AR2106" s="206" t="str">
        <f t="shared" si="615"/>
        <v>YAMAHA_Mounter</v>
      </c>
      <c r="AS2106" s="22">
        <f t="shared" si="616"/>
        <v>4</v>
      </c>
      <c r="AT2106" s="24" t="str">
        <f t="shared" si="617"/>
        <v>4-6 months</v>
      </c>
      <c r="AU2106" s="22" t="s">
        <v>3744</v>
      </c>
    </row>
    <row r="2107" spans="1:47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609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618"/>
        <v>12000000</v>
      </c>
      <c r="AA2107" s="13">
        <v>7.2800000000000004E-2</v>
      </c>
      <c r="AB2107" s="21">
        <f t="shared" si="620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04"/>
        <v>63006605.696460173</v>
      </c>
      <c r="AJ2107" s="19">
        <f t="shared" si="605"/>
        <v>8897485.660753984</v>
      </c>
      <c r="AK2107" s="20">
        <f t="shared" si="612"/>
        <v>0.141215124388995</v>
      </c>
      <c r="AL2107" s="17"/>
      <c r="AM2107" s="17"/>
      <c r="AN2107" s="17"/>
      <c r="AO2107" s="17"/>
      <c r="AP2107" s="28" t="str">
        <f t="shared" si="613"/>
        <v>20215</v>
      </c>
      <c r="AQ2107" s="28" t="str">
        <f t="shared" si="614"/>
        <v>20215JPY</v>
      </c>
      <c r="AR2107" s="206" t="str">
        <f t="shared" si="615"/>
        <v>YAMAHA_Mounter</v>
      </c>
      <c r="AS2107" s="22">
        <f t="shared" si="616"/>
        <v>4</v>
      </c>
      <c r="AT2107" s="24" t="str">
        <f t="shared" si="617"/>
        <v>4-6 months</v>
      </c>
      <c r="AU2107" s="22" t="s">
        <v>3744</v>
      </c>
    </row>
    <row r="2108" spans="1:47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608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609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618"/>
        <v>8400000</v>
      </c>
      <c r="AA2108" s="13">
        <v>5.4199999999999998E-2</v>
      </c>
      <c r="AB2108" s="21">
        <f t="shared" si="620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04"/>
        <v>499582152.5142017</v>
      </c>
      <c r="AJ2108" s="19">
        <f t="shared" si="605"/>
        <v>59520528.679470733</v>
      </c>
      <c r="AK2108" s="20">
        <f t="shared" si="612"/>
        <v>0.11914062257814291</v>
      </c>
      <c r="AL2108" s="17"/>
      <c r="AM2108" s="17"/>
      <c r="AN2108" s="17"/>
      <c r="AO2108" s="17"/>
      <c r="AP2108" s="28" t="str">
        <f t="shared" si="613"/>
        <v>CancelCancel</v>
      </c>
      <c r="AQ2108" s="28" t="str">
        <f t="shared" si="614"/>
        <v>CancelCancelJPY</v>
      </c>
      <c r="AR2108" s="206" t="str">
        <f t="shared" si="615"/>
        <v>YAMAHA_Mounter</v>
      </c>
      <c r="AS2108" s="22" t="str">
        <f t="shared" si="616"/>
        <v/>
      </c>
      <c r="AT2108" s="24" t="str">
        <f t="shared" si="617"/>
        <v/>
      </c>
      <c r="AU2108" s="22" t="s">
        <v>3744</v>
      </c>
    </row>
    <row r="2109" spans="1:47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608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609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618"/>
        <v>14000000</v>
      </c>
      <c r="AA2109" s="13">
        <v>5.4199999999999998E-2</v>
      </c>
      <c r="AB2109" s="21">
        <f t="shared" si="620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04"/>
        <v>499582152.5142017</v>
      </c>
      <c r="AJ2109" s="19">
        <f t="shared" si="605"/>
        <v>59520528.679470733</v>
      </c>
      <c r="AK2109" s="20">
        <f t="shared" si="612"/>
        <v>0.11914062257814291</v>
      </c>
      <c r="AL2109" s="17"/>
      <c r="AM2109" s="17"/>
      <c r="AN2109" s="17"/>
      <c r="AO2109" s="17"/>
      <c r="AP2109" s="28" t="str">
        <f t="shared" si="613"/>
        <v>CancelCancel</v>
      </c>
      <c r="AQ2109" s="28" t="str">
        <f t="shared" si="614"/>
        <v>CancelCancelJPY</v>
      </c>
      <c r="AR2109" s="206" t="str">
        <f t="shared" si="615"/>
        <v>YAMAHA_Mounter</v>
      </c>
      <c r="AS2109" s="22" t="str">
        <f t="shared" si="616"/>
        <v/>
      </c>
      <c r="AT2109" s="24" t="str">
        <f t="shared" si="617"/>
        <v/>
      </c>
      <c r="AU2109" s="22" t="s">
        <v>3744</v>
      </c>
    </row>
    <row r="2110" spans="1:47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609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618"/>
        <v>788888</v>
      </c>
      <c r="AA2110" s="22">
        <v>1.08</v>
      </c>
      <c r="AB2110" s="21">
        <f t="shared" si="620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04"/>
        <v>27308925.887079656</v>
      </c>
      <c r="AJ2110" s="27">
        <f t="shared" si="605"/>
        <v>3319273.860338124</v>
      </c>
      <c r="AK2110" s="28">
        <f t="shared" si="612"/>
        <v>0.12154538314919709</v>
      </c>
      <c r="AL2110" s="24"/>
      <c r="AM2110" s="24"/>
      <c r="AN2110" s="24"/>
      <c r="AO2110" s="24"/>
      <c r="AP2110" s="28" t="str">
        <f t="shared" si="613"/>
        <v>20246</v>
      </c>
      <c r="AQ2110" s="28" t="str">
        <f t="shared" si="614"/>
        <v>20246RMB</v>
      </c>
      <c r="AR2110" s="206" t="str">
        <f t="shared" si="615"/>
        <v>YAMAHA_Mounter</v>
      </c>
      <c r="AS2110" s="22">
        <f t="shared" si="616"/>
        <v>3</v>
      </c>
      <c r="AT2110" s="24" t="str">
        <f t="shared" si="617"/>
        <v>0-3 months</v>
      </c>
      <c r="AU2110" s="22" t="s">
        <v>3750</v>
      </c>
    </row>
    <row r="2111" spans="1:47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609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618"/>
        <v>595556</v>
      </c>
      <c r="AA2111" s="22">
        <v>1.08</v>
      </c>
      <c r="AB2111" s="21">
        <f t="shared" si="620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04"/>
        <v>27308925.887079656</v>
      </c>
      <c r="AJ2111" s="27">
        <f t="shared" si="605"/>
        <v>3319273.860338124</v>
      </c>
      <c r="AK2111" s="28">
        <f t="shared" si="612"/>
        <v>0.12154538314919709</v>
      </c>
      <c r="AL2111" s="24"/>
      <c r="AM2111" s="24"/>
      <c r="AN2111" s="24"/>
      <c r="AO2111" s="24"/>
      <c r="AP2111" s="28" t="str">
        <f t="shared" si="613"/>
        <v>20246</v>
      </c>
      <c r="AQ2111" s="28" t="str">
        <f t="shared" si="614"/>
        <v>20246RMB</v>
      </c>
      <c r="AR2111" s="206" t="str">
        <f t="shared" si="615"/>
        <v>YAMAHA_Mounter</v>
      </c>
      <c r="AS2111" s="22">
        <f t="shared" si="616"/>
        <v>3</v>
      </c>
      <c r="AT2111" s="24" t="str">
        <f t="shared" si="617"/>
        <v>0-3 months</v>
      </c>
      <c r="AU2111" s="22" t="s">
        <v>3750</v>
      </c>
    </row>
    <row r="2112" spans="1:47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609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618"/>
        <v>12365000</v>
      </c>
      <c r="AA2112" s="13">
        <v>7.5700000000000003E-2</v>
      </c>
      <c r="AB2112" s="21">
        <f t="shared" si="620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04"/>
        <v>37969334.083628319</v>
      </c>
      <c r="AJ2112" s="19">
        <f t="shared" si="605"/>
        <v>5097226.4551657084</v>
      </c>
      <c r="AK2112" s="20">
        <f t="shared" si="612"/>
        <v>0.13424587441904964</v>
      </c>
      <c r="AL2112" s="17"/>
      <c r="AM2112" s="17"/>
      <c r="AN2112" s="17"/>
      <c r="AO2112" s="17"/>
      <c r="AP2112" s="28" t="str">
        <f t="shared" si="613"/>
        <v>20208</v>
      </c>
      <c r="AQ2112" s="28" t="str">
        <f t="shared" si="614"/>
        <v>20208JPY</v>
      </c>
      <c r="AR2112" s="206" t="str">
        <f t="shared" si="615"/>
        <v>YAMAHA_Mounter</v>
      </c>
      <c r="AS2112" s="22">
        <f t="shared" si="616"/>
        <v>1</v>
      </c>
      <c r="AT2112" s="24" t="str">
        <f t="shared" si="617"/>
        <v>0-3 months</v>
      </c>
      <c r="AU2112" s="22" t="s">
        <v>3744</v>
      </c>
    </row>
    <row r="2113" spans="1:47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609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618"/>
        <v>12575000</v>
      </c>
      <c r="AA2113" s="13">
        <v>7.6799999999999993E-2</v>
      </c>
      <c r="AB2113" s="21">
        <f t="shared" si="620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04"/>
        <v>45803245.025628321</v>
      </c>
      <c r="AJ2113" s="19">
        <f t="shared" si="605"/>
        <v>5664636.2584379362</v>
      </c>
      <c r="AK2113" s="20">
        <f t="shared" si="612"/>
        <v>0.12367325186825515</v>
      </c>
      <c r="AL2113" s="17"/>
      <c r="AM2113" s="17"/>
      <c r="AN2113" s="17"/>
      <c r="AO2113" s="17" t="s">
        <v>1512</v>
      </c>
      <c r="AP2113" s="28" t="str">
        <f t="shared" si="613"/>
        <v>20211</v>
      </c>
      <c r="AQ2113" s="28" t="str">
        <f t="shared" si="614"/>
        <v>20211JPY</v>
      </c>
      <c r="AR2113" s="206" t="str">
        <f t="shared" si="615"/>
        <v>YAMAHA_Mounter</v>
      </c>
      <c r="AS2113" s="22">
        <f t="shared" si="616"/>
        <v>3</v>
      </c>
      <c r="AT2113" s="24" t="str">
        <f t="shared" si="617"/>
        <v>0-3 months</v>
      </c>
      <c r="AU2113" s="22" t="s">
        <v>3744</v>
      </c>
    </row>
    <row r="2114" spans="1:47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609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618"/>
        <v>13990000</v>
      </c>
      <c r="AA2114" s="13">
        <v>5.8700000000000002E-2</v>
      </c>
      <c r="AB2114" s="21">
        <f t="shared" si="620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ref="AI2114:AI2177" si="621">IF(P2114="C66 SERVICE","",SUMIFS(AB:AB,F:F,F2114,G:G,G2114,E:E,E2114))</f>
        <v>36480247.665929198</v>
      </c>
      <c r="AJ2114" s="19">
        <f t="shared" ref="AJ2114:AJ2177" si="622">IF(P2114="C66 SERVICE","",SUMIFS(AC:AC,F:F,F2114,G:G,G2114,E:E,E2114))</f>
        <v>5330996.6372757526</v>
      </c>
      <c r="AK2114" s="20">
        <f t="shared" si="612"/>
        <v>0.14613378412599562</v>
      </c>
      <c r="AL2114" s="17"/>
      <c r="AM2114" s="17"/>
      <c r="AN2114" s="17"/>
      <c r="AO2114" s="17"/>
      <c r="AP2114" s="28" t="str">
        <f t="shared" si="613"/>
        <v>20227</v>
      </c>
      <c r="AQ2114" s="28" t="str">
        <f t="shared" si="614"/>
        <v>20227JPY</v>
      </c>
      <c r="AR2114" s="206" t="str">
        <f t="shared" si="615"/>
        <v>YAMAHA_Mounter</v>
      </c>
      <c r="AS2114" s="22">
        <f t="shared" si="616"/>
        <v>4</v>
      </c>
      <c r="AT2114" s="24" t="str">
        <f t="shared" si="617"/>
        <v>4-6 months</v>
      </c>
      <c r="AU2114" s="22" t="s">
        <v>3744</v>
      </c>
    </row>
    <row r="2115" spans="1:47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609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618"/>
        <v>480000</v>
      </c>
      <c r="AA2115" s="13">
        <v>1.0920000000000001</v>
      </c>
      <c r="AB2115" s="21">
        <f t="shared" si="620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21"/>
        <v>22953677.784070797</v>
      </c>
      <c r="AJ2115" s="19">
        <f t="shared" si="622"/>
        <v>4168706.6744155753</v>
      </c>
      <c r="AK2115" s="20">
        <f t="shared" si="612"/>
        <v>0.18161388835511752</v>
      </c>
      <c r="AL2115" s="17"/>
      <c r="AM2115" s="17"/>
      <c r="AN2115" s="17"/>
      <c r="AO2115" s="17"/>
      <c r="AP2115" s="28" t="str">
        <f t="shared" si="613"/>
        <v>20238</v>
      </c>
      <c r="AQ2115" s="28" t="str">
        <f t="shared" si="614"/>
        <v>20238RMB</v>
      </c>
      <c r="AR2115" s="206" t="str">
        <f t="shared" si="615"/>
        <v>YAMAHA_Mounter</v>
      </c>
      <c r="AS2115" s="22">
        <f t="shared" si="616"/>
        <v>0</v>
      </c>
      <c r="AT2115" s="24" t="str">
        <f t="shared" si="617"/>
        <v>0-3 months</v>
      </c>
      <c r="AU2115" s="22" t="s">
        <v>3240</v>
      </c>
    </row>
    <row r="2116" spans="1:47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609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618"/>
        <v>700000</v>
      </c>
      <c r="AA2116" s="13">
        <v>1.22</v>
      </c>
      <c r="AB2116" s="21">
        <f t="shared" si="620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21"/>
        <v>46600814.041769907</v>
      </c>
      <c r="AJ2116" s="19">
        <f t="shared" si="622"/>
        <v>5956366.3435927071</v>
      </c>
      <c r="AK2116" s="20">
        <f t="shared" si="612"/>
        <v>0.1278167874546958</v>
      </c>
      <c r="AL2116" s="17"/>
      <c r="AM2116" s="17"/>
      <c r="AN2116" s="17"/>
      <c r="AO2116" s="17"/>
      <c r="AP2116" s="28" t="str">
        <f t="shared" si="613"/>
        <v>20224</v>
      </c>
      <c r="AQ2116" s="28" t="str">
        <f t="shared" si="614"/>
        <v>20224RMB</v>
      </c>
      <c r="AR2116" s="206" t="str">
        <f t="shared" si="615"/>
        <v>YAMAHA_Non_Mounter</v>
      </c>
      <c r="AS2116" s="22">
        <f t="shared" si="616"/>
        <v>1</v>
      </c>
      <c r="AT2116" s="24" t="str">
        <f t="shared" si="617"/>
        <v>0-3 months</v>
      </c>
      <c r="AU2116" s="22" t="s">
        <v>3240</v>
      </c>
    </row>
    <row r="2117" spans="1:47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609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618"/>
        <v>580000</v>
      </c>
      <c r="AA2117" s="13">
        <v>1.095</v>
      </c>
      <c r="AB2117" s="21">
        <f t="shared" si="620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21"/>
        <v>33477255.428389374</v>
      </c>
      <c r="AJ2117" s="19">
        <f t="shared" si="622"/>
        <v>4578663.362915583</v>
      </c>
      <c r="AK2117" s="20">
        <f t="shared" si="612"/>
        <v>0.13676937682988152</v>
      </c>
      <c r="AL2117" s="17"/>
      <c r="AM2117" s="17"/>
      <c r="AN2117" s="17"/>
      <c r="AO2117" s="17"/>
      <c r="AP2117" s="28" t="str">
        <f t="shared" si="613"/>
        <v>20204</v>
      </c>
      <c r="AQ2117" s="28" t="str">
        <f t="shared" si="614"/>
        <v>20204RMB</v>
      </c>
      <c r="AR2117" s="206" t="str">
        <f t="shared" si="615"/>
        <v>YAMAHA_Mounter</v>
      </c>
      <c r="AS2117" s="22">
        <f t="shared" si="616"/>
        <v>1</v>
      </c>
      <c r="AT2117" s="24" t="str">
        <f t="shared" si="617"/>
        <v>0-3 months</v>
      </c>
      <c r="AU2117" s="22" t="s">
        <v>3240</v>
      </c>
    </row>
    <row r="2118" spans="1:47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618"/>
        <v>770000</v>
      </c>
      <c r="AA2118" s="13">
        <v>1.095</v>
      </c>
      <c r="AB2118" s="21">
        <f t="shared" si="620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si="621"/>
        <v>33477255.428389374</v>
      </c>
      <c r="AJ2118" s="19">
        <f t="shared" si="622"/>
        <v>4578663.362915583</v>
      </c>
      <c r="AK2118" s="20">
        <f t="shared" ref="AK2118:AK2181" si="629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0">IF(F2118="","",F2118&amp;G2118)</f>
        <v>20204</v>
      </c>
      <c r="AQ2118" s="28" t="str">
        <f t="shared" ref="AQ2118:AQ2181" si="631">IF(W2118="","",F2118&amp;G2118&amp;W2118)</f>
        <v>20204RMB</v>
      </c>
      <c r="AR2118" s="206" t="str">
        <f t="shared" ref="AR2118:AR2181" si="632">IFERROR(IF(AND(M2118="YAMAHA", R2118="C28"), "YAMAHA_Non_Mounter", IF(AND(M2118="YAMAHA", R2118="C49"), "YAMAHA_Mounter", M2118)),"")</f>
        <v>YAMAHA_Mounter</v>
      </c>
      <c r="AS2118" s="22">
        <f t="shared" ref="AS2118:AS2181" si="633">IFERROR(IF(OR(G2118="TBA", G2118=""), "", DATEDIF(DATE(B2118, C2118, 1), DATE(F2118, G2118, 1), "M")),"")</f>
        <v>0</v>
      </c>
      <c r="AT2118" s="24" t="str">
        <f t="shared" ref="AT2118:AT2181" si="634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626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618"/>
        <v>1133889</v>
      </c>
      <c r="AA2119" s="13">
        <v>1.08</v>
      </c>
      <c r="AB2119" s="21">
        <f t="shared" si="620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1"/>
        <v>31017966.201968137</v>
      </c>
      <c r="AJ2119" s="19">
        <f t="shared" si="622"/>
        <v>4704250.3347305888</v>
      </c>
      <c r="AK2119" s="20">
        <f t="shared" si="629"/>
        <v>0.15166211427595458</v>
      </c>
      <c r="AL2119" s="17"/>
      <c r="AM2119" s="17"/>
      <c r="AN2119" s="17"/>
      <c r="AO2119" s="17"/>
      <c r="AP2119" s="28" t="str">
        <f t="shared" si="630"/>
        <v>202211</v>
      </c>
      <c r="AQ2119" s="28" t="str">
        <f t="shared" si="631"/>
        <v>202211RMB</v>
      </c>
      <c r="AR2119" s="206" t="str">
        <f t="shared" si="632"/>
        <v>YAMAHA_Mounter</v>
      </c>
      <c r="AS2119" s="22">
        <f t="shared" si="633"/>
        <v>3</v>
      </c>
      <c r="AT2119" s="24" t="str">
        <f t="shared" si="634"/>
        <v>0-3 months</v>
      </c>
      <c r="AU2119" s="22" t="s">
        <v>3240</v>
      </c>
    </row>
    <row r="2120" spans="1:47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626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618"/>
        <v>545000</v>
      </c>
      <c r="AA2120" s="13">
        <v>1.08</v>
      </c>
      <c r="AB2120" s="21">
        <f t="shared" si="620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1"/>
        <v>31017966.201968137</v>
      </c>
      <c r="AJ2120" s="19">
        <f t="shared" si="622"/>
        <v>4704250.3347305888</v>
      </c>
      <c r="AK2120" s="20">
        <f t="shared" si="629"/>
        <v>0.15166211427595458</v>
      </c>
      <c r="AL2120" s="17"/>
      <c r="AM2120" s="17"/>
      <c r="AN2120" s="17"/>
      <c r="AO2120" s="17"/>
      <c r="AP2120" s="28" t="str">
        <f t="shared" si="630"/>
        <v>202211</v>
      </c>
      <c r="AQ2120" s="28" t="str">
        <f t="shared" si="631"/>
        <v>202211RMB</v>
      </c>
      <c r="AR2120" s="206" t="str">
        <f t="shared" si="632"/>
        <v>YAMAHA_Mounter</v>
      </c>
      <c r="AS2120" s="22">
        <f t="shared" si="633"/>
        <v>3</v>
      </c>
      <c r="AT2120" s="24" t="str">
        <f t="shared" si="634"/>
        <v>0-3 months</v>
      </c>
      <c r="AU2120" s="22" t="s">
        <v>3240</v>
      </c>
    </row>
    <row r="2121" spans="1:47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626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618"/>
        <v>680000</v>
      </c>
      <c r="AA2121" s="13">
        <v>1.08</v>
      </c>
      <c r="AB2121" s="21">
        <f t="shared" si="620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1"/>
        <v>31017966.201968137</v>
      </c>
      <c r="AJ2121" s="19">
        <f t="shared" si="622"/>
        <v>4704250.3347305888</v>
      </c>
      <c r="AK2121" s="20">
        <f t="shared" si="629"/>
        <v>0.15166211427595458</v>
      </c>
      <c r="AL2121" s="17"/>
      <c r="AM2121" s="17"/>
      <c r="AN2121" s="17"/>
      <c r="AO2121" s="17"/>
      <c r="AP2121" s="28" t="str">
        <f t="shared" si="630"/>
        <v>202211</v>
      </c>
      <c r="AQ2121" s="28" t="str">
        <f t="shared" si="631"/>
        <v>202211RMB</v>
      </c>
      <c r="AR2121" s="206" t="str">
        <f t="shared" si="632"/>
        <v>YAMAHA_Mounter</v>
      </c>
      <c r="AS2121" s="22">
        <f t="shared" si="633"/>
        <v>3</v>
      </c>
      <c r="AT2121" s="24" t="str">
        <f t="shared" si="634"/>
        <v>0-3 months</v>
      </c>
      <c r="AU2121" s="22" t="s">
        <v>3240</v>
      </c>
    </row>
    <row r="2122" spans="1:47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626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635">IF(X2122="","",X2122*MAX(O2122,N2122))</f>
        <v>950000</v>
      </c>
      <c r="AA2122" s="13">
        <v>1.105</v>
      </c>
      <c r="AB2122" s="21">
        <f t="shared" si="620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1"/>
        <v>37969334.083628319</v>
      </c>
      <c r="AJ2122" s="19">
        <f t="shared" si="622"/>
        <v>5097226.4551657084</v>
      </c>
      <c r="AK2122" s="20">
        <f t="shared" si="629"/>
        <v>0.13424587441904964</v>
      </c>
      <c r="AL2122" s="17"/>
      <c r="AM2122" s="17"/>
      <c r="AN2122" s="17"/>
      <c r="AO2122" s="17"/>
      <c r="AP2122" s="28" t="str">
        <f t="shared" si="630"/>
        <v>20208</v>
      </c>
      <c r="AQ2122" s="28" t="str">
        <f t="shared" si="631"/>
        <v>20208RMB</v>
      </c>
      <c r="AR2122" s="206" t="str">
        <f t="shared" si="632"/>
        <v>YAMAHA_Non_Mounter</v>
      </c>
      <c r="AS2122" s="22">
        <f t="shared" si="633"/>
        <v>3</v>
      </c>
      <c r="AT2122" s="24" t="str">
        <f t="shared" si="634"/>
        <v>0-3 months</v>
      </c>
      <c r="AU2122" s="22" t="s">
        <v>3240</v>
      </c>
    </row>
    <row r="2123" spans="1:47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626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635"/>
        <v>600000</v>
      </c>
      <c r="AA2123" s="13">
        <v>1.08</v>
      </c>
      <c r="AB2123" s="21">
        <f t="shared" si="620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1"/>
        <v>31017966.201968137</v>
      </c>
      <c r="AJ2123" s="19">
        <f t="shared" si="622"/>
        <v>4704250.3347305888</v>
      </c>
      <c r="AK2123" s="20">
        <f t="shared" si="629"/>
        <v>0.15166211427595458</v>
      </c>
      <c r="AL2123" s="17"/>
      <c r="AM2123" s="17"/>
      <c r="AN2123" s="17"/>
      <c r="AO2123" s="17"/>
      <c r="AP2123" s="28" t="str">
        <f t="shared" si="630"/>
        <v>202211</v>
      </c>
      <c r="AQ2123" s="28" t="str">
        <f t="shared" si="631"/>
        <v>202211RMB</v>
      </c>
      <c r="AR2123" s="206" t="str">
        <f t="shared" si="632"/>
        <v>YAMAHA_Non_Mounter</v>
      </c>
      <c r="AS2123" s="22">
        <f t="shared" si="633"/>
        <v>3</v>
      </c>
      <c r="AT2123" s="24" t="str">
        <f t="shared" si="634"/>
        <v>0-3 months</v>
      </c>
      <c r="AU2123" s="22" t="s">
        <v>3240</v>
      </c>
    </row>
    <row r="2124" spans="1:47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626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635"/>
        <v>600000</v>
      </c>
      <c r="AA2124" s="13">
        <v>1.08</v>
      </c>
      <c r="AB2124" s="21">
        <f t="shared" si="620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1"/>
        <v>31017966.201968137</v>
      </c>
      <c r="AJ2124" s="19">
        <f t="shared" si="622"/>
        <v>4704250.3347305888</v>
      </c>
      <c r="AK2124" s="20">
        <f t="shared" si="629"/>
        <v>0.15166211427595458</v>
      </c>
      <c r="AL2124" s="17"/>
      <c r="AM2124" s="17"/>
      <c r="AN2124" s="17"/>
      <c r="AO2124" s="17"/>
      <c r="AP2124" s="28" t="str">
        <f t="shared" si="630"/>
        <v>202211</v>
      </c>
      <c r="AQ2124" s="28" t="str">
        <f t="shared" si="631"/>
        <v>202211RMB</v>
      </c>
      <c r="AR2124" s="206" t="str">
        <f t="shared" si="632"/>
        <v>YAMAHA_Non_Mounter</v>
      </c>
      <c r="AS2124" s="22">
        <f t="shared" si="633"/>
        <v>3</v>
      </c>
      <c r="AT2124" s="24" t="str">
        <f t="shared" si="634"/>
        <v>0-3 months</v>
      </c>
      <c r="AU2124" s="22" t="s">
        <v>3240</v>
      </c>
    </row>
    <row r="2125" spans="1:47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626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635"/>
        <v>600000</v>
      </c>
      <c r="AA2125" s="13">
        <v>1.08</v>
      </c>
      <c r="AB2125" s="21">
        <f t="shared" si="620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1"/>
        <v>31017966.201968137</v>
      </c>
      <c r="AJ2125" s="19">
        <f t="shared" si="622"/>
        <v>4704250.3347305888</v>
      </c>
      <c r="AK2125" s="20">
        <f t="shared" si="629"/>
        <v>0.15166211427595458</v>
      </c>
      <c r="AL2125" s="17"/>
      <c r="AM2125" s="17"/>
      <c r="AN2125" s="17"/>
      <c r="AO2125" s="17"/>
      <c r="AP2125" s="28" t="str">
        <f t="shared" si="630"/>
        <v>202211</v>
      </c>
      <c r="AQ2125" s="28" t="str">
        <f t="shared" si="631"/>
        <v>202211RMB</v>
      </c>
      <c r="AR2125" s="206" t="str">
        <f t="shared" si="632"/>
        <v>YAMAHA_Non_Mounter</v>
      </c>
      <c r="AS2125" s="22">
        <f t="shared" si="633"/>
        <v>3</v>
      </c>
      <c r="AT2125" s="24" t="str">
        <f t="shared" si="634"/>
        <v>0-3 months</v>
      </c>
      <c r="AU2125" s="22" t="s">
        <v>3240</v>
      </c>
    </row>
    <row r="2126" spans="1:47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626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635"/>
        <v>600000</v>
      </c>
      <c r="AA2126" s="13">
        <v>1.08</v>
      </c>
      <c r="AB2126" s="21">
        <f t="shared" si="620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1"/>
        <v>31017966.201968137</v>
      </c>
      <c r="AJ2126" s="19">
        <f t="shared" si="622"/>
        <v>4704250.3347305888</v>
      </c>
      <c r="AK2126" s="20">
        <f t="shared" si="629"/>
        <v>0.15166211427595458</v>
      </c>
      <c r="AL2126" s="17"/>
      <c r="AM2126" s="17"/>
      <c r="AN2126" s="17"/>
      <c r="AO2126" s="17"/>
      <c r="AP2126" s="28" t="str">
        <f t="shared" si="630"/>
        <v>202211</v>
      </c>
      <c r="AQ2126" s="28" t="str">
        <f t="shared" si="631"/>
        <v>202211RMB</v>
      </c>
      <c r="AR2126" s="206" t="str">
        <f t="shared" si="632"/>
        <v>YAMAHA_Non_Mounter</v>
      </c>
      <c r="AS2126" s="22">
        <f t="shared" si="633"/>
        <v>3</v>
      </c>
      <c r="AT2126" s="24" t="str">
        <f t="shared" si="634"/>
        <v>0-3 months</v>
      </c>
      <c r="AU2126" s="22" t="s">
        <v>3240</v>
      </c>
    </row>
    <row r="2127" spans="1:47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626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635"/>
        <v>500000</v>
      </c>
      <c r="AA2127" s="13">
        <v>1.1299999999999999</v>
      </c>
      <c r="AB2127" s="21">
        <f t="shared" si="620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1"/>
        <v>33543315.897345133</v>
      </c>
      <c r="AJ2127" s="19">
        <f t="shared" si="622"/>
        <v>4706169.3252984071</v>
      </c>
      <c r="AK2127" s="20">
        <f t="shared" si="629"/>
        <v>0.14030125523967318</v>
      </c>
      <c r="AL2127" s="17"/>
      <c r="AM2127" s="17"/>
      <c r="AN2127" s="17"/>
      <c r="AO2127" s="17"/>
      <c r="AP2127" s="28" t="str">
        <f t="shared" si="630"/>
        <v>20233</v>
      </c>
      <c r="AQ2127" s="28" t="str">
        <f t="shared" si="631"/>
        <v>20233RMB</v>
      </c>
      <c r="AR2127" s="206" t="str">
        <f t="shared" si="632"/>
        <v>YAMAHA_Non_Mounter</v>
      </c>
      <c r="AS2127" s="22">
        <f t="shared" si="633"/>
        <v>1</v>
      </c>
      <c r="AT2127" s="24" t="str">
        <f t="shared" si="634"/>
        <v>0-3 months</v>
      </c>
      <c r="AU2127" s="22" t="s">
        <v>3240</v>
      </c>
    </row>
    <row r="2128" spans="1:47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626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635"/>
        <v>528000</v>
      </c>
      <c r="AA2128" s="13">
        <v>1.23</v>
      </c>
      <c r="AB2128" s="21">
        <f t="shared" si="620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1"/>
        <v>29288201.603076916</v>
      </c>
      <c r="AJ2128" s="19">
        <f t="shared" si="622"/>
        <v>3870159.1769246152</v>
      </c>
      <c r="AK2128" s="20">
        <f t="shared" si="629"/>
        <v>0.13214055370740244</v>
      </c>
      <c r="AL2128" s="17"/>
      <c r="AM2128" s="17"/>
      <c r="AN2128" s="17"/>
      <c r="AO2128" s="17"/>
      <c r="AP2128" s="28" t="str">
        <f t="shared" si="630"/>
        <v>20184</v>
      </c>
      <c r="AQ2128" s="28" t="str">
        <f t="shared" si="631"/>
        <v>20184RMB</v>
      </c>
      <c r="AR2128" s="206" t="str">
        <f t="shared" si="632"/>
        <v>YAMAHA_Mounter</v>
      </c>
      <c r="AS2128" s="22">
        <f t="shared" si="633"/>
        <v>3</v>
      </c>
      <c r="AT2128" s="24" t="str">
        <f t="shared" si="634"/>
        <v>0-3 months</v>
      </c>
      <c r="AU2128" s="22" t="s">
        <v>3240</v>
      </c>
    </row>
    <row r="2129" spans="1:47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626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635"/>
        <v>980000</v>
      </c>
      <c r="AA2129" s="13">
        <v>1.135</v>
      </c>
      <c r="AB2129" s="21">
        <f t="shared" si="620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1"/>
        <v>28011162.254106201</v>
      </c>
      <c r="AJ2129" s="19">
        <f t="shared" si="622"/>
        <v>3401347.1124888416</v>
      </c>
      <c r="AK2129" s="20">
        <f t="shared" si="629"/>
        <v>0.12142827497242578</v>
      </c>
      <c r="AL2129" s="17"/>
      <c r="AM2129" s="17"/>
      <c r="AN2129" s="17"/>
      <c r="AO2129" s="17"/>
      <c r="AP2129" s="28" t="str">
        <f t="shared" si="630"/>
        <v>202010</v>
      </c>
      <c r="AQ2129" s="28" t="str">
        <f t="shared" si="631"/>
        <v>202010RMB</v>
      </c>
      <c r="AR2129" s="206" t="str">
        <f t="shared" si="632"/>
        <v>YAMAHA_Mounter</v>
      </c>
      <c r="AS2129" s="22">
        <f t="shared" si="633"/>
        <v>2</v>
      </c>
      <c r="AT2129" s="24" t="str">
        <f t="shared" si="634"/>
        <v>0-3 months</v>
      </c>
      <c r="AU2129" s="22" t="s">
        <v>3240</v>
      </c>
    </row>
    <row r="2130" spans="1:47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626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635"/>
        <v>700000</v>
      </c>
      <c r="AA2130" s="13">
        <v>1.135</v>
      </c>
      <c r="AB2130" s="21">
        <f t="shared" si="620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1"/>
        <v>28011162.254106201</v>
      </c>
      <c r="AJ2130" s="19">
        <f t="shared" si="622"/>
        <v>3401347.1124888416</v>
      </c>
      <c r="AK2130" s="20">
        <f t="shared" si="629"/>
        <v>0.12142827497242578</v>
      </c>
      <c r="AL2130" s="17"/>
      <c r="AM2130" s="17"/>
      <c r="AN2130" s="17"/>
      <c r="AO2130" s="17"/>
      <c r="AP2130" s="28" t="str">
        <f t="shared" si="630"/>
        <v>202010</v>
      </c>
      <c r="AQ2130" s="28" t="str">
        <f t="shared" si="631"/>
        <v>202010RMB</v>
      </c>
      <c r="AR2130" s="206" t="str">
        <f t="shared" si="632"/>
        <v>YAMAHA_Mounter</v>
      </c>
      <c r="AS2130" s="22">
        <f t="shared" si="633"/>
        <v>2</v>
      </c>
      <c r="AT2130" s="24" t="str">
        <f t="shared" si="634"/>
        <v>0-3 months</v>
      </c>
      <c r="AU2130" s="22" t="s">
        <v>3240</v>
      </c>
    </row>
    <row r="2131" spans="1:47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626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636">IF(W2131="RMB","1.13", "1")</f>
        <v>1.13</v>
      </c>
      <c r="Z2131" s="18">
        <f t="shared" si="635"/>
        <v>520000</v>
      </c>
      <c r="AA2131" s="13">
        <v>1.1599999999999999</v>
      </c>
      <c r="AB2131" s="21">
        <f t="shared" si="620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1"/>
        <v>21045012.884955753</v>
      </c>
      <c r="AJ2131" s="19">
        <f t="shared" si="622"/>
        <v>2650260.9603327443</v>
      </c>
      <c r="AK2131" s="20">
        <f t="shared" si="629"/>
        <v>0.12593296924172048</v>
      </c>
      <c r="AL2131" s="17"/>
      <c r="AM2131" s="17"/>
      <c r="AN2131" s="17"/>
      <c r="AO2131" s="17"/>
      <c r="AP2131" s="28" t="str">
        <f t="shared" si="630"/>
        <v>20232</v>
      </c>
      <c r="AQ2131" s="28" t="str">
        <f t="shared" si="631"/>
        <v>20232RMB</v>
      </c>
      <c r="AR2131" s="206" t="str">
        <f t="shared" si="632"/>
        <v>YAMAHA_Mounter</v>
      </c>
      <c r="AS2131" s="22">
        <f t="shared" si="633"/>
        <v>9</v>
      </c>
      <c r="AT2131" s="24" t="str">
        <f t="shared" si="634"/>
        <v>&gt; 6 months</v>
      </c>
      <c r="AU2131" s="22" t="s">
        <v>3240</v>
      </c>
    </row>
    <row r="2132" spans="1:47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626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636"/>
        <v>1.13</v>
      </c>
      <c r="Z2132" s="18">
        <f t="shared" si="635"/>
        <v>520000</v>
      </c>
      <c r="AA2132" s="13">
        <v>1.1599999999999999</v>
      </c>
      <c r="AB2132" s="21">
        <f t="shared" si="620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1"/>
        <v>21045012.884955753</v>
      </c>
      <c r="AJ2132" s="19">
        <f t="shared" si="622"/>
        <v>2650260.9603327443</v>
      </c>
      <c r="AK2132" s="20">
        <f t="shared" si="629"/>
        <v>0.12593296924172048</v>
      </c>
      <c r="AL2132" s="17"/>
      <c r="AM2132" s="17"/>
      <c r="AN2132" s="17"/>
      <c r="AO2132" s="17"/>
      <c r="AP2132" s="28" t="str">
        <f t="shared" si="630"/>
        <v>20232</v>
      </c>
      <c r="AQ2132" s="28" t="str">
        <f t="shared" si="631"/>
        <v>20232RMB</v>
      </c>
      <c r="AR2132" s="206" t="str">
        <f t="shared" si="632"/>
        <v>YAMAHA_Mounter</v>
      </c>
      <c r="AS2132" s="22">
        <f t="shared" si="633"/>
        <v>9</v>
      </c>
      <c r="AT2132" s="24" t="str">
        <f t="shared" si="634"/>
        <v>&gt; 6 months</v>
      </c>
      <c r="AU2132" s="22" t="s">
        <v>3240</v>
      </c>
    </row>
    <row r="2133" spans="1:47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626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636"/>
        <v>1.13</v>
      </c>
      <c r="Z2133" s="18">
        <f t="shared" si="635"/>
        <v>820000</v>
      </c>
      <c r="AA2133" s="13">
        <v>1.1599999999999999</v>
      </c>
      <c r="AB2133" s="21">
        <f t="shared" si="620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1"/>
        <v>21045012.884955753</v>
      </c>
      <c r="AJ2133" s="19">
        <f t="shared" si="622"/>
        <v>2650260.9603327443</v>
      </c>
      <c r="AK2133" s="20">
        <f t="shared" si="629"/>
        <v>0.12593296924172048</v>
      </c>
      <c r="AL2133" s="17"/>
      <c r="AM2133" s="17"/>
      <c r="AN2133" s="17"/>
      <c r="AO2133" s="17"/>
      <c r="AP2133" s="28" t="str">
        <f t="shared" si="630"/>
        <v>20232</v>
      </c>
      <c r="AQ2133" s="28" t="str">
        <f t="shared" si="631"/>
        <v>20232RMB</v>
      </c>
      <c r="AR2133" s="206" t="str">
        <f t="shared" si="632"/>
        <v>YAMAHA_Mounter</v>
      </c>
      <c r="AS2133" s="22">
        <f t="shared" si="633"/>
        <v>9</v>
      </c>
      <c r="AT2133" s="24" t="str">
        <f t="shared" si="634"/>
        <v>&gt; 6 months</v>
      </c>
      <c r="AU2133" s="22" t="s">
        <v>3240</v>
      </c>
    </row>
    <row r="2134" spans="1:47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626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636"/>
        <v>1.13</v>
      </c>
      <c r="Z2134" s="18">
        <f t="shared" si="635"/>
        <v>820000</v>
      </c>
      <c r="AA2134" s="13">
        <v>1.1599999999999999</v>
      </c>
      <c r="AB2134" s="21">
        <f t="shared" si="620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1"/>
        <v>21045012.884955753</v>
      </c>
      <c r="AJ2134" s="19">
        <f t="shared" si="622"/>
        <v>2650260.9603327443</v>
      </c>
      <c r="AK2134" s="20">
        <f t="shared" si="629"/>
        <v>0.12593296924172048</v>
      </c>
      <c r="AL2134" s="17"/>
      <c r="AM2134" s="17"/>
      <c r="AN2134" s="17"/>
      <c r="AO2134" s="17"/>
      <c r="AP2134" s="28" t="str">
        <f t="shared" si="630"/>
        <v>20232</v>
      </c>
      <c r="AQ2134" s="28" t="str">
        <f t="shared" si="631"/>
        <v>20232RMB</v>
      </c>
      <c r="AR2134" s="206" t="str">
        <f t="shared" si="632"/>
        <v>YAMAHA_Mounter</v>
      </c>
      <c r="AS2134" s="22">
        <f t="shared" si="633"/>
        <v>9</v>
      </c>
      <c r="AT2134" s="24" t="str">
        <f t="shared" si="634"/>
        <v>&gt; 6 months</v>
      </c>
      <c r="AU2134" s="22" t="s">
        <v>3240</v>
      </c>
    </row>
    <row r="2135" spans="1:47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626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636"/>
        <v>1.13</v>
      </c>
      <c r="Z2135" s="18">
        <f t="shared" si="635"/>
        <v>481416.5</v>
      </c>
      <c r="AA2135" s="13">
        <v>1.1950000000000001</v>
      </c>
      <c r="AB2135" s="21">
        <f t="shared" si="620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1"/>
        <v>63006605.696460173</v>
      </c>
      <c r="AJ2135" s="19">
        <f t="shared" si="622"/>
        <v>8897485.660753984</v>
      </c>
      <c r="AK2135" s="20">
        <f t="shared" si="629"/>
        <v>0.141215124388995</v>
      </c>
      <c r="AL2135" s="17"/>
      <c r="AM2135" s="17"/>
      <c r="AN2135" s="17"/>
      <c r="AO2135" s="17"/>
      <c r="AP2135" s="28" t="str">
        <f t="shared" si="630"/>
        <v>20215</v>
      </c>
      <c r="AQ2135" s="28" t="str">
        <f t="shared" si="631"/>
        <v>20215RMB</v>
      </c>
      <c r="AR2135" s="206" t="str">
        <f t="shared" si="632"/>
        <v>YAMAHA_Mounter</v>
      </c>
      <c r="AS2135" s="22">
        <f t="shared" si="633"/>
        <v>1</v>
      </c>
      <c r="AT2135" s="24" t="str">
        <f t="shared" si="634"/>
        <v>0-3 months</v>
      </c>
      <c r="AU2135" s="22" t="s">
        <v>3240</v>
      </c>
    </row>
    <row r="2136" spans="1:47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626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636"/>
        <v>1.13</v>
      </c>
      <c r="Z2136" s="18">
        <f t="shared" si="635"/>
        <v>481416.5</v>
      </c>
      <c r="AA2136" s="13">
        <v>1.1950000000000001</v>
      </c>
      <c r="AB2136" s="21">
        <f t="shared" si="620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1"/>
        <v>63006605.696460173</v>
      </c>
      <c r="AJ2136" s="19">
        <f t="shared" si="622"/>
        <v>8897485.660753984</v>
      </c>
      <c r="AK2136" s="20">
        <f t="shared" si="629"/>
        <v>0.141215124388995</v>
      </c>
      <c r="AL2136" s="17"/>
      <c r="AM2136" s="17"/>
      <c r="AN2136" s="17"/>
      <c r="AO2136" s="17"/>
      <c r="AP2136" s="28" t="str">
        <f t="shared" si="630"/>
        <v>20215</v>
      </c>
      <c r="AQ2136" s="28" t="str">
        <f t="shared" si="631"/>
        <v>20215RMB</v>
      </c>
      <c r="AR2136" s="206" t="str">
        <f t="shared" si="632"/>
        <v>YAMAHA_Mounter</v>
      </c>
      <c r="AS2136" s="22">
        <f t="shared" si="633"/>
        <v>1</v>
      </c>
      <c r="AT2136" s="24" t="str">
        <f t="shared" si="634"/>
        <v>0-3 months</v>
      </c>
      <c r="AU2136" s="22" t="s">
        <v>3240</v>
      </c>
    </row>
    <row r="2137" spans="1:47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626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636"/>
        <v>1.13</v>
      </c>
      <c r="Z2137" s="18">
        <f t="shared" si="635"/>
        <v>820700</v>
      </c>
      <c r="AA2137" s="13">
        <v>1.1950000000000001</v>
      </c>
      <c r="AB2137" s="21">
        <f t="shared" si="620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1"/>
        <v>63006605.696460173</v>
      </c>
      <c r="AJ2137" s="19">
        <f t="shared" si="622"/>
        <v>8897485.660753984</v>
      </c>
      <c r="AK2137" s="20">
        <f t="shared" si="629"/>
        <v>0.141215124388995</v>
      </c>
      <c r="AL2137" s="17"/>
      <c r="AM2137" s="17"/>
      <c r="AN2137" s="17"/>
      <c r="AO2137" s="17"/>
      <c r="AP2137" s="28" t="str">
        <f t="shared" si="630"/>
        <v>20215</v>
      </c>
      <c r="AQ2137" s="28" t="str">
        <f t="shared" si="631"/>
        <v>20215RMB</v>
      </c>
      <c r="AR2137" s="206" t="str">
        <f t="shared" si="632"/>
        <v>YAMAHA_Mounter</v>
      </c>
      <c r="AS2137" s="22">
        <f t="shared" si="633"/>
        <v>1</v>
      </c>
      <c r="AT2137" s="24" t="str">
        <f t="shared" si="634"/>
        <v>0-3 months</v>
      </c>
      <c r="AU2137" s="22" t="s">
        <v>3240</v>
      </c>
    </row>
    <row r="2138" spans="1:47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626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635"/>
        <v>1009000</v>
      </c>
      <c r="AA2138" s="13">
        <v>1.1100000000000001</v>
      </c>
      <c r="AB2138" s="21">
        <f t="shared" si="620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1"/>
        <v>27318180.088495575</v>
      </c>
      <c r="AJ2138" s="19">
        <f t="shared" si="622"/>
        <v>3014099.212353982</v>
      </c>
      <c r="AK2138" s="20">
        <f t="shared" si="629"/>
        <v>0.11033308963444827</v>
      </c>
      <c r="AL2138" s="17"/>
      <c r="AM2138" s="17"/>
      <c r="AN2138" s="17"/>
      <c r="AO2138" s="17"/>
      <c r="AP2138" s="28" t="str">
        <f t="shared" si="630"/>
        <v>201912</v>
      </c>
      <c r="AQ2138" s="28" t="str">
        <f t="shared" si="631"/>
        <v>201912RMB</v>
      </c>
      <c r="AR2138" s="206" t="str">
        <f t="shared" si="632"/>
        <v>YAMAHA_Mounter</v>
      </c>
      <c r="AS2138" s="22">
        <f t="shared" si="633"/>
        <v>2</v>
      </c>
      <c r="AT2138" s="24" t="str">
        <f t="shared" si="634"/>
        <v>0-3 months</v>
      </c>
      <c r="AU2138" s="22" t="s">
        <v>3240</v>
      </c>
    </row>
    <row r="2139" spans="1:47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626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635"/>
        <v>1009000</v>
      </c>
      <c r="AA2139" s="13">
        <v>1.1100000000000001</v>
      </c>
      <c r="AB2139" s="21">
        <f t="shared" si="620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1"/>
        <v>27318180.088495575</v>
      </c>
      <c r="AJ2139" s="19">
        <f t="shared" si="622"/>
        <v>3014099.212353982</v>
      </c>
      <c r="AK2139" s="20">
        <f t="shared" si="629"/>
        <v>0.11033308963444827</v>
      </c>
      <c r="AL2139" s="17"/>
      <c r="AM2139" s="17"/>
      <c r="AN2139" s="17"/>
      <c r="AO2139" s="17"/>
      <c r="AP2139" s="28" t="str">
        <f t="shared" si="630"/>
        <v>201912</v>
      </c>
      <c r="AQ2139" s="28" t="str">
        <f t="shared" si="631"/>
        <v>201912RMB</v>
      </c>
      <c r="AR2139" s="206" t="str">
        <f t="shared" si="632"/>
        <v>YAMAHA_Mounter</v>
      </c>
      <c r="AS2139" s="22">
        <f t="shared" si="633"/>
        <v>2</v>
      </c>
      <c r="AT2139" s="24" t="str">
        <f t="shared" si="634"/>
        <v>0-3 months</v>
      </c>
      <c r="AU2139" s="22" t="s">
        <v>3240</v>
      </c>
    </row>
    <row r="2140" spans="1:47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626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635"/>
        <v>370000</v>
      </c>
      <c r="AA2140" s="13">
        <v>1.1100000000000001</v>
      </c>
      <c r="AB2140" s="21">
        <f t="shared" si="620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1"/>
        <v>27318180.088495575</v>
      </c>
      <c r="AJ2140" s="19">
        <f t="shared" si="622"/>
        <v>3014099.212353982</v>
      </c>
      <c r="AK2140" s="20">
        <f t="shared" si="629"/>
        <v>0.11033308963444827</v>
      </c>
      <c r="AL2140" s="17"/>
      <c r="AM2140" s="17"/>
      <c r="AN2140" s="17"/>
      <c r="AO2140" s="17"/>
      <c r="AP2140" s="28" t="str">
        <f t="shared" si="630"/>
        <v>201912</v>
      </c>
      <c r="AQ2140" s="28" t="str">
        <f t="shared" si="631"/>
        <v>201912RMB</v>
      </c>
      <c r="AR2140" s="206" t="str">
        <f t="shared" si="632"/>
        <v>YAMAHA_Non_Mounter</v>
      </c>
      <c r="AS2140" s="22">
        <f t="shared" si="633"/>
        <v>2</v>
      </c>
      <c r="AT2140" s="24" t="str">
        <f t="shared" si="634"/>
        <v>0-3 months</v>
      </c>
      <c r="AU2140" s="22" t="s">
        <v>3240</v>
      </c>
    </row>
    <row r="2141" spans="1:47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626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637">IF(W2141="","",IF(W2141="RMB","1.13", "1"))</f>
        <v>1.13</v>
      </c>
      <c r="Z2141" s="18">
        <f t="shared" si="635"/>
        <v>380000</v>
      </c>
      <c r="AA2141" s="13">
        <v>1.135</v>
      </c>
      <c r="AB2141" s="21">
        <f t="shared" si="620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1"/>
        <v>28177779.013274338</v>
      </c>
      <c r="AJ2141" s="19">
        <f t="shared" si="622"/>
        <v>4727216.6376190251</v>
      </c>
      <c r="AK2141" s="20">
        <f t="shared" si="629"/>
        <v>0.1677639900359808</v>
      </c>
      <c r="AL2141" s="17"/>
      <c r="AM2141" s="17"/>
      <c r="AN2141" s="17"/>
      <c r="AO2141" s="17"/>
      <c r="AP2141" s="28" t="str">
        <f t="shared" si="630"/>
        <v>20235</v>
      </c>
      <c r="AQ2141" s="28" t="str">
        <f t="shared" si="631"/>
        <v>20235RMB</v>
      </c>
      <c r="AR2141" s="206" t="str">
        <f t="shared" si="632"/>
        <v>PEMTRON</v>
      </c>
      <c r="AS2141" s="22">
        <f t="shared" si="633"/>
        <v>6</v>
      </c>
      <c r="AT2141" s="24" t="str">
        <f t="shared" si="634"/>
        <v>4-6 months</v>
      </c>
      <c r="AU2141" s="22" t="s">
        <v>3240</v>
      </c>
    </row>
    <row r="2142" spans="1:47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626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637"/>
        <v>1.13</v>
      </c>
      <c r="Z2142" s="18">
        <f t="shared" si="635"/>
        <v>380000</v>
      </c>
      <c r="AA2142" s="13">
        <v>1.135</v>
      </c>
      <c r="AB2142" s="21">
        <f t="shared" si="620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1"/>
        <v>28177779.013274338</v>
      </c>
      <c r="AJ2142" s="19">
        <f t="shared" si="622"/>
        <v>4727216.6376190251</v>
      </c>
      <c r="AK2142" s="20">
        <f t="shared" si="629"/>
        <v>0.1677639900359808</v>
      </c>
      <c r="AL2142" s="17"/>
      <c r="AM2142" s="17"/>
      <c r="AN2142" s="17"/>
      <c r="AO2142" s="17"/>
      <c r="AP2142" s="28" t="str">
        <f t="shared" si="630"/>
        <v>20235</v>
      </c>
      <c r="AQ2142" s="28" t="str">
        <f t="shared" si="631"/>
        <v>20235RMB</v>
      </c>
      <c r="AR2142" s="206" t="str">
        <f t="shared" si="632"/>
        <v>PEMTRON</v>
      </c>
      <c r="AS2142" s="22">
        <f t="shared" si="633"/>
        <v>6</v>
      </c>
      <c r="AT2142" s="24" t="str">
        <f t="shared" si="634"/>
        <v>4-6 months</v>
      </c>
      <c r="AU2142" s="22" t="s">
        <v>3240</v>
      </c>
    </row>
    <row r="2143" spans="1:47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626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637"/>
        <v>1.13</v>
      </c>
      <c r="Z2143" s="18">
        <f t="shared" si="635"/>
        <v>380000</v>
      </c>
      <c r="AA2143" s="13">
        <v>1.135</v>
      </c>
      <c r="AB2143" s="21">
        <f t="shared" si="620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1"/>
        <v>28177779.013274338</v>
      </c>
      <c r="AJ2143" s="19">
        <f t="shared" si="622"/>
        <v>4727216.6376190251</v>
      </c>
      <c r="AK2143" s="20">
        <f t="shared" si="629"/>
        <v>0.1677639900359808</v>
      </c>
      <c r="AL2143" s="17"/>
      <c r="AM2143" s="17"/>
      <c r="AN2143" s="17"/>
      <c r="AO2143" s="17"/>
      <c r="AP2143" s="28" t="str">
        <f t="shared" si="630"/>
        <v>20235</v>
      </c>
      <c r="AQ2143" s="28" t="str">
        <f t="shared" si="631"/>
        <v>20235RMB</v>
      </c>
      <c r="AR2143" s="206" t="str">
        <f t="shared" si="632"/>
        <v>PEMTRON</v>
      </c>
      <c r="AS2143" s="22">
        <f t="shared" si="633"/>
        <v>6</v>
      </c>
      <c r="AT2143" s="24" t="str">
        <f t="shared" si="634"/>
        <v>4-6 months</v>
      </c>
      <c r="AU2143" s="22" t="s">
        <v>3240</v>
      </c>
    </row>
    <row r="2144" spans="1:47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626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637"/>
        <v>1.13</v>
      </c>
      <c r="Z2144" s="18">
        <f t="shared" si="635"/>
        <v>380000</v>
      </c>
      <c r="AA2144" s="13">
        <v>1.135</v>
      </c>
      <c r="AB2144" s="21">
        <f t="shared" si="620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1"/>
        <v>28177779.013274338</v>
      </c>
      <c r="AJ2144" s="19">
        <f t="shared" si="622"/>
        <v>4727216.6376190251</v>
      </c>
      <c r="AK2144" s="20">
        <f t="shared" si="629"/>
        <v>0.1677639900359808</v>
      </c>
      <c r="AL2144" s="17"/>
      <c r="AM2144" s="17"/>
      <c r="AN2144" s="17"/>
      <c r="AO2144" s="17"/>
      <c r="AP2144" s="28" t="str">
        <f t="shared" si="630"/>
        <v>20235</v>
      </c>
      <c r="AQ2144" s="28" t="str">
        <f t="shared" si="631"/>
        <v>20235RMB</v>
      </c>
      <c r="AR2144" s="206" t="str">
        <f t="shared" si="632"/>
        <v>PEMTRON</v>
      </c>
      <c r="AS2144" s="22">
        <f t="shared" si="633"/>
        <v>6</v>
      </c>
      <c r="AT2144" s="24" t="str">
        <f t="shared" si="634"/>
        <v>4-6 months</v>
      </c>
      <c r="AU2144" s="22" t="s">
        <v>3240</v>
      </c>
    </row>
    <row r="2145" spans="1:47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626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637"/>
        <v>1.13</v>
      </c>
      <c r="Z2145" s="18">
        <f t="shared" si="635"/>
        <v>380000</v>
      </c>
      <c r="AA2145" s="13">
        <v>1.135</v>
      </c>
      <c r="AB2145" s="21">
        <f t="shared" si="620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1"/>
        <v>28177779.013274338</v>
      </c>
      <c r="AJ2145" s="19">
        <f t="shared" si="622"/>
        <v>4727216.6376190251</v>
      </c>
      <c r="AK2145" s="20">
        <f t="shared" si="629"/>
        <v>0.1677639900359808</v>
      </c>
      <c r="AL2145" s="17"/>
      <c r="AM2145" s="17"/>
      <c r="AN2145" s="17"/>
      <c r="AO2145" s="17"/>
      <c r="AP2145" s="28" t="str">
        <f t="shared" si="630"/>
        <v>20235</v>
      </c>
      <c r="AQ2145" s="28" t="str">
        <f t="shared" si="631"/>
        <v>20235RMB</v>
      </c>
      <c r="AR2145" s="206" t="str">
        <f t="shared" si="632"/>
        <v>PEMTRON</v>
      </c>
      <c r="AS2145" s="22">
        <f t="shared" si="633"/>
        <v>6</v>
      </c>
      <c r="AT2145" s="24" t="str">
        <f t="shared" si="634"/>
        <v>4-6 months</v>
      </c>
      <c r="AU2145" s="22" t="s">
        <v>3240</v>
      </c>
    </row>
    <row r="2146" spans="1:47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626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637"/>
        <v>1.13</v>
      </c>
      <c r="Z2146" s="18">
        <f t="shared" si="635"/>
        <v>380000</v>
      </c>
      <c r="AA2146" s="13">
        <v>1.135</v>
      </c>
      <c r="AB2146" s="21">
        <f t="shared" si="620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1"/>
        <v>28177779.013274338</v>
      </c>
      <c r="AJ2146" s="19">
        <f t="shared" si="622"/>
        <v>4727216.6376190251</v>
      </c>
      <c r="AK2146" s="20">
        <f t="shared" si="629"/>
        <v>0.1677639900359808</v>
      </c>
      <c r="AL2146" s="17"/>
      <c r="AM2146" s="17"/>
      <c r="AN2146" s="17"/>
      <c r="AO2146" s="17"/>
      <c r="AP2146" s="28" t="str">
        <f t="shared" si="630"/>
        <v>20235</v>
      </c>
      <c r="AQ2146" s="28" t="str">
        <f t="shared" si="631"/>
        <v>20235RMB</v>
      </c>
      <c r="AR2146" s="206" t="str">
        <f t="shared" si="632"/>
        <v>PEMTRON</v>
      </c>
      <c r="AS2146" s="22">
        <f t="shared" si="633"/>
        <v>6</v>
      </c>
      <c r="AT2146" s="24" t="str">
        <f t="shared" si="634"/>
        <v>4-6 months</v>
      </c>
      <c r="AU2146" s="22" t="s">
        <v>3240</v>
      </c>
    </row>
    <row r="2147" spans="1:47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626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637"/>
        <v>1.13</v>
      </c>
      <c r="Z2147" s="18">
        <f t="shared" si="635"/>
        <v>380000</v>
      </c>
      <c r="AA2147" s="13">
        <v>1.135</v>
      </c>
      <c r="AB2147" s="21">
        <f t="shared" si="620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1"/>
        <v>28177779.013274338</v>
      </c>
      <c r="AJ2147" s="19">
        <f t="shared" si="622"/>
        <v>4727216.6376190251</v>
      </c>
      <c r="AK2147" s="20">
        <f t="shared" si="629"/>
        <v>0.1677639900359808</v>
      </c>
      <c r="AL2147" s="17"/>
      <c r="AM2147" s="17"/>
      <c r="AN2147" s="17"/>
      <c r="AO2147" s="17"/>
      <c r="AP2147" s="28" t="str">
        <f t="shared" si="630"/>
        <v>20235</v>
      </c>
      <c r="AQ2147" s="28" t="str">
        <f t="shared" si="631"/>
        <v>20235RMB</v>
      </c>
      <c r="AR2147" s="206" t="str">
        <f t="shared" si="632"/>
        <v>PEMTRON</v>
      </c>
      <c r="AS2147" s="22">
        <f t="shared" si="633"/>
        <v>6</v>
      </c>
      <c r="AT2147" s="24" t="str">
        <f t="shared" si="634"/>
        <v>4-6 months</v>
      </c>
      <c r="AU2147" s="22" t="s">
        <v>3240</v>
      </c>
    </row>
    <row r="2148" spans="1:47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626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637"/>
        <v>1</v>
      </c>
      <c r="Z2148" s="18">
        <f t="shared" si="635"/>
        <v>7200000</v>
      </c>
      <c r="AA2148" s="22">
        <v>5.0999999999999997E-2</v>
      </c>
      <c r="AB2148" s="21">
        <f t="shared" si="620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1"/>
        <v>27308925.887079656</v>
      </c>
      <c r="AJ2148" s="27">
        <f t="shared" si="622"/>
        <v>3319273.860338124</v>
      </c>
      <c r="AK2148" s="28">
        <f t="shared" si="629"/>
        <v>0.12154538314919709</v>
      </c>
      <c r="AL2148" s="24"/>
      <c r="AM2148" s="24"/>
      <c r="AN2148" s="24"/>
      <c r="AO2148" s="24"/>
      <c r="AP2148" s="28" t="str">
        <f t="shared" si="630"/>
        <v>20246</v>
      </c>
      <c r="AQ2148" s="28" t="str">
        <f t="shared" si="631"/>
        <v>20246JPY</v>
      </c>
      <c r="AR2148" s="206" t="str">
        <f t="shared" si="632"/>
        <v>YAMAHA_Non_Mounter</v>
      </c>
      <c r="AS2148" s="22">
        <f t="shared" si="633"/>
        <v>2</v>
      </c>
      <c r="AT2148" s="24" t="str">
        <f t="shared" si="634"/>
        <v>0-3 months</v>
      </c>
      <c r="AU2148" s="22" t="s">
        <v>3745</v>
      </c>
    </row>
    <row r="2149" spans="1:47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626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637"/>
        <v>1.13</v>
      </c>
      <c r="Z2149" s="196">
        <f t="shared" si="635"/>
        <v>785000</v>
      </c>
      <c r="AA2149" s="22">
        <v>1.08</v>
      </c>
      <c r="AB2149" s="197">
        <f t="shared" si="620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1"/>
        <v>27308925.887079656</v>
      </c>
      <c r="AJ2149" s="200">
        <f t="shared" si="622"/>
        <v>3319273.860338124</v>
      </c>
      <c r="AK2149" s="201">
        <f t="shared" si="629"/>
        <v>0.12154538314919709</v>
      </c>
      <c r="AL2149" s="24"/>
      <c r="AM2149" s="24"/>
      <c r="AN2149" s="24"/>
      <c r="AO2149" s="24"/>
      <c r="AP2149" s="105" t="str">
        <f t="shared" si="630"/>
        <v>20246</v>
      </c>
      <c r="AQ2149" s="28" t="str">
        <f t="shared" si="631"/>
        <v>20246RMB</v>
      </c>
      <c r="AR2149" s="206" t="str">
        <f t="shared" si="632"/>
        <v>YAMAHA_Mounter</v>
      </c>
      <c r="AS2149" s="22">
        <f t="shared" si="633"/>
        <v>1</v>
      </c>
      <c r="AT2149" s="24" t="str">
        <f t="shared" si="634"/>
        <v>0-3 months</v>
      </c>
      <c r="AU2149" s="22" t="s">
        <v>3240</v>
      </c>
    </row>
    <row r="2150" spans="1:47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626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635"/>
        <v>740000</v>
      </c>
      <c r="AA2150" s="13">
        <v>1.089</v>
      </c>
      <c r="AB2150" s="21">
        <f t="shared" si="620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1"/>
        <v>29183109.05575221</v>
      </c>
      <c r="AJ2150" s="19">
        <f t="shared" si="622"/>
        <v>3741266.5648721238</v>
      </c>
      <c r="AK2150" s="20">
        <f t="shared" si="629"/>
        <v>0.12819972531798121</v>
      </c>
      <c r="AL2150" s="17"/>
      <c r="AM2150" s="17"/>
      <c r="AN2150" s="17"/>
      <c r="AO2150" s="17"/>
      <c r="AP2150" s="28" t="str">
        <f t="shared" si="630"/>
        <v>20206</v>
      </c>
      <c r="AQ2150" s="28" t="str">
        <f t="shared" si="631"/>
        <v>20206RMB</v>
      </c>
      <c r="AR2150" s="206" t="str">
        <f t="shared" si="632"/>
        <v>YAMAHA_Mounter</v>
      </c>
      <c r="AS2150" s="22">
        <f t="shared" si="633"/>
        <v>6</v>
      </c>
      <c r="AT2150" s="24" t="str">
        <f t="shared" si="634"/>
        <v>4-6 months</v>
      </c>
      <c r="AU2150" s="22" t="s">
        <v>3240</v>
      </c>
    </row>
    <row r="2151" spans="1:47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626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635"/>
        <v>460000</v>
      </c>
      <c r="AA2151" s="13">
        <v>1.105</v>
      </c>
      <c r="AB2151" s="21">
        <f t="shared" si="620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1"/>
        <v>13640480.497522123</v>
      </c>
      <c r="AJ2151" s="19">
        <f t="shared" si="622"/>
        <v>1928605.8020906283</v>
      </c>
      <c r="AK2151" s="20">
        <f t="shared" si="629"/>
        <v>0.1413884065477731</v>
      </c>
      <c r="AL2151" s="17"/>
      <c r="AM2151" s="17"/>
      <c r="AN2151" s="17"/>
      <c r="AO2151" s="17"/>
      <c r="AP2151" s="28" t="str">
        <f t="shared" si="630"/>
        <v>20236</v>
      </c>
      <c r="AQ2151" s="28" t="str">
        <f t="shared" si="631"/>
        <v>20236RMB</v>
      </c>
      <c r="AR2151" s="206" t="str">
        <f t="shared" si="632"/>
        <v>YAMAHA_Mounter</v>
      </c>
      <c r="AS2151" s="22">
        <f t="shared" si="633"/>
        <v>7</v>
      </c>
      <c r="AT2151" s="24" t="str">
        <f t="shared" si="634"/>
        <v>&gt; 6 months</v>
      </c>
      <c r="AU2151" s="22" t="s">
        <v>3240</v>
      </c>
    </row>
    <row r="2152" spans="1:47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626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635"/>
        <v>1000000</v>
      </c>
      <c r="AA2152" s="13">
        <v>1.1850000000000001</v>
      </c>
      <c r="AB2152" s="21">
        <f t="shared" si="620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1"/>
        <v>45803245.025628321</v>
      </c>
      <c r="AJ2152" s="19">
        <f t="shared" si="622"/>
        <v>5664636.2584379362</v>
      </c>
      <c r="AK2152" s="20">
        <f t="shared" si="629"/>
        <v>0.12367325186825515</v>
      </c>
      <c r="AL2152" s="17"/>
      <c r="AM2152" s="17"/>
      <c r="AN2152" s="17"/>
      <c r="AO2152" s="17"/>
      <c r="AP2152" s="28" t="str">
        <f t="shared" si="630"/>
        <v>20211</v>
      </c>
      <c r="AQ2152" s="28" t="str">
        <f t="shared" si="631"/>
        <v>20211RMB</v>
      </c>
      <c r="AR2152" s="206" t="str">
        <f t="shared" si="632"/>
        <v>YAMAHA_Mounter</v>
      </c>
      <c r="AS2152" s="22">
        <f t="shared" si="633"/>
        <v>3</v>
      </c>
      <c r="AT2152" s="24" t="str">
        <f t="shared" si="634"/>
        <v>0-3 months</v>
      </c>
      <c r="AU2152" s="22" t="s">
        <v>3240</v>
      </c>
    </row>
    <row r="2153" spans="1:47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626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635"/>
        <v>800800</v>
      </c>
      <c r="AA2153" s="13">
        <v>1.1850000000000001</v>
      </c>
      <c r="AB2153" s="21">
        <f t="shared" si="620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1"/>
        <v>45803245.025628321</v>
      </c>
      <c r="AJ2153" s="19">
        <f t="shared" si="622"/>
        <v>5664636.2584379362</v>
      </c>
      <c r="AK2153" s="20">
        <f t="shared" si="629"/>
        <v>0.12367325186825515</v>
      </c>
      <c r="AL2153" s="17"/>
      <c r="AM2153" s="17"/>
      <c r="AN2153" s="17"/>
      <c r="AO2153" s="17"/>
      <c r="AP2153" s="28" t="str">
        <f t="shared" si="630"/>
        <v>20211</v>
      </c>
      <c r="AQ2153" s="28" t="str">
        <f t="shared" si="631"/>
        <v>20211RMB</v>
      </c>
      <c r="AR2153" s="206" t="str">
        <f t="shared" si="632"/>
        <v>YAMAHA_Mounter</v>
      </c>
      <c r="AS2153" s="22">
        <f t="shared" si="633"/>
        <v>3</v>
      </c>
      <c r="AT2153" s="24" t="str">
        <f t="shared" si="634"/>
        <v>0-3 months</v>
      </c>
      <c r="AU2153" s="22" t="s">
        <v>3240</v>
      </c>
    </row>
    <row r="2154" spans="1:47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635"/>
        <v>35800</v>
      </c>
      <c r="AA2154" s="13">
        <v>1.105</v>
      </c>
      <c r="AB2154" s="21">
        <f t="shared" si="620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1"/>
        <v>37969334.083628319</v>
      </c>
      <c r="AJ2154" s="19">
        <f t="shared" si="622"/>
        <v>5097226.4551657084</v>
      </c>
      <c r="AK2154" s="20">
        <f t="shared" si="629"/>
        <v>0.13424587441904964</v>
      </c>
      <c r="AL2154" s="17"/>
      <c r="AM2154" s="17"/>
      <c r="AN2154" s="17"/>
      <c r="AO2154" s="17"/>
      <c r="AP2154" s="28" t="str">
        <f t="shared" si="630"/>
        <v>20208</v>
      </c>
      <c r="AQ2154" s="28" t="str">
        <f t="shared" si="631"/>
        <v>20208RMB</v>
      </c>
      <c r="AR2154" s="206" t="str">
        <f t="shared" si="632"/>
        <v>YAMAHA_Mounter</v>
      </c>
      <c r="AS2154" s="22">
        <f t="shared" si="633"/>
        <v>0</v>
      </c>
      <c r="AT2154" s="24" t="str">
        <f t="shared" si="634"/>
        <v>0-3 months</v>
      </c>
      <c r="AU2154" s="22" t="s">
        <v>3240</v>
      </c>
    </row>
    <row r="2155" spans="1:47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626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635"/>
        <v>750000</v>
      </c>
      <c r="AA2155" s="13">
        <v>1.095</v>
      </c>
      <c r="AB2155" s="21">
        <f t="shared" si="620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1"/>
        <v>35384300.169380538</v>
      </c>
      <c r="AJ2155" s="19">
        <f t="shared" si="622"/>
        <v>5044538.8896988509</v>
      </c>
      <c r="AK2155" s="20">
        <f t="shared" si="629"/>
        <v>0.14256432557804533</v>
      </c>
      <c r="AL2155" s="17"/>
      <c r="AM2155" s="17"/>
      <c r="AN2155" s="17"/>
      <c r="AO2155" s="17"/>
      <c r="AP2155" s="28" t="str">
        <f t="shared" si="630"/>
        <v>20207</v>
      </c>
      <c r="AQ2155" s="28" t="str">
        <f t="shared" si="631"/>
        <v>20207RMB</v>
      </c>
      <c r="AR2155" s="206" t="str">
        <f t="shared" si="632"/>
        <v>YAMAHA_Mounter</v>
      </c>
      <c r="AS2155" s="22">
        <f t="shared" si="633"/>
        <v>1</v>
      </c>
      <c r="AT2155" s="24" t="str">
        <f t="shared" si="634"/>
        <v>0-3 months</v>
      </c>
      <c r="AU2155" s="22" t="s">
        <v>3240</v>
      </c>
    </row>
    <row r="2156" spans="1:47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626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635"/>
        <v>640000</v>
      </c>
      <c r="AA2156" s="13">
        <v>1.095</v>
      </c>
      <c r="AB2156" s="21">
        <f t="shared" si="620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1"/>
        <v>28065694.408805311</v>
      </c>
      <c r="AJ2156" s="19">
        <f t="shared" si="622"/>
        <v>4157433.2906989697</v>
      </c>
      <c r="AK2156" s="20">
        <f t="shared" si="629"/>
        <v>0.14813220831602228</v>
      </c>
      <c r="AL2156" s="17"/>
      <c r="AM2156" s="17"/>
      <c r="AN2156" s="17"/>
      <c r="AO2156" s="17"/>
      <c r="AP2156" s="28" t="str">
        <f t="shared" si="630"/>
        <v>20205</v>
      </c>
      <c r="AQ2156" s="28" t="str">
        <f t="shared" si="631"/>
        <v>20205RMB</v>
      </c>
      <c r="AR2156" s="206" t="str">
        <f t="shared" si="632"/>
        <v>YAMAHA_Mounter</v>
      </c>
      <c r="AS2156" s="22">
        <f t="shared" si="633"/>
        <v>1</v>
      </c>
      <c r="AT2156" s="24" t="str">
        <f t="shared" si="634"/>
        <v>0-3 months</v>
      </c>
      <c r="AU2156" s="22" t="s">
        <v>3240</v>
      </c>
    </row>
    <row r="2157" spans="1:47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626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635"/>
        <v>640000</v>
      </c>
      <c r="AA2157" s="13">
        <v>1.095</v>
      </c>
      <c r="AB2157" s="21">
        <f t="shared" si="620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1"/>
        <v>28065694.408805311</v>
      </c>
      <c r="AJ2157" s="19">
        <f t="shared" si="622"/>
        <v>4157433.2906989697</v>
      </c>
      <c r="AK2157" s="20">
        <f t="shared" si="629"/>
        <v>0.14813220831602228</v>
      </c>
      <c r="AL2157" s="17"/>
      <c r="AM2157" s="17"/>
      <c r="AN2157" s="17"/>
      <c r="AO2157" s="17"/>
      <c r="AP2157" s="28" t="str">
        <f t="shared" si="630"/>
        <v>20205</v>
      </c>
      <c r="AQ2157" s="28" t="str">
        <f t="shared" si="631"/>
        <v>20205RMB</v>
      </c>
      <c r="AR2157" s="206" t="str">
        <f t="shared" si="632"/>
        <v>YAMAHA_Mounter</v>
      </c>
      <c r="AS2157" s="22">
        <f t="shared" si="633"/>
        <v>1</v>
      </c>
      <c r="AT2157" s="24" t="str">
        <f t="shared" si="634"/>
        <v>0-3 months</v>
      </c>
      <c r="AU2157" s="22" t="s">
        <v>3240</v>
      </c>
    </row>
    <row r="2158" spans="1:47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626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635"/>
        <v>910000</v>
      </c>
      <c r="AA2158" s="13">
        <v>1.1399999999999999</v>
      </c>
      <c r="AB2158" s="21">
        <f t="shared" si="620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1"/>
        <v>30573205.452778768</v>
      </c>
      <c r="AJ2158" s="19">
        <f t="shared" si="622"/>
        <v>3790930.1683151261</v>
      </c>
      <c r="AK2158" s="20">
        <f t="shared" si="629"/>
        <v>0.12399518179964254</v>
      </c>
      <c r="AL2158" s="17"/>
      <c r="AM2158" s="17"/>
      <c r="AN2158" s="17"/>
      <c r="AO2158" s="17"/>
      <c r="AP2158" s="28" t="str">
        <f t="shared" si="630"/>
        <v>20234</v>
      </c>
      <c r="AQ2158" s="28" t="str">
        <f t="shared" si="631"/>
        <v>20234RMB</v>
      </c>
      <c r="AR2158" s="206" t="str">
        <f t="shared" si="632"/>
        <v>YAMAHA_Mounter</v>
      </c>
      <c r="AS2158" s="22">
        <f t="shared" si="633"/>
        <v>0</v>
      </c>
      <c r="AT2158" s="24" t="str">
        <f t="shared" si="634"/>
        <v>0-3 months</v>
      </c>
      <c r="AU2158" s="22" t="s">
        <v>3240</v>
      </c>
    </row>
    <row r="2159" spans="1:47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626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635"/>
        <v>1035500</v>
      </c>
      <c r="AA2159" s="13">
        <v>1.23</v>
      </c>
      <c r="AB2159" s="21">
        <f t="shared" si="620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1"/>
        <v>34109166.105589926</v>
      </c>
      <c r="AJ2159" s="19">
        <f t="shared" si="622"/>
        <v>4642032.7199573703</v>
      </c>
      <c r="AK2159" s="20">
        <f t="shared" si="629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630"/>
        <v>20185</v>
      </c>
      <c r="AQ2159" s="28" t="str">
        <f t="shared" si="631"/>
        <v>20185RMB</v>
      </c>
      <c r="AR2159" s="206" t="str">
        <f t="shared" si="632"/>
        <v>YAMAHA_Mounter</v>
      </c>
      <c r="AS2159" s="22">
        <f t="shared" si="633"/>
        <v>1</v>
      </c>
      <c r="AT2159" s="24" t="str">
        <f t="shared" si="634"/>
        <v>0-3 months</v>
      </c>
      <c r="AU2159" s="22" t="s">
        <v>3240</v>
      </c>
    </row>
    <row r="2160" spans="1:47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626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635"/>
        <v>783700</v>
      </c>
      <c r="AA2160" s="13">
        <v>1.125</v>
      </c>
      <c r="AB2160" s="21">
        <f t="shared" si="620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1"/>
        <v>10785027.603448275</v>
      </c>
      <c r="AJ2160" s="19">
        <f t="shared" si="622"/>
        <v>1540894.1297982759</v>
      </c>
      <c r="AK2160" s="20">
        <f t="shared" si="629"/>
        <v>0.1428734525728621</v>
      </c>
      <c r="AL2160" s="17"/>
      <c r="AM2160" s="17"/>
      <c r="AN2160" s="17"/>
      <c r="AO2160" s="17"/>
      <c r="AP2160" s="28" t="str">
        <f t="shared" si="630"/>
        <v>201811</v>
      </c>
      <c r="AQ2160" s="28" t="str">
        <f t="shared" si="631"/>
        <v>201811RMB</v>
      </c>
      <c r="AR2160" s="206" t="str">
        <f t="shared" si="632"/>
        <v>YAMAHA_Mounter</v>
      </c>
      <c r="AS2160" s="22">
        <f t="shared" si="633"/>
        <v>7</v>
      </c>
      <c r="AT2160" s="24" t="str">
        <f t="shared" si="634"/>
        <v>&gt; 6 months</v>
      </c>
      <c r="AU2160" s="22" t="s">
        <v>3240</v>
      </c>
    </row>
    <row r="2161" spans="1:47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626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635"/>
        <v>983879</v>
      </c>
      <c r="AA2161" s="13">
        <v>1.1599999999999999</v>
      </c>
      <c r="AB2161" s="21">
        <f t="shared" si="620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1"/>
        <v>32843736.557277881</v>
      </c>
      <c r="AJ2161" s="19">
        <f t="shared" si="622"/>
        <v>3921470.6822663117</v>
      </c>
      <c r="AK2161" s="20">
        <f t="shared" si="629"/>
        <v>0.11939782416131177</v>
      </c>
      <c r="AL2161" s="17"/>
      <c r="AM2161" s="17">
        <v>19</v>
      </c>
      <c r="AN2161" s="17"/>
      <c r="AO2161" s="17"/>
      <c r="AP2161" s="28" t="str">
        <f t="shared" si="630"/>
        <v>20194</v>
      </c>
      <c r="AQ2161" s="28" t="str">
        <f t="shared" si="631"/>
        <v>20194RMB</v>
      </c>
      <c r="AR2161" s="206" t="str">
        <f t="shared" si="632"/>
        <v>YAMAHA_Mounter</v>
      </c>
      <c r="AS2161" s="22">
        <f t="shared" si="633"/>
        <v>0</v>
      </c>
      <c r="AT2161" s="24" t="str">
        <f t="shared" si="634"/>
        <v>0-3 months</v>
      </c>
      <c r="AU2161" s="22" t="s">
        <v>3240</v>
      </c>
    </row>
    <row r="2162" spans="1:47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626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635"/>
        <v>2016465</v>
      </c>
      <c r="AA2162" s="13">
        <v>1.1599999999999999</v>
      </c>
      <c r="AB2162" s="21">
        <f t="shared" si="620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1"/>
        <v>32843736.557277881</v>
      </c>
      <c r="AJ2162" s="19">
        <f t="shared" si="622"/>
        <v>3921470.6822663117</v>
      </c>
      <c r="AK2162" s="20">
        <f t="shared" si="629"/>
        <v>0.11939782416131177</v>
      </c>
      <c r="AL2162" s="17"/>
      <c r="AM2162" s="17">
        <v>19</v>
      </c>
      <c r="AN2162" s="17"/>
      <c r="AO2162" s="17"/>
      <c r="AP2162" s="28" t="str">
        <f t="shared" si="630"/>
        <v>20194</v>
      </c>
      <c r="AQ2162" s="28" t="str">
        <f t="shared" si="631"/>
        <v>20194RMB</v>
      </c>
      <c r="AR2162" s="206" t="str">
        <f t="shared" si="632"/>
        <v>YAMAHA_Mounter</v>
      </c>
      <c r="AS2162" s="22">
        <f t="shared" si="633"/>
        <v>0</v>
      </c>
      <c r="AT2162" s="24" t="str">
        <f t="shared" si="634"/>
        <v>0-3 months</v>
      </c>
      <c r="AU2162" s="22" t="s">
        <v>3240</v>
      </c>
    </row>
    <row r="2163" spans="1:47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625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626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638">IF(W2163="RMB","1.13", "1")</f>
        <v>1.13</v>
      </c>
      <c r="Z2163" s="18">
        <f t="shared" si="635"/>
        <v>800000</v>
      </c>
      <c r="AA2163" s="13">
        <v>1.105</v>
      </c>
      <c r="AB2163" s="21">
        <f t="shared" si="620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1"/>
        <v>499582152.5142017</v>
      </c>
      <c r="AJ2163" s="19">
        <f t="shared" si="622"/>
        <v>59520528.679470733</v>
      </c>
      <c r="AK2163" s="20">
        <f t="shared" si="629"/>
        <v>0.11914062257814291</v>
      </c>
      <c r="AL2163" s="17"/>
      <c r="AM2163" s="17"/>
      <c r="AN2163" s="17"/>
      <c r="AO2163" s="17"/>
      <c r="AP2163" s="28" t="str">
        <f t="shared" si="630"/>
        <v>CancelCancel</v>
      </c>
      <c r="AQ2163" s="28" t="str">
        <f t="shared" si="631"/>
        <v>CancelCancelRMB</v>
      </c>
      <c r="AR2163" s="206" t="str">
        <f t="shared" si="632"/>
        <v>YAMAHA_Mounter</v>
      </c>
      <c r="AS2163" s="22" t="str">
        <f t="shared" si="633"/>
        <v/>
      </c>
      <c r="AT2163" s="24" t="str">
        <f t="shared" si="634"/>
        <v/>
      </c>
      <c r="AU2163" s="22" t="s">
        <v>3240</v>
      </c>
    </row>
    <row r="2164" spans="1:47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625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626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638"/>
        <v>1.13</v>
      </c>
      <c r="Z2164" s="18">
        <f t="shared" si="635"/>
        <v>525000</v>
      </c>
      <c r="AA2164" s="13">
        <v>1.105</v>
      </c>
      <c r="AB2164" s="21">
        <f t="shared" si="620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1"/>
        <v>499582152.5142017</v>
      </c>
      <c r="AJ2164" s="19">
        <f t="shared" si="622"/>
        <v>59520528.679470733</v>
      </c>
      <c r="AK2164" s="20">
        <f t="shared" si="629"/>
        <v>0.11914062257814291</v>
      </c>
      <c r="AL2164" s="17"/>
      <c r="AM2164" s="17"/>
      <c r="AN2164" s="17"/>
      <c r="AO2164" s="17"/>
      <c r="AP2164" s="28" t="str">
        <f t="shared" si="630"/>
        <v>CancelCancel</v>
      </c>
      <c r="AQ2164" s="28" t="str">
        <f t="shared" si="631"/>
        <v>CancelCancelRMB</v>
      </c>
      <c r="AR2164" s="206" t="str">
        <f t="shared" si="632"/>
        <v>YAMAHA_Mounter</v>
      </c>
      <c r="AS2164" s="22" t="str">
        <f t="shared" si="633"/>
        <v/>
      </c>
      <c r="AT2164" s="24" t="str">
        <f t="shared" si="634"/>
        <v/>
      </c>
      <c r="AU2164" s="22" t="s">
        <v>3240</v>
      </c>
    </row>
    <row r="2165" spans="1:47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626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638"/>
        <v>1.13</v>
      </c>
      <c r="Z2165" s="18">
        <f t="shared" si="635"/>
        <v>783200</v>
      </c>
      <c r="AA2165" s="13">
        <v>1.22</v>
      </c>
      <c r="AB2165" s="21">
        <f t="shared" si="620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1"/>
        <v>28726768.133805312</v>
      </c>
      <c r="AJ2165" s="19">
        <f t="shared" si="622"/>
        <v>3853638.1988864429</v>
      </c>
      <c r="AK2165" s="20">
        <f t="shared" si="629"/>
        <v>0.1341479898099476</v>
      </c>
      <c r="AL2165" s="17"/>
      <c r="AM2165" s="17"/>
      <c r="AN2165" s="17"/>
      <c r="AO2165" s="17"/>
      <c r="AP2165" s="28" t="str">
        <f t="shared" si="630"/>
        <v>20223</v>
      </c>
      <c r="AQ2165" s="28" t="str">
        <f t="shared" si="631"/>
        <v>20223RMB</v>
      </c>
      <c r="AR2165" s="206" t="str">
        <f t="shared" si="632"/>
        <v>YAMAHA_Mounter</v>
      </c>
      <c r="AS2165" s="22">
        <f t="shared" si="633"/>
        <v>0</v>
      </c>
      <c r="AT2165" s="24" t="str">
        <f t="shared" si="634"/>
        <v>0-3 months</v>
      </c>
      <c r="AU2165" s="22" t="s">
        <v>3240</v>
      </c>
    </row>
    <row r="2166" spans="1:47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626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638"/>
        <v>1.13</v>
      </c>
      <c r="Z2166" s="18">
        <f t="shared" si="635"/>
        <v>783200</v>
      </c>
      <c r="AA2166" s="13">
        <v>1.22</v>
      </c>
      <c r="AB2166" s="21">
        <f t="shared" ref="AB2166:AB2229" si="639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1"/>
        <v>28726768.133805312</v>
      </c>
      <c r="AJ2166" s="19">
        <f t="shared" si="622"/>
        <v>3853638.1988864429</v>
      </c>
      <c r="AK2166" s="20">
        <f t="shared" si="629"/>
        <v>0.1341479898099476</v>
      </c>
      <c r="AL2166" s="17"/>
      <c r="AM2166" s="17"/>
      <c r="AN2166" s="17"/>
      <c r="AO2166" s="17"/>
      <c r="AP2166" s="28" t="str">
        <f t="shared" si="630"/>
        <v>20223</v>
      </c>
      <c r="AQ2166" s="28" t="str">
        <f t="shared" si="631"/>
        <v>20223RMB</v>
      </c>
      <c r="AR2166" s="206" t="str">
        <f t="shared" si="632"/>
        <v>YAMAHA_Mounter</v>
      </c>
      <c r="AS2166" s="22">
        <f t="shared" si="633"/>
        <v>0</v>
      </c>
      <c r="AT2166" s="24" t="str">
        <f t="shared" si="634"/>
        <v>0-3 months</v>
      </c>
      <c r="AU2166" s="22" t="s">
        <v>3240</v>
      </c>
    </row>
    <row r="2167" spans="1:47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638"/>
        <v>1.13</v>
      </c>
      <c r="Z2167" s="18">
        <f t="shared" si="635"/>
        <v>377479.95999999996</v>
      </c>
      <c r="AA2167" s="13">
        <v>1.22</v>
      </c>
      <c r="AB2167" s="21">
        <f t="shared" si="639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1"/>
        <v>28726768.133805312</v>
      </c>
      <c r="AJ2167" s="19">
        <f t="shared" si="622"/>
        <v>3853638.1988864429</v>
      </c>
      <c r="AK2167" s="20">
        <f t="shared" si="629"/>
        <v>0.1341479898099476</v>
      </c>
      <c r="AL2167" s="17"/>
      <c r="AM2167" s="17"/>
      <c r="AN2167" s="17"/>
      <c r="AO2167" s="17"/>
      <c r="AP2167" s="28" t="str">
        <f t="shared" si="630"/>
        <v>20223</v>
      </c>
      <c r="AQ2167" s="28" t="str">
        <f t="shared" si="631"/>
        <v>20223RMB</v>
      </c>
      <c r="AR2167" s="206" t="str">
        <f t="shared" si="632"/>
        <v>YAMAHA_Mounter</v>
      </c>
      <c r="AS2167" s="22">
        <f t="shared" si="633"/>
        <v>0</v>
      </c>
      <c r="AT2167" s="24" t="str">
        <f t="shared" si="634"/>
        <v>0-3 months</v>
      </c>
      <c r="AU2167" s="22" t="s">
        <v>3240</v>
      </c>
    </row>
    <row r="2168" spans="1:47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638"/>
        <v>1.13</v>
      </c>
      <c r="Z2168" s="18">
        <f t="shared" si="635"/>
        <v>2120</v>
      </c>
      <c r="AA2168" s="13">
        <v>1.22</v>
      </c>
      <c r="AB2168" s="21">
        <f t="shared" si="639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1"/>
        <v>28726768.133805312</v>
      </c>
      <c r="AJ2168" s="19">
        <f t="shared" si="622"/>
        <v>3853638.1988864429</v>
      </c>
      <c r="AK2168" s="20">
        <f t="shared" si="629"/>
        <v>0.1341479898099476</v>
      </c>
      <c r="AL2168" s="17"/>
      <c r="AM2168" s="17"/>
      <c r="AN2168" s="17"/>
      <c r="AO2168" s="17"/>
      <c r="AP2168" s="28" t="str">
        <f t="shared" si="630"/>
        <v>20223</v>
      </c>
      <c r="AQ2168" s="28" t="str">
        <f t="shared" si="631"/>
        <v>20223RMB</v>
      </c>
      <c r="AR2168" s="206" t="str">
        <f t="shared" si="632"/>
        <v>LOCAL SUPPLIER</v>
      </c>
      <c r="AS2168" s="22">
        <f t="shared" si="633"/>
        <v>0</v>
      </c>
      <c r="AT2168" s="24" t="str">
        <f t="shared" si="634"/>
        <v>0-3 months</v>
      </c>
      <c r="AU2168" s="22" t="s">
        <v>3240</v>
      </c>
    </row>
    <row r="2169" spans="1:47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626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635"/>
        <v>670000</v>
      </c>
      <c r="AA2169" s="13">
        <v>1.095</v>
      </c>
      <c r="AB2169" s="21">
        <f t="shared" si="639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1"/>
        <v>28065694.408805311</v>
      </c>
      <c r="AJ2169" s="19">
        <f t="shared" si="622"/>
        <v>4157433.2906989697</v>
      </c>
      <c r="AK2169" s="20">
        <f t="shared" si="629"/>
        <v>0.14813220831602228</v>
      </c>
      <c r="AL2169" s="17"/>
      <c r="AM2169" s="17"/>
      <c r="AN2169" s="17"/>
      <c r="AO2169" s="17"/>
      <c r="AP2169" s="28" t="str">
        <f t="shared" si="630"/>
        <v>20205</v>
      </c>
      <c r="AQ2169" s="28" t="str">
        <f t="shared" si="631"/>
        <v>20205RMB</v>
      </c>
      <c r="AR2169" s="206" t="str">
        <f t="shared" si="632"/>
        <v>YAMAHA_Mounter</v>
      </c>
      <c r="AS2169" s="22">
        <f t="shared" si="633"/>
        <v>2</v>
      </c>
      <c r="AT2169" s="24" t="str">
        <f t="shared" si="634"/>
        <v>0-3 months</v>
      </c>
      <c r="AU2169" s="22" t="s">
        <v>3240</v>
      </c>
    </row>
    <row r="2170" spans="1:47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626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640">IF(W2170="RMB","1.13", "1")</f>
        <v>1.13</v>
      </c>
      <c r="Z2170" s="18">
        <f t="shared" si="635"/>
        <v>814570</v>
      </c>
      <c r="AA2170" s="13">
        <v>1.135</v>
      </c>
      <c r="AB2170" s="21">
        <f t="shared" si="639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1"/>
        <v>28177779.013274338</v>
      </c>
      <c r="AJ2170" s="19">
        <f t="shared" si="622"/>
        <v>4727216.6376190251</v>
      </c>
      <c r="AK2170" s="20">
        <f t="shared" si="629"/>
        <v>0.1677639900359808</v>
      </c>
      <c r="AL2170" s="17"/>
      <c r="AM2170" s="17"/>
      <c r="AN2170" s="17"/>
      <c r="AO2170" s="17"/>
      <c r="AP2170" s="28" t="str">
        <f t="shared" si="630"/>
        <v>20235</v>
      </c>
      <c r="AQ2170" s="28" t="str">
        <f t="shared" si="631"/>
        <v>20235RMB</v>
      </c>
      <c r="AR2170" s="206" t="str">
        <f t="shared" si="632"/>
        <v>YAMAHA_Mounter</v>
      </c>
      <c r="AS2170" s="22">
        <f t="shared" si="633"/>
        <v>0</v>
      </c>
      <c r="AT2170" s="24" t="str">
        <f t="shared" si="634"/>
        <v>0-3 months</v>
      </c>
      <c r="AU2170" s="22" t="s">
        <v>3240</v>
      </c>
    </row>
    <row r="2171" spans="1:47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626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640"/>
        <v>1.13</v>
      </c>
      <c r="Z2171" s="18">
        <f t="shared" si="635"/>
        <v>910000</v>
      </c>
      <c r="AA2171" s="13">
        <v>1.2</v>
      </c>
      <c r="AB2171" s="21">
        <f t="shared" si="639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1"/>
        <v>57778307.282035396</v>
      </c>
      <c r="AJ2171" s="19">
        <f t="shared" si="622"/>
        <v>7259860.7225420559</v>
      </c>
      <c r="AK2171" s="20">
        <f t="shared" si="629"/>
        <v>0.12565028406083667</v>
      </c>
      <c r="AL2171" s="17"/>
      <c r="AM2171" s="17"/>
      <c r="AN2171" s="17"/>
      <c r="AO2171" s="17"/>
      <c r="AP2171" s="28" t="str">
        <f t="shared" si="630"/>
        <v>20213</v>
      </c>
      <c r="AQ2171" s="28" t="str">
        <f t="shared" si="631"/>
        <v>20213RMB</v>
      </c>
      <c r="AR2171" s="206" t="str">
        <f t="shared" si="632"/>
        <v>YAMAHA_Mounter</v>
      </c>
      <c r="AS2171" s="22">
        <f t="shared" si="633"/>
        <v>3</v>
      </c>
      <c r="AT2171" s="24" t="str">
        <f t="shared" si="634"/>
        <v>0-3 months</v>
      </c>
      <c r="AU2171" s="22" t="s">
        <v>3240</v>
      </c>
    </row>
    <row r="2172" spans="1:47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626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640"/>
        <v>1.13</v>
      </c>
      <c r="Z2172" s="18">
        <f t="shared" si="635"/>
        <v>550000</v>
      </c>
      <c r="AA2172" s="13">
        <v>1.2</v>
      </c>
      <c r="AB2172" s="21">
        <f t="shared" si="639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1"/>
        <v>57778307.282035396</v>
      </c>
      <c r="AJ2172" s="19">
        <f t="shared" si="622"/>
        <v>7259860.7225420559</v>
      </c>
      <c r="AK2172" s="20">
        <f t="shared" si="629"/>
        <v>0.12565028406083667</v>
      </c>
      <c r="AL2172" s="17"/>
      <c r="AM2172" s="17"/>
      <c r="AN2172" s="17"/>
      <c r="AO2172" s="17"/>
      <c r="AP2172" s="28" t="str">
        <f t="shared" si="630"/>
        <v>20213</v>
      </c>
      <c r="AQ2172" s="28" t="str">
        <f t="shared" si="631"/>
        <v>20213RMB</v>
      </c>
      <c r="AR2172" s="206" t="str">
        <f t="shared" si="632"/>
        <v>YAMAHA_Mounter</v>
      </c>
      <c r="AS2172" s="22">
        <f t="shared" si="633"/>
        <v>3</v>
      </c>
      <c r="AT2172" s="24" t="str">
        <f t="shared" si="634"/>
        <v>0-3 months</v>
      </c>
      <c r="AU2172" s="22" t="s">
        <v>3240</v>
      </c>
    </row>
    <row r="2173" spans="1:47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626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640"/>
        <v>1.13</v>
      </c>
      <c r="Z2173" s="18">
        <f t="shared" si="635"/>
        <v>845000</v>
      </c>
      <c r="AA2173" s="13">
        <v>1.163</v>
      </c>
      <c r="AB2173" s="21">
        <f t="shared" si="639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1"/>
        <v>35073581.838938057</v>
      </c>
      <c r="AJ2173" s="19">
        <f t="shared" si="622"/>
        <v>5034113.9728989396</v>
      </c>
      <c r="AK2173" s="20">
        <f t="shared" si="629"/>
        <v>0.14353007902118958</v>
      </c>
      <c r="AL2173" s="17"/>
      <c r="AM2173" s="17"/>
      <c r="AN2173" s="17"/>
      <c r="AO2173" s="17"/>
      <c r="AP2173" s="28" t="str">
        <f t="shared" si="630"/>
        <v>20228</v>
      </c>
      <c r="AQ2173" s="28" t="str">
        <f t="shared" si="631"/>
        <v>20228RMB</v>
      </c>
      <c r="AR2173" s="206" t="str">
        <f t="shared" si="632"/>
        <v>YAMAHA_Mounter</v>
      </c>
      <c r="AS2173" s="22">
        <f t="shared" si="633"/>
        <v>4</v>
      </c>
      <c r="AT2173" s="24" t="str">
        <f t="shared" si="634"/>
        <v>4-6 months</v>
      </c>
      <c r="AU2173" s="22" t="s">
        <v>3240</v>
      </c>
    </row>
    <row r="2174" spans="1:47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626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640"/>
        <v>1.13</v>
      </c>
      <c r="Z2174" s="18">
        <f t="shared" si="635"/>
        <v>845000</v>
      </c>
      <c r="AA2174" s="13">
        <v>1.163</v>
      </c>
      <c r="AB2174" s="21">
        <f t="shared" si="639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1"/>
        <v>35073581.838938057</v>
      </c>
      <c r="AJ2174" s="19">
        <f t="shared" si="622"/>
        <v>5034113.9728989396</v>
      </c>
      <c r="AK2174" s="20">
        <f t="shared" si="629"/>
        <v>0.14353007902118958</v>
      </c>
      <c r="AL2174" s="17"/>
      <c r="AM2174" s="17"/>
      <c r="AN2174" s="17"/>
      <c r="AO2174" s="17"/>
      <c r="AP2174" s="28" t="str">
        <f t="shared" si="630"/>
        <v>20228</v>
      </c>
      <c r="AQ2174" s="28" t="str">
        <f t="shared" si="631"/>
        <v>20228RMB</v>
      </c>
      <c r="AR2174" s="206" t="str">
        <f t="shared" si="632"/>
        <v>YAMAHA_Mounter</v>
      </c>
      <c r="AS2174" s="22">
        <f t="shared" si="633"/>
        <v>4</v>
      </c>
      <c r="AT2174" s="24" t="str">
        <f t="shared" si="634"/>
        <v>4-6 months</v>
      </c>
      <c r="AU2174" s="22" t="s">
        <v>3240</v>
      </c>
    </row>
    <row r="2175" spans="1:47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626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640"/>
        <v>1.13</v>
      </c>
      <c r="Z2175" s="18">
        <f t="shared" si="635"/>
        <v>500000</v>
      </c>
      <c r="AA2175" s="13">
        <v>1.163</v>
      </c>
      <c r="AB2175" s="21">
        <f t="shared" si="639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1"/>
        <v>35073581.838938057</v>
      </c>
      <c r="AJ2175" s="19">
        <f t="shared" si="622"/>
        <v>5034113.9728989396</v>
      </c>
      <c r="AK2175" s="20">
        <f t="shared" si="629"/>
        <v>0.14353007902118958</v>
      </c>
      <c r="AL2175" s="17"/>
      <c r="AM2175" s="17"/>
      <c r="AN2175" s="17"/>
      <c r="AO2175" s="17"/>
      <c r="AP2175" s="28" t="str">
        <f t="shared" si="630"/>
        <v>20228</v>
      </c>
      <c r="AQ2175" s="28" t="str">
        <f t="shared" si="631"/>
        <v>20228RMB</v>
      </c>
      <c r="AR2175" s="206" t="str">
        <f t="shared" si="632"/>
        <v>YAMAHA_Mounter</v>
      </c>
      <c r="AS2175" s="22">
        <f t="shared" si="633"/>
        <v>4</v>
      </c>
      <c r="AT2175" s="24" t="str">
        <f t="shared" si="634"/>
        <v>4-6 months</v>
      </c>
      <c r="AU2175" s="22" t="s">
        <v>3240</v>
      </c>
    </row>
    <row r="2176" spans="1:47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626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640"/>
        <v>1.13</v>
      </c>
      <c r="Z2176" s="18">
        <f t="shared" si="635"/>
        <v>500000</v>
      </c>
      <c r="AA2176" s="13">
        <v>1.163</v>
      </c>
      <c r="AB2176" s="21">
        <f t="shared" si="639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1"/>
        <v>35073581.838938057</v>
      </c>
      <c r="AJ2176" s="19">
        <f t="shared" si="622"/>
        <v>5034113.9728989396</v>
      </c>
      <c r="AK2176" s="20">
        <f t="shared" si="629"/>
        <v>0.14353007902118958</v>
      </c>
      <c r="AL2176" s="17"/>
      <c r="AM2176" s="17"/>
      <c r="AN2176" s="17"/>
      <c r="AO2176" s="17"/>
      <c r="AP2176" s="28" t="str">
        <f t="shared" si="630"/>
        <v>20228</v>
      </c>
      <c r="AQ2176" s="28" t="str">
        <f t="shared" si="631"/>
        <v>20228RMB</v>
      </c>
      <c r="AR2176" s="206" t="str">
        <f t="shared" si="632"/>
        <v>YAMAHA_Mounter</v>
      </c>
      <c r="AS2176" s="22">
        <f t="shared" si="633"/>
        <v>4</v>
      </c>
      <c r="AT2176" s="24" t="str">
        <f t="shared" si="634"/>
        <v>4-6 months</v>
      </c>
      <c r="AU2176" s="22" t="s">
        <v>3240</v>
      </c>
    </row>
    <row r="2177" spans="1:47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626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640"/>
        <v>1.13</v>
      </c>
      <c r="Z2177" s="18">
        <f t="shared" si="635"/>
        <v>650000</v>
      </c>
      <c r="AA2177" s="13">
        <v>1.1399999999999999</v>
      </c>
      <c r="AB2177" s="21">
        <f t="shared" si="639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1"/>
        <v>30573205.452778768</v>
      </c>
      <c r="AJ2177" s="19">
        <f t="shared" si="622"/>
        <v>3790930.1683151261</v>
      </c>
      <c r="AK2177" s="20">
        <f t="shared" si="629"/>
        <v>0.12399518179964254</v>
      </c>
      <c r="AL2177" s="17"/>
      <c r="AM2177" s="17"/>
      <c r="AN2177" s="17"/>
      <c r="AO2177" s="17"/>
      <c r="AP2177" s="28" t="str">
        <f t="shared" si="630"/>
        <v>20234</v>
      </c>
      <c r="AQ2177" s="28" t="str">
        <f t="shared" si="631"/>
        <v>20234RMB</v>
      </c>
      <c r="AR2177" s="206" t="str">
        <f t="shared" si="632"/>
        <v>YAMAHA_Mounter</v>
      </c>
      <c r="AS2177" s="22">
        <f t="shared" si="633"/>
        <v>1</v>
      </c>
      <c r="AT2177" s="24" t="str">
        <f t="shared" si="634"/>
        <v>0-3 months</v>
      </c>
      <c r="AU2177" s="22" t="s">
        <v>3240</v>
      </c>
    </row>
    <row r="2178" spans="1:47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626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640"/>
        <v>1.13</v>
      </c>
      <c r="Z2178" s="18">
        <f t="shared" si="635"/>
        <v>495000</v>
      </c>
      <c r="AA2178" s="13">
        <v>1.1950000000000001</v>
      </c>
      <c r="AB2178" s="21">
        <f t="shared" si="639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ref="AI2178:AI2241" si="641">IF(P2178="C66 SERVICE","",SUMIFS(AB:AB,F:F,F2178,G:G,G2178,E:E,E2178))</f>
        <v>44014086.982070789</v>
      </c>
      <c r="AJ2178" s="19">
        <f t="shared" ref="AJ2178:AJ2241" si="642">IF(P2178="C66 SERVICE","",SUMIFS(AC:AC,F:F,F2178,G:G,G2178,E:E,E2178))</f>
        <v>6419974.0221889298</v>
      </c>
      <c r="AK2178" s="20">
        <f t="shared" si="629"/>
        <v>0.14586180158193709</v>
      </c>
      <c r="AL2178" s="17"/>
      <c r="AM2178" s="17"/>
      <c r="AN2178" s="17"/>
      <c r="AO2178" s="17"/>
      <c r="AP2178" s="28" t="str">
        <f t="shared" si="630"/>
        <v>20225</v>
      </c>
      <c r="AQ2178" s="28" t="str">
        <f t="shared" si="631"/>
        <v>20225RMB</v>
      </c>
      <c r="AR2178" s="206" t="str">
        <f t="shared" si="632"/>
        <v>YAMAHA_Mounter</v>
      </c>
      <c r="AS2178" s="22">
        <f t="shared" si="633"/>
        <v>4</v>
      </c>
      <c r="AT2178" s="24" t="str">
        <f t="shared" si="634"/>
        <v>4-6 months</v>
      </c>
      <c r="AU2178" s="22" t="s">
        <v>3240</v>
      </c>
    </row>
    <row r="2179" spans="1:47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626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640"/>
        <v>1.13</v>
      </c>
      <c r="Z2179" s="18">
        <f t="shared" si="635"/>
        <v>955900</v>
      </c>
      <c r="AA2179" s="13">
        <v>1.1950000000000001</v>
      </c>
      <c r="AB2179" s="21">
        <f t="shared" si="639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41"/>
        <v>44014086.982070789</v>
      </c>
      <c r="AJ2179" s="19">
        <f t="shared" si="642"/>
        <v>6419974.0221889298</v>
      </c>
      <c r="AK2179" s="20">
        <f t="shared" si="629"/>
        <v>0.14586180158193709</v>
      </c>
      <c r="AL2179" s="17"/>
      <c r="AM2179" s="17"/>
      <c r="AN2179" s="17"/>
      <c r="AO2179" s="17"/>
      <c r="AP2179" s="28" t="str">
        <f t="shared" si="630"/>
        <v>20225</v>
      </c>
      <c r="AQ2179" s="28" t="str">
        <f t="shared" si="631"/>
        <v>20225RMB</v>
      </c>
      <c r="AR2179" s="206" t="str">
        <f t="shared" si="632"/>
        <v>YAMAHA_Mounter</v>
      </c>
      <c r="AS2179" s="22">
        <f t="shared" si="633"/>
        <v>4</v>
      </c>
      <c r="AT2179" s="24" t="str">
        <f t="shared" si="634"/>
        <v>4-6 months</v>
      </c>
      <c r="AU2179" s="22" t="s">
        <v>3240</v>
      </c>
    </row>
    <row r="2180" spans="1:47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626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635"/>
        <v>525000</v>
      </c>
      <c r="AA2180" s="22">
        <v>1.0900000000000001</v>
      </c>
      <c r="AB2180" s="21">
        <f t="shared" si="639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41"/>
        <v>10524262.405309737</v>
      </c>
      <c r="AJ2180" s="27">
        <f t="shared" si="642"/>
        <v>1479050.9527127435</v>
      </c>
      <c r="AK2180" s="28">
        <f t="shared" si="629"/>
        <v>0.14053725532028996</v>
      </c>
      <c r="AL2180" s="24"/>
      <c r="AM2180" s="24"/>
      <c r="AN2180" s="24"/>
      <c r="AO2180" s="24"/>
      <c r="AP2180" s="28" t="str">
        <f t="shared" si="630"/>
        <v>20242</v>
      </c>
      <c r="AQ2180" s="28" t="str">
        <f t="shared" si="631"/>
        <v>20242RMB</v>
      </c>
      <c r="AR2180" s="206" t="str">
        <f t="shared" si="632"/>
        <v>YAMAHA_Mounter</v>
      </c>
      <c r="AS2180" s="22">
        <f t="shared" si="633"/>
        <v>1</v>
      </c>
      <c r="AT2180" s="24" t="str">
        <f t="shared" si="634"/>
        <v>0-3 months</v>
      </c>
      <c r="AU2180" s="22" t="s">
        <v>3240</v>
      </c>
    </row>
    <row r="2181" spans="1:47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626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635"/>
        <v>525000</v>
      </c>
      <c r="AA2181" s="22">
        <v>1.0900000000000001</v>
      </c>
      <c r="AB2181" s="21">
        <f t="shared" si="639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41"/>
        <v>10524262.405309737</v>
      </c>
      <c r="AJ2181" s="27">
        <f t="shared" si="642"/>
        <v>1479050.9527127435</v>
      </c>
      <c r="AK2181" s="28">
        <f t="shared" si="629"/>
        <v>0.14053725532028996</v>
      </c>
      <c r="AL2181" s="24"/>
      <c r="AM2181" s="24"/>
      <c r="AN2181" s="24"/>
      <c r="AO2181" s="24"/>
      <c r="AP2181" s="28" t="str">
        <f t="shared" si="630"/>
        <v>20242</v>
      </c>
      <c r="AQ2181" s="28" t="str">
        <f t="shared" si="631"/>
        <v>20242RMB</v>
      </c>
      <c r="AR2181" s="206" t="str">
        <f t="shared" si="632"/>
        <v>YAMAHA_Mounter</v>
      </c>
      <c r="AS2181" s="22">
        <f t="shared" si="633"/>
        <v>1</v>
      </c>
      <c r="AT2181" s="24" t="str">
        <f t="shared" si="634"/>
        <v>0-3 months</v>
      </c>
      <c r="AU2181" s="22" t="s">
        <v>3240</v>
      </c>
    </row>
    <row r="2182" spans="1:47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635"/>
        <v>507000</v>
      </c>
      <c r="AA2182" s="13">
        <v>1.23</v>
      </c>
      <c r="AB2182" s="21">
        <f t="shared" si="639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si="641"/>
        <v>29288201.603076916</v>
      </c>
      <c r="AJ2182" s="19">
        <f t="shared" si="642"/>
        <v>3870159.1769246152</v>
      </c>
      <c r="AK2182" s="20">
        <f t="shared" ref="AK2182:AK2245" si="649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0">IF(F2182="","",F2182&amp;G2182)</f>
        <v>20184</v>
      </c>
      <c r="AQ2182" s="28" t="str">
        <f t="shared" ref="AQ2182:AQ2245" si="651">IF(W2182="","",F2182&amp;G2182&amp;W2182)</f>
        <v>20184RMB</v>
      </c>
      <c r="AR2182" s="206" t="str">
        <f t="shared" ref="AR2182:AR2245" si="652">IFERROR(IF(AND(M2182="YAMAHA", R2182="C28"), "YAMAHA_Non_Mounter", IF(AND(M2182="YAMAHA", R2182="C49"), "YAMAHA_Mounter", M2182)),"")</f>
        <v>YAMAHA_Mounter</v>
      </c>
      <c r="AS2182" s="22">
        <f t="shared" ref="AS2182:AS2245" si="653">IFERROR(IF(OR(G2182="TBA", G2182=""), "", DATEDIF(DATE(B2182, C2182, 1), DATE(F2182, G2182, 1), "M")),"")</f>
        <v>5</v>
      </c>
      <c r="AT2182" s="24" t="str">
        <f t="shared" ref="AT2182:AT2245" si="654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>
      <c r="A2183" s="33" t="str">
        <f t="shared" si="643"/>
        <v>cancel</v>
      </c>
      <c r="B2183" s="152"/>
      <c r="C2183" s="152" t="s">
        <v>185</v>
      </c>
      <c r="D2183" s="33" t="str">
        <f t="shared" si="64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64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64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635"/>
        <v>800000</v>
      </c>
      <c r="AA2183" s="13">
        <v>1.1100000000000001</v>
      </c>
      <c r="AB2183" s="21">
        <f t="shared" si="639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1"/>
        <v>499582152.5142017</v>
      </c>
      <c r="AJ2183" s="19">
        <f t="shared" si="642"/>
        <v>59520528.679470733</v>
      </c>
      <c r="AK2183" s="20">
        <f t="shared" si="649"/>
        <v>0.11914062257814291</v>
      </c>
      <c r="AL2183" s="17"/>
      <c r="AM2183" s="17"/>
      <c r="AN2183" s="17"/>
      <c r="AO2183" s="17"/>
      <c r="AP2183" s="28" t="str">
        <f t="shared" si="650"/>
        <v>CancelCancel</v>
      </c>
      <c r="AQ2183" s="28" t="str">
        <f t="shared" si="651"/>
        <v>CancelCancelRMB</v>
      </c>
      <c r="AR2183" s="206" t="str">
        <f t="shared" si="652"/>
        <v>YAMAHA_Mounter</v>
      </c>
      <c r="AS2183" s="22" t="str">
        <f t="shared" si="653"/>
        <v/>
      </c>
      <c r="AT2183" s="24" t="str">
        <f t="shared" si="654"/>
        <v/>
      </c>
      <c r="AU2183" s="22" t="s">
        <v>3240</v>
      </c>
    </row>
    <row r="2184" spans="1:47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64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635"/>
        <v>795000</v>
      </c>
      <c r="AA2184" s="13">
        <v>1.2</v>
      </c>
      <c r="AB2184" s="21">
        <f t="shared" si="639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1"/>
        <v>15533177.71460177</v>
      </c>
      <c r="AJ2184" s="19">
        <f t="shared" si="642"/>
        <v>1819298.5437526547</v>
      </c>
      <c r="AK2184" s="20">
        <f t="shared" si="649"/>
        <v>0.11712339723265033</v>
      </c>
      <c r="AL2184" s="17"/>
      <c r="AM2184" s="17"/>
      <c r="AN2184" s="17"/>
      <c r="AO2184" s="17"/>
      <c r="AP2184" s="28" t="str">
        <f t="shared" si="650"/>
        <v>202110</v>
      </c>
      <c r="AQ2184" s="28" t="str">
        <f t="shared" si="651"/>
        <v>202110RMB</v>
      </c>
      <c r="AR2184" s="206" t="str">
        <f t="shared" si="652"/>
        <v>YAMAHA_Mounter</v>
      </c>
      <c r="AS2184" s="22">
        <f t="shared" si="653"/>
        <v>14</v>
      </c>
      <c r="AT2184" s="24" t="str">
        <f t="shared" si="654"/>
        <v>&gt; 6 months</v>
      </c>
      <c r="AU2184" s="22" t="s">
        <v>3240</v>
      </c>
    </row>
    <row r="2185" spans="1:47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64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635"/>
        <v>880000</v>
      </c>
      <c r="AA2185" s="13">
        <v>1.095</v>
      </c>
      <c r="AB2185" s="21">
        <f t="shared" si="639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1"/>
        <v>28647263.974455759</v>
      </c>
      <c r="AJ2185" s="19">
        <f t="shared" si="642"/>
        <v>3219855.6912513468</v>
      </c>
      <c r="AK2185" s="20">
        <f t="shared" si="649"/>
        <v>0.11239662168514358</v>
      </c>
      <c r="AL2185" s="17"/>
      <c r="AM2185" s="17"/>
      <c r="AN2185" s="17"/>
      <c r="AO2185" s="17"/>
      <c r="AP2185" s="28" t="str">
        <f t="shared" si="650"/>
        <v>201910</v>
      </c>
      <c r="AQ2185" s="28" t="str">
        <f t="shared" si="651"/>
        <v>201910RMB</v>
      </c>
      <c r="AR2185" s="206" t="str">
        <f t="shared" si="652"/>
        <v>YAMAHA_Mounter</v>
      </c>
      <c r="AS2185" s="22">
        <f t="shared" si="653"/>
        <v>1</v>
      </c>
      <c r="AT2185" s="24" t="str">
        <f t="shared" si="654"/>
        <v>0-3 months</v>
      </c>
      <c r="AU2185" s="22" t="s">
        <v>3743</v>
      </c>
    </row>
    <row r="2186" spans="1:47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64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655">IF(X2186="","",X2186*MAX(O2186,N2186))</f>
        <v>600000</v>
      </c>
      <c r="AA2186" s="13">
        <v>1.095</v>
      </c>
      <c r="AB2186" s="21">
        <f t="shared" si="639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1"/>
        <v>28647263.974455759</v>
      </c>
      <c r="AJ2186" s="19">
        <f t="shared" si="642"/>
        <v>3219855.6912513468</v>
      </c>
      <c r="AK2186" s="20">
        <f t="shared" si="649"/>
        <v>0.11239662168514358</v>
      </c>
      <c r="AL2186" s="17"/>
      <c r="AM2186" s="17"/>
      <c r="AN2186" s="17"/>
      <c r="AO2186" s="17"/>
      <c r="AP2186" s="28" t="str">
        <f t="shared" si="650"/>
        <v>201910</v>
      </c>
      <c r="AQ2186" s="28" t="str">
        <f t="shared" si="651"/>
        <v>201910RMB</v>
      </c>
      <c r="AR2186" s="206" t="str">
        <f t="shared" si="652"/>
        <v>YAMAHA_Mounter</v>
      </c>
      <c r="AS2186" s="22">
        <f t="shared" si="653"/>
        <v>1</v>
      </c>
      <c r="AT2186" s="24" t="str">
        <f t="shared" si="654"/>
        <v>0-3 months</v>
      </c>
      <c r="AU2186" s="22" t="s">
        <v>3743</v>
      </c>
    </row>
    <row r="2187" spans="1:47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64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655"/>
        <v>445000</v>
      </c>
      <c r="AA2187" s="13">
        <v>1.125</v>
      </c>
      <c r="AB2187" s="21">
        <f t="shared" si="639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1"/>
        <v>29840797.698275864</v>
      </c>
      <c r="AJ2187" s="19">
        <f t="shared" si="642"/>
        <v>3940167.6555448272</v>
      </c>
      <c r="AK2187" s="20">
        <f t="shared" si="649"/>
        <v>0.13203962224416277</v>
      </c>
      <c r="AL2187" s="17"/>
      <c r="AM2187" s="17"/>
      <c r="AN2187" s="17"/>
      <c r="AO2187" s="17"/>
      <c r="AP2187" s="28" t="str">
        <f t="shared" si="650"/>
        <v>201812</v>
      </c>
      <c r="AQ2187" s="28" t="str">
        <f t="shared" si="651"/>
        <v>201812RMB</v>
      </c>
      <c r="AR2187" s="206" t="str">
        <f t="shared" si="652"/>
        <v>PEMTRON</v>
      </c>
      <c r="AS2187" s="22">
        <f t="shared" si="653"/>
        <v>1</v>
      </c>
      <c r="AT2187" s="24" t="str">
        <f t="shared" si="654"/>
        <v>0-3 months</v>
      </c>
      <c r="AU2187" s="22" t="s">
        <v>3240</v>
      </c>
    </row>
    <row r="2188" spans="1:47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64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655"/>
        <v>1080000</v>
      </c>
      <c r="AA2188" s="13">
        <v>1.1100000000000001</v>
      </c>
      <c r="AB2188" s="21">
        <f t="shared" si="639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1"/>
        <v>26147030.909862842</v>
      </c>
      <c r="AJ2188" s="19">
        <f t="shared" si="642"/>
        <v>2743862.8630715334</v>
      </c>
      <c r="AK2188" s="20">
        <f t="shared" si="649"/>
        <v>0.10493974908778378</v>
      </c>
      <c r="AL2188" s="17"/>
      <c r="AM2188" s="17"/>
      <c r="AN2188" s="17"/>
      <c r="AO2188" s="17"/>
      <c r="AP2188" s="28" t="str">
        <f t="shared" si="650"/>
        <v>201911</v>
      </c>
      <c r="AQ2188" s="28" t="str">
        <f t="shared" si="651"/>
        <v>201911RMB</v>
      </c>
      <c r="AR2188" s="206" t="str">
        <f t="shared" si="652"/>
        <v>YAMAHA_Mounter</v>
      </c>
      <c r="AS2188" s="22">
        <f t="shared" si="653"/>
        <v>2</v>
      </c>
      <c r="AT2188" s="24" t="str">
        <f t="shared" si="654"/>
        <v>0-3 months</v>
      </c>
      <c r="AU2188" s="22" t="s">
        <v>3743</v>
      </c>
    </row>
    <row r="2189" spans="1:47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64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655"/>
        <v>11860000</v>
      </c>
      <c r="AA2189" s="13">
        <v>5.4899999999999997E-2</v>
      </c>
      <c r="AB2189" s="21">
        <f t="shared" si="639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1"/>
        <v>26078226.463097349</v>
      </c>
      <c r="AJ2189" s="19">
        <f t="shared" si="642"/>
        <v>3137870.4427774516</v>
      </c>
      <c r="AK2189" s="20">
        <f t="shared" si="649"/>
        <v>0.12032530077218917</v>
      </c>
      <c r="AL2189" s="17"/>
      <c r="AM2189" s="17"/>
      <c r="AN2189" s="17"/>
      <c r="AO2189" s="17"/>
      <c r="AP2189" s="28" t="str">
        <f t="shared" si="650"/>
        <v>20239</v>
      </c>
      <c r="AQ2189" s="28" t="str">
        <f t="shared" si="651"/>
        <v>20239JPY</v>
      </c>
      <c r="AR2189" s="206" t="str">
        <f t="shared" si="652"/>
        <v>YAMAHA_Mounter</v>
      </c>
      <c r="AS2189" s="22">
        <f t="shared" si="653"/>
        <v>0</v>
      </c>
      <c r="AT2189" s="24" t="str">
        <f t="shared" si="654"/>
        <v>0-3 months</v>
      </c>
      <c r="AU2189" s="22" t="s">
        <v>3240</v>
      </c>
    </row>
    <row r="2190" spans="1:47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64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655"/>
        <v>10000000</v>
      </c>
      <c r="AA2190" s="13">
        <v>7.4899999999999994E-2</v>
      </c>
      <c r="AB2190" s="21">
        <f t="shared" si="639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1"/>
        <v>47907808.356810622</v>
      </c>
      <c r="AJ2190" s="19">
        <f t="shared" si="642"/>
        <v>6027384.8806384448</v>
      </c>
      <c r="AK2190" s="20">
        <f t="shared" si="649"/>
        <v>0.12581216063459488</v>
      </c>
      <c r="AL2190" s="17"/>
      <c r="AM2190" s="17"/>
      <c r="AN2190" s="17"/>
      <c r="AO2190" s="17"/>
      <c r="AP2190" s="28" t="str">
        <f t="shared" si="650"/>
        <v>20209</v>
      </c>
      <c r="AQ2190" s="28" t="str">
        <f t="shared" si="651"/>
        <v>20209JPY</v>
      </c>
      <c r="AR2190" s="206" t="str">
        <f t="shared" si="652"/>
        <v>YAMAHA_Mounter</v>
      </c>
      <c r="AS2190" s="22">
        <f t="shared" si="653"/>
        <v>2</v>
      </c>
      <c r="AT2190" s="24" t="str">
        <f t="shared" si="654"/>
        <v>0-3 months</v>
      </c>
      <c r="AU2190" s="22" t="s">
        <v>3745</v>
      </c>
    </row>
    <row r="2191" spans="1:47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64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655"/>
        <v>10000000</v>
      </c>
      <c r="AA2191" s="13">
        <v>7.4899999999999994E-2</v>
      </c>
      <c r="AB2191" s="21">
        <f t="shared" si="639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1"/>
        <v>47907808.356810622</v>
      </c>
      <c r="AJ2191" s="19">
        <f t="shared" si="642"/>
        <v>6027384.8806384448</v>
      </c>
      <c r="AK2191" s="20">
        <f t="shared" si="649"/>
        <v>0.12581216063459488</v>
      </c>
      <c r="AL2191" s="17"/>
      <c r="AM2191" s="17"/>
      <c r="AN2191" s="17"/>
      <c r="AO2191" s="17"/>
      <c r="AP2191" s="28" t="str">
        <f t="shared" si="650"/>
        <v>20209</v>
      </c>
      <c r="AQ2191" s="28" t="str">
        <f t="shared" si="651"/>
        <v>20209JPY</v>
      </c>
      <c r="AR2191" s="206" t="str">
        <f t="shared" si="652"/>
        <v>YAMAHA_Mounter</v>
      </c>
      <c r="AS2191" s="22">
        <f t="shared" si="653"/>
        <v>2</v>
      </c>
      <c r="AT2191" s="24" t="str">
        <f t="shared" si="654"/>
        <v>0-3 months</v>
      </c>
      <c r="AU2191" s="22" t="s">
        <v>3745</v>
      </c>
    </row>
    <row r="2192" spans="1:47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64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655"/>
        <v>14200000</v>
      </c>
      <c r="AA2192" s="13">
        <v>7.4899999999999994E-2</v>
      </c>
      <c r="AB2192" s="21">
        <f t="shared" si="639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1"/>
        <v>47907808.356810622</v>
      </c>
      <c r="AJ2192" s="19">
        <f t="shared" si="642"/>
        <v>6027384.8806384448</v>
      </c>
      <c r="AK2192" s="20">
        <f t="shared" si="649"/>
        <v>0.12581216063459488</v>
      </c>
      <c r="AL2192" s="17"/>
      <c r="AM2192" s="17"/>
      <c r="AN2192" s="17"/>
      <c r="AO2192" s="17"/>
      <c r="AP2192" s="28" t="str">
        <f t="shared" si="650"/>
        <v>20209</v>
      </c>
      <c r="AQ2192" s="28" t="str">
        <f t="shared" si="651"/>
        <v>20209JPY</v>
      </c>
      <c r="AR2192" s="206" t="str">
        <f t="shared" si="652"/>
        <v>YAMAHA_Mounter</v>
      </c>
      <c r="AS2192" s="22">
        <f t="shared" si="653"/>
        <v>2</v>
      </c>
      <c r="AT2192" s="24" t="str">
        <f t="shared" si="654"/>
        <v>0-3 months</v>
      </c>
      <c r="AU2192" s="22" t="s">
        <v>3745</v>
      </c>
    </row>
    <row r="2193" spans="1:47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64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656">IF(W2193="RMB","1.13", "1")</f>
        <v>1</v>
      </c>
      <c r="Z2193" s="18">
        <f t="shared" si="655"/>
        <v>10000000</v>
      </c>
      <c r="AA2193" s="13">
        <v>7.6100000000000001E-2</v>
      </c>
      <c r="AB2193" s="21">
        <f t="shared" si="639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1"/>
        <v>48763143.537654862</v>
      </c>
      <c r="AJ2193" s="19">
        <f t="shared" si="642"/>
        <v>5924029.9702154724</v>
      </c>
      <c r="AK2193" s="20">
        <f t="shared" si="649"/>
        <v>0.1214858095774925</v>
      </c>
      <c r="AL2193" s="17"/>
      <c r="AM2193" s="17"/>
      <c r="AN2193" s="17"/>
      <c r="AO2193" s="17"/>
      <c r="AP2193" s="28" t="str">
        <f t="shared" si="650"/>
        <v>202012</v>
      </c>
      <c r="AQ2193" s="28" t="str">
        <f t="shared" si="651"/>
        <v>202012JPY</v>
      </c>
      <c r="AR2193" s="206" t="str">
        <f t="shared" si="652"/>
        <v>YAMAHA_Mounter</v>
      </c>
      <c r="AS2193" s="22">
        <f t="shared" si="653"/>
        <v>3</v>
      </c>
      <c r="AT2193" s="24" t="str">
        <f t="shared" si="654"/>
        <v>0-3 months</v>
      </c>
      <c r="AU2193" s="22" t="s">
        <v>3745</v>
      </c>
    </row>
    <row r="2194" spans="1:47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64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656"/>
        <v>1</v>
      </c>
      <c r="Z2194" s="18">
        <f t="shared" si="655"/>
        <v>10000000</v>
      </c>
      <c r="AA2194" s="13">
        <v>7.6100000000000001E-2</v>
      </c>
      <c r="AB2194" s="21">
        <f t="shared" si="639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1"/>
        <v>48763143.537654862</v>
      </c>
      <c r="AJ2194" s="19">
        <f t="shared" si="642"/>
        <v>5924029.9702154724</v>
      </c>
      <c r="AK2194" s="20">
        <f t="shared" si="649"/>
        <v>0.1214858095774925</v>
      </c>
      <c r="AL2194" s="17"/>
      <c r="AM2194" s="17"/>
      <c r="AN2194" s="17"/>
      <c r="AO2194" s="17"/>
      <c r="AP2194" s="28" t="str">
        <f t="shared" si="650"/>
        <v>202012</v>
      </c>
      <c r="AQ2194" s="28" t="str">
        <f t="shared" si="651"/>
        <v>202012JPY</v>
      </c>
      <c r="AR2194" s="206" t="str">
        <f t="shared" si="652"/>
        <v>YAMAHA_Mounter</v>
      </c>
      <c r="AS2194" s="22">
        <f t="shared" si="653"/>
        <v>3</v>
      </c>
      <c r="AT2194" s="24" t="str">
        <f t="shared" si="654"/>
        <v>0-3 months</v>
      </c>
      <c r="AU2194" s="22" t="s">
        <v>3745</v>
      </c>
    </row>
    <row r="2195" spans="1:47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64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656"/>
        <v>1</v>
      </c>
      <c r="Z2195" s="18">
        <f t="shared" si="655"/>
        <v>14200000</v>
      </c>
      <c r="AA2195" s="13">
        <v>7.6100000000000001E-2</v>
      </c>
      <c r="AB2195" s="21">
        <f t="shared" si="639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1"/>
        <v>48763143.537654862</v>
      </c>
      <c r="AJ2195" s="19">
        <f t="shared" si="642"/>
        <v>5924029.9702154724</v>
      </c>
      <c r="AK2195" s="20">
        <f t="shared" si="649"/>
        <v>0.1214858095774925</v>
      </c>
      <c r="AL2195" s="17"/>
      <c r="AM2195" s="17"/>
      <c r="AN2195" s="17"/>
      <c r="AO2195" s="17"/>
      <c r="AP2195" s="28" t="str">
        <f t="shared" si="650"/>
        <v>202012</v>
      </c>
      <c r="AQ2195" s="28" t="str">
        <f t="shared" si="651"/>
        <v>202012JPY</v>
      </c>
      <c r="AR2195" s="206" t="str">
        <f t="shared" si="652"/>
        <v>YAMAHA_Mounter</v>
      </c>
      <c r="AS2195" s="22">
        <f t="shared" si="653"/>
        <v>3</v>
      </c>
      <c r="AT2195" s="24" t="str">
        <f t="shared" si="654"/>
        <v>0-3 months</v>
      </c>
      <c r="AU2195" s="22" t="s">
        <v>3745</v>
      </c>
    </row>
    <row r="2196" spans="1:47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64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656"/>
        <v>1</v>
      </c>
      <c r="Z2196" s="18">
        <f t="shared" si="655"/>
        <v>18600000</v>
      </c>
      <c r="AA2196" s="13">
        <v>7.0000000000000007E-2</v>
      </c>
      <c r="AB2196" s="21">
        <f t="shared" si="639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1"/>
        <v>29500529.005044252</v>
      </c>
      <c r="AJ2196" s="19">
        <f t="shared" si="642"/>
        <v>3253064.846231177</v>
      </c>
      <c r="AK2196" s="20">
        <f t="shared" si="649"/>
        <v>0.11027140718984871</v>
      </c>
      <c r="AL2196" s="17"/>
      <c r="AM2196" s="17"/>
      <c r="AN2196" s="17"/>
      <c r="AO2196" s="17"/>
      <c r="AP2196" s="28" t="str">
        <f t="shared" si="650"/>
        <v>202111</v>
      </c>
      <c r="AQ2196" s="28" t="str">
        <f t="shared" si="651"/>
        <v>202111JPY</v>
      </c>
      <c r="AR2196" s="206" t="str">
        <f t="shared" si="652"/>
        <v>YAMAHA_Mounter</v>
      </c>
      <c r="AS2196" s="22">
        <f t="shared" si="653"/>
        <v>7</v>
      </c>
      <c r="AT2196" s="24" t="str">
        <f t="shared" si="654"/>
        <v>&gt; 6 months</v>
      </c>
      <c r="AU2196" s="22" t="s">
        <v>3745</v>
      </c>
    </row>
    <row r="2197" spans="1:47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64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656"/>
        <v>1</v>
      </c>
      <c r="Z2197" s="18">
        <f t="shared" si="655"/>
        <v>18600000</v>
      </c>
      <c r="AA2197" s="13">
        <v>7.0000000000000007E-2</v>
      </c>
      <c r="AB2197" s="21">
        <f t="shared" si="639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1"/>
        <v>29500529.005044252</v>
      </c>
      <c r="AJ2197" s="19">
        <f t="shared" si="642"/>
        <v>3253064.846231177</v>
      </c>
      <c r="AK2197" s="20">
        <f t="shared" si="649"/>
        <v>0.11027140718984871</v>
      </c>
      <c r="AL2197" s="17"/>
      <c r="AM2197" s="17"/>
      <c r="AN2197" s="17"/>
      <c r="AO2197" s="17"/>
      <c r="AP2197" s="28" t="str">
        <f t="shared" si="650"/>
        <v>202111</v>
      </c>
      <c r="AQ2197" s="28" t="str">
        <f t="shared" si="651"/>
        <v>202111JPY</v>
      </c>
      <c r="AR2197" s="206" t="str">
        <f t="shared" si="652"/>
        <v>YAMAHA_Mounter</v>
      </c>
      <c r="AS2197" s="22">
        <f t="shared" si="653"/>
        <v>7</v>
      </c>
      <c r="AT2197" s="24" t="str">
        <f t="shared" si="654"/>
        <v>&gt; 6 months</v>
      </c>
      <c r="AU2197" s="22" t="s">
        <v>3745</v>
      </c>
    </row>
    <row r="2198" spans="1:47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64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656"/>
        <v>1</v>
      </c>
      <c r="Z2198" s="18">
        <f t="shared" si="655"/>
        <v>18600000</v>
      </c>
      <c r="AA2198" s="13">
        <v>7.0000000000000007E-2</v>
      </c>
      <c r="AB2198" s="21">
        <f t="shared" si="639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1"/>
        <v>29500529.005044252</v>
      </c>
      <c r="AJ2198" s="19">
        <f t="shared" si="642"/>
        <v>3253064.846231177</v>
      </c>
      <c r="AK2198" s="20">
        <f t="shared" si="649"/>
        <v>0.11027140718984871</v>
      </c>
      <c r="AL2198" s="17"/>
      <c r="AM2198" s="17"/>
      <c r="AN2198" s="17"/>
      <c r="AO2198" s="17"/>
      <c r="AP2198" s="28" t="str">
        <f t="shared" si="650"/>
        <v>202111</v>
      </c>
      <c r="AQ2198" s="28" t="str">
        <f t="shared" si="651"/>
        <v>202111JPY</v>
      </c>
      <c r="AR2198" s="206" t="str">
        <f t="shared" si="652"/>
        <v>YAMAHA_Mounter</v>
      </c>
      <c r="AS2198" s="22">
        <f t="shared" si="653"/>
        <v>7</v>
      </c>
      <c r="AT2198" s="24" t="str">
        <f t="shared" si="654"/>
        <v>&gt; 6 months</v>
      </c>
      <c r="AU2198" s="22" t="s">
        <v>3745</v>
      </c>
    </row>
    <row r="2199" spans="1:47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64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656"/>
        <v>1</v>
      </c>
      <c r="Z2199" s="18">
        <f t="shared" si="655"/>
        <v>21000000</v>
      </c>
      <c r="AA2199" s="13">
        <v>5.8799999999999998E-2</v>
      </c>
      <c r="AB2199" s="21">
        <f t="shared" si="639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1"/>
        <v>33543315.897345133</v>
      </c>
      <c r="AJ2199" s="19">
        <f t="shared" si="642"/>
        <v>4706169.3252984071</v>
      </c>
      <c r="AK2199" s="20">
        <f t="shared" si="649"/>
        <v>0.14030125523967318</v>
      </c>
      <c r="AL2199" s="17"/>
      <c r="AM2199" s="17"/>
      <c r="AN2199" s="17"/>
      <c r="AO2199" s="17"/>
      <c r="AP2199" s="28" t="str">
        <f t="shared" si="650"/>
        <v>20233</v>
      </c>
      <c r="AQ2199" s="28" t="str">
        <f t="shared" si="651"/>
        <v>20233JPY</v>
      </c>
      <c r="AR2199" s="206" t="str">
        <f t="shared" si="652"/>
        <v>YAMAHA_Mounter</v>
      </c>
      <c r="AS2199" s="22">
        <f t="shared" si="653"/>
        <v>3</v>
      </c>
      <c r="AT2199" s="24" t="str">
        <f t="shared" si="654"/>
        <v>0-3 months</v>
      </c>
      <c r="AU2199" s="22" t="s">
        <v>3745</v>
      </c>
    </row>
    <row r="2200" spans="1:47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64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656"/>
        <v>1</v>
      </c>
      <c r="Z2200" s="18">
        <f t="shared" si="655"/>
        <v>21000000</v>
      </c>
      <c r="AA2200" s="13">
        <v>5.8799999999999998E-2</v>
      </c>
      <c r="AB2200" s="21">
        <f t="shared" si="639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1"/>
        <v>33543315.897345133</v>
      </c>
      <c r="AJ2200" s="19">
        <f t="shared" si="642"/>
        <v>4706169.3252984071</v>
      </c>
      <c r="AK2200" s="20">
        <f t="shared" si="649"/>
        <v>0.14030125523967318</v>
      </c>
      <c r="AL2200" s="17"/>
      <c r="AM2200" s="17"/>
      <c r="AN2200" s="17"/>
      <c r="AO2200" s="17"/>
      <c r="AP2200" s="28" t="str">
        <f t="shared" si="650"/>
        <v>20233</v>
      </c>
      <c r="AQ2200" s="28" t="str">
        <f t="shared" si="651"/>
        <v>20233JPY</v>
      </c>
      <c r="AR2200" s="206" t="str">
        <f t="shared" si="652"/>
        <v>YAMAHA_Mounter</v>
      </c>
      <c r="AS2200" s="22">
        <f t="shared" si="653"/>
        <v>3</v>
      </c>
      <c r="AT2200" s="24" t="str">
        <f t="shared" si="654"/>
        <v>0-3 months</v>
      </c>
      <c r="AU2200" s="22" t="s">
        <v>3745</v>
      </c>
    </row>
    <row r="2201" spans="1:47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64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656"/>
        <v>1</v>
      </c>
      <c r="Z2201" s="18">
        <f t="shared" si="655"/>
        <v>21000000</v>
      </c>
      <c r="AA2201" s="13">
        <v>5.8799999999999998E-2</v>
      </c>
      <c r="AB2201" s="21">
        <f t="shared" si="639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1"/>
        <v>33543315.897345133</v>
      </c>
      <c r="AJ2201" s="19">
        <f t="shared" si="642"/>
        <v>4706169.3252984071</v>
      </c>
      <c r="AK2201" s="20">
        <f t="shared" si="649"/>
        <v>0.14030125523967318</v>
      </c>
      <c r="AL2201" s="17"/>
      <c r="AM2201" s="17"/>
      <c r="AN2201" s="17"/>
      <c r="AO2201" s="17"/>
      <c r="AP2201" s="28" t="str">
        <f t="shared" si="650"/>
        <v>20233</v>
      </c>
      <c r="AQ2201" s="28" t="str">
        <f t="shared" si="651"/>
        <v>20233JPY</v>
      </c>
      <c r="AR2201" s="206" t="str">
        <f t="shared" si="652"/>
        <v>YAMAHA_Mounter</v>
      </c>
      <c r="AS2201" s="22">
        <f t="shared" si="653"/>
        <v>3</v>
      </c>
      <c r="AT2201" s="24" t="str">
        <f t="shared" si="654"/>
        <v>0-3 months</v>
      </c>
      <c r="AU2201" s="22" t="s">
        <v>3745</v>
      </c>
    </row>
    <row r="2202" spans="1:47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64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656"/>
        <v>1</v>
      </c>
      <c r="Z2202" s="18">
        <f t="shared" si="655"/>
        <v>18000000</v>
      </c>
      <c r="AA2202" s="13">
        <v>6.2799999999999995E-2</v>
      </c>
      <c r="AB2202" s="21">
        <f t="shared" si="639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1"/>
        <v>44014086.982070789</v>
      </c>
      <c r="AJ2202" s="19">
        <f t="shared" si="642"/>
        <v>6419974.0221889298</v>
      </c>
      <c r="AK2202" s="20">
        <f t="shared" si="649"/>
        <v>0.14586180158193709</v>
      </c>
      <c r="AL2202" s="17"/>
      <c r="AM2202" s="17"/>
      <c r="AN2202" s="17"/>
      <c r="AO2202" s="17"/>
      <c r="AP2202" s="28" t="str">
        <f t="shared" si="650"/>
        <v>20225</v>
      </c>
      <c r="AQ2202" s="28" t="str">
        <f t="shared" si="651"/>
        <v>20225JPY</v>
      </c>
      <c r="AR2202" s="206" t="str">
        <f t="shared" si="652"/>
        <v>YAMAHA_Mounter</v>
      </c>
      <c r="AS2202" s="22">
        <f t="shared" si="653"/>
        <v>4</v>
      </c>
      <c r="AT2202" s="24" t="str">
        <f t="shared" si="654"/>
        <v>4-6 months</v>
      </c>
      <c r="AU2202" s="22" t="s">
        <v>3745</v>
      </c>
    </row>
    <row r="2203" spans="1:47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64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656"/>
        <v>1</v>
      </c>
      <c r="Z2203" s="18">
        <f t="shared" si="655"/>
        <v>18000000</v>
      </c>
      <c r="AA2203" s="13">
        <v>6.2799999999999995E-2</v>
      </c>
      <c r="AB2203" s="21">
        <f t="shared" si="639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1"/>
        <v>44014086.982070789</v>
      </c>
      <c r="AJ2203" s="19">
        <f t="shared" si="642"/>
        <v>6419974.0221889298</v>
      </c>
      <c r="AK2203" s="20">
        <f t="shared" si="649"/>
        <v>0.14586180158193709</v>
      </c>
      <c r="AL2203" s="17"/>
      <c r="AM2203" s="17"/>
      <c r="AN2203" s="17"/>
      <c r="AO2203" s="17"/>
      <c r="AP2203" s="28" t="str">
        <f t="shared" si="650"/>
        <v>20225</v>
      </c>
      <c r="AQ2203" s="28" t="str">
        <f t="shared" si="651"/>
        <v>20225JPY</v>
      </c>
      <c r="AR2203" s="206" t="str">
        <f t="shared" si="652"/>
        <v>YAMAHA_Mounter</v>
      </c>
      <c r="AS2203" s="22">
        <f t="shared" si="653"/>
        <v>4</v>
      </c>
      <c r="AT2203" s="24" t="str">
        <f t="shared" si="654"/>
        <v>4-6 months</v>
      </c>
      <c r="AU2203" s="22" t="s">
        <v>3745</v>
      </c>
    </row>
    <row r="2204" spans="1:47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64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656"/>
        <v>1</v>
      </c>
      <c r="Z2204" s="18">
        <f t="shared" si="655"/>
        <v>11500000</v>
      </c>
      <c r="AA2204" s="13">
        <v>6.2799999999999995E-2</v>
      </c>
      <c r="AB2204" s="21">
        <f t="shared" si="639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1"/>
        <v>44014086.982070789</v>
      </c>
      <c r="AJ2204" s="19">
        <f t="shared" si="642"/>
        <v>6419974.0221889298</v>
      </c>
      <c r="AK2204" s="20">
        <f t="shared" si="649"/>
        <v>0.14586180158193709</v>
      </c>
      <c r="AL2204" s="17"/>
      <c r="AM2204" s="17"/>
      <c r="AN2204" s="17"/>
      <c r="AO2204" s="17"/>
      <c r="AP2204" s="28" t="str">
        <f t="shared" si="650"/>
        <v>20225</v>
      </c>
      <c r="AQ2204" s="28" t="str">
        <f t="shared" si="651"/>
        <v>20225JPY</v>
      </c>
      <c r="AR2204" s="206" t="str">
        <f t="shared" si="652"/>
        <v>YAMAHA_Mounter</v>
      </c>
      <c r="AS2204" s="22">
        <f t="shared" si="653"/>
        <v>4</v>
      </c>
      <c r="AT2204" s="24" t="str">
        <f t="shared" si="654"/>
        <v>4-6 months</v>
      </c>
      <c r="AU2204" s="22" t="s">
        <v>3745</v>
      </c>
    </row>
    <row r="2205" spans="1:47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64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656"/>
        <v>1</v>
      </c>
      <c r="Z2205" s="18">
        <f t="shared" si="655"/>
        <v>11500000</v>
      </c>
      <c r="AA2205" s="13">
        <v>6.2799999999999995E-2</v>
      </c>
      <c r="AB2205" s="21">
        <f t="shared" si="639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1"/>
        <v>44014086.982070789</v>
      </c>
      <c r="AJ2205" s="19">
        <f t="shared" si="642"/>
        <v>6419974.0221889298</v>
      </c>
      <c r="AK2205" s="20">
        <f t="shared" si="649"/>
        <v>0.14586180158193709</v>
      </c>
      <c r="AL2205" s="17"/>
      <c r="AM2205" s="17"/>
      <c r="AN2205" s="17"/>
      <c r="AO2205" s="17"/>
      <c r="AP2205" s="28" t="str">
        <f t="shared" si="650"/>
        <v>20225</v>
      </c>
      <c r="AQ2205" s="28" t="str">
        <f t="shared" si="651"/>
        <v>20225JPY</v>
      </c>
      <c r="AR2205" s="206" t="str">
        <f t="shared" si="652"/>
        <v>YAMAHA_Mounter</v>
      </c>
      <c r="AS2205" s="22">
        <f t="shared" si="653"/>
        <v>4</v>
      </c>
      <c r="AT2205" s="24" t="str">
        <f t="shared" si="654"/>
        <v>4-6 months</v>
      </c>
      <c r="AU2205" s="22" t="s">
        <v>3745</v>
      </c>
    </row>
    <row r="2206" spans="1:47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64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656"/>
        <v>1</v>
      </c>
      <c r="Z2206" s="18">
        <f t="shared" si="655"/>
        <v>11500000</v>
      </c>
      <c r="AA2206" s="13">
        <v>6.2799999999999995E-2</v>
      </c>
      <c r="AB2206" s="21">
        <f t="shared" si="639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1"/>
        <v>44014086.982070789</v>
      </c>
      <c r="AJ2206" s="19">
        <f t="shared" si="642"/>
        <v>6419974.0221889298</v>
      </c>
      <c r="AK2206" s="20">
        <f t="shared" si="649"/>
        <v>0.14586180158193709</v>
      </c>
      <c r="AL2206" s="17"/>
      <c r="AM2206" s="17"/>
      <c r="AN2206" s="17"/>
      <c r="AO2206" s="17"/>
      <c r="AP2206" s="28" t="str">
        <f t="shared" si="650"/>
        <v>20225</v>
      </c>
      <c r="AQ2206" s="28" t="str">
        <f t="shared" si="651"/>
        <v>20225JPY</v>
      </c>
      <c r="AR2206" s="206" t="str">
        <f t="shared" si="652"/>
        <v>YAMAHA_Mounter</v>
      </c>
      <c r="AS2206" s="22">
        <f t="shared" si="653"/>
        <v>4</v>
      </c>
      <c r="AT2206" s="24" t="str">
        <f t="shared" si="654"/>
        <v>4-6 months</v>
      </c>
      <c r="AU2206" s="22" t="s">
        <v>3745</v>
      </c>
    </row>
    <row r="2207" spans="1:47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64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656"/>
        <v>1</v>
      </c>
      <c r="Z2207" s="18">
        <f t="shared" si="655"/>
        <v>11500000</v>
      </c>
      <c r="AA2207" s="13">
        <v>6.2799999999999995E-2</v>
      </c>
      <c r="AB2207" s="21">
        <f t="shared" si="639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1"/>
        <v>44014086.982070789</v>
      </c>
      <c r="AJ2207" s="19">
        <f t="shared" si="642"/>
        <v>6419974.0221889298</v>
      </c>
      <c r="AK2207" s="20">
        <f t="shared" si="649"/>
        <v>0.14586180158193709</v>
      </c>
      <c r="AL2207" s="17"/>
      <c r="AM2207" s="17"/>
      <c r="AN2207" s="17"/>
      <c r="AO2207" s="17"/>
      <c r="AP2207" s="28" t="str">
        <f t="shared" si="650"/>
        <v>20225</v>
      </c>
      <c r="AQ2207" s="28" t="str">
        <f t="shared" si="651"/>
        <v>20225JPY</v>
      </c>
      <c r="AR2207" s="206" t="str">
        <f t="shared" si="652"/>
        <v>YAMAHA_Mounter</v>
      </c>
      <c r="AS2207" s="22">
        <f t="shared" si="653"/>
        <v>4</v>
      </c>
      <c r="AT2207" s="24" t="str">
        <f t="shared" si="654"/>
        <v>4-6 months</v>
      </c>
      <c r="AU2207" s="22" t="s">
        <v>3745</v>
      </c>
    </row>
    <row r="2208" spans="1:47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64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656"/>
        <v>1.13</v>
      </c>
      <c r="Z2208" s="18">
        <f t="shared" si="655"/>
        <v>990000</v>
      </c>
      <c r="AA2208" s="13">
        <v>1.0900000000000001</v>
      </c>
      <c r="AB2208" s="21">
        <f t="shared" si="639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1"/>
        <v>17329060.066371687</v>
      </c>
      <c r="AJ2208" s="19">
        <f t="shared" si="642"/>
        <v>2472600.2142256643</v>
      </c>
      <c r="AK2208" s="20">
        <f t="shared" si="649"/>
        <v>0.14268518919984163</v>
      </c>
      <c r="AL2208" s="17"/>
      <c r="AM2208" s="17"/>
      <c r="AN2208" s="17"/>
      <c r="AO2208" s="17"/>
      <c r="AP2208" s="28" t="str">
        <f t="shared" si="650"/>
        <v>202212</v>
      </c>
      <c r="AQ2208" s="28" t="str">
        <f t="shared" si="651"/>
        <v>202212RMB</v>
      </c>
      <c r="AR2208" s="206" t="str">
        <f t="shared" si="652"/>
        <v>YAMAHA_Mounter</v>
      </c>
      <c r="AS2208" s="22">
        <f t="shared" si="653"/>
        <v>0</v>
      </c>
      <c r="AT2208" s="24" t="str">
        <f t="shared" si="654"/>
        <v>0-3 months</v>
      </c>
      <c r="AU2208" s="22" t="s">
        <v>3750</v>
      </c>
    </row>
    <row r="2209" spans="1:47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64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656"/>
        <v>1.13</v>
      </c>
      <c r="Z2209" s="18">
        <f t="shared" si="655"/>
        <v>990000</v>
      </c>
      <c r="AA2209" s="13">
        <v>1.0900000000000001</v>
      </c>
      <c r="AB2209" s="21">
        <f t="shared" si="639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1"/>
        <v>17329060.066371687</v>
      </c>
      <c r="AJ2209" s="19">
        <f t="shared" si="642"/>
        <v>2472600.2142256643</v>
      </c>
      <c r="AK2209" s="20">
        <f t="shared" si="649"/>
        <v>0.14268518919984163</v>
      </c>
      <c r="AL2209" s="17"/>
      <c r="AM2209" s="17"/>
      <c r="AN2209" s="17"/>
      <c r="AO2209" s="17"/>
      <c r="AP2209" s="28" t="str">
        <f t="shared" si="650"/>
        <v>202212</v>
      </c>
      <c r="AQ2209" s="28" t="str">
        <f t="shared" si="651"/>
        <v>202212RMB</v>
      </c>
      <c r="AR2209" s="206" t="str">
        <f t="shared" si="652"/>
        <v>YAMAHA_Mounter</v>
      </c>
      <c r="AS2209" s="22">
        <f t="shared" si="653"/>
        <v>0</v>
      </c>
      <c r="AT2209" s="24" t="str">
        <f t="shared" si="654"/>
        <v>0-3 months</v>
      </c>
      <c r="AU2209" s="22" t="s">
        <v>3750</v>
      </c>
    </row>
    <row r="2210" spans="1:47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64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656"/>
        <v>1.13</v>
      </c>
      <c r="Z2210" s="18">
        <f t="shared" si="655"/>
        <v>756000</v>
      </c>
      <c r="AA2210" s="13">
        <v>1.0900000000000001</v>
      </c>
      <c r="AB2210" s="21">
        <f t="shared" si="639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1"/>
        <v>17329060.066371687</v>
      </c>
      <c r="AJ2210" s="19">
        <f t="shared" si="642"/>
        <v>2472600.2142256643</v>
      </c>
      <c r="AK2210" s="20">
        <f t="shared" si="649"/>
        <v>0.14268518919984163</v>
      </c>
      <c r="AL2210" s="17"/>
      <c r="AM2210" s="17"/>
      <c r="AN2210" s="17"/>
      <c r="AO2210" s="17"/>
      <c r="AP2210" s="28" t="str">
        <f t="shared" si="650"/>
        <v>202212</v>
      </c>
      <c r="AQ2210" s="28" t="str">
        <f t="shared" si="651"/>
        <v>202212RMB</v>
      </c>
      <c r="AR2210" s="206" t="str">
        <f t="shared" si="652"/>
        <v>YAMAHA_Mounter</v>
      </c>
      <c r="AS2210" s="22">
        <f t="shared" si="653"/>
        <v>0</v>
      </c>
      <c r="AT2210" s="24" t="str">
        <f t="shared" si="654"/>
        <v>0-3 months</v>
      </c>
      <c r="AU2210" s="22" t="s">
        <v>3750</v>
      </c>
    </row>
    <row r="2211" spans="1:47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64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656"/>
        <v>1.13</v>
      </c>
      <c r="Z2211" s="18">
        <f t="shared" si="655"/>
        <v>756000</v>
      </c>
      <c r="AA2211" s="13">
        <v>1.0900000000000001</v>
      </c>
      <c r="AB2211" s="21">
        <f t="shared" si="639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1"/>
        <v>17329060.066371687</v>
      </c>
      <c r="AJ2211" s="19">
        <f t="shared" si="642"/>
        <v>2472600.2142256643</v>
      </c>
      <c r="AK2211" s="20">
        <f t="shared" si="649"/>
        <v>0.14268518919984163</v>
      </c>
      <c r="AL2211" s="17"/>
      <c r="AM2211" s="17"/>
      <c r="AN2211" s="17"/>
      <c r="AO2211" s="17"/>
      <c r="AP2211" s="28" t="str">
        <f t="shared" si="650"/>
        <v>202212</v>
      </c>
      <c r="AQ2211" s="28" t="str">
        <f t="shared" si="651"/>
        <v>202212RMB</v>
      </c>
      <c r="AR2211" s="206" t="str">
        <f t="shared" si="652"/>
        <v>YAMAHA_Mounter</v>
      </c>
      <c r="AS2211" s="22">
        <f t="shared" si="653"/>
        <v>0</v>
      </c>
      <c r="AT2211" s="24" t="str">
        <f t="shared" si="654"/>
        <v>0-3 months</v>
      </c>
      <c r="AU2211" s="22" t="s">
        <v>3750</v>
      </c>
    </row>
    <row r="2212" spans="1:47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64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656"/>
        <v>1.13</v>
      </c>
      <c r="Z2212" s="18">
        <f t="shared" si="655"/>
        <v>850000</v>
      </c>
      <c r="AA2212" s="13">
        <v>1.1599999999999999</v>
      </c>
      <c r="AB2212" s="21">
        <f t="shared" si="639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1"/>
        <v>21045012.884955753</v>
      </c>
      <c r="AJ2212" s="19">
        <f t="shared" si="642"/>
        <v>2650260.9603327443</v>
      </c>
      <c r="AK2212" s="20">
        <f t="shared" si="649"/>
        <v>0.12593296924172048</v>
      </c>
      <c r="AL2212" s="17"/>
      <c r="AM2212" s="17"/>
      <c r="AN2212" s="17"/>
      <c r="AO2212" s="17"/>
      <c r="AP2212" s="28" t="str">
        <f t="shared" si="650"/>
        <v>20232</v>
      </c>
      <c r="AQ2212" s="28" t="str">
        <f t="shared" si="651"/>
        <v>20232RMB</v>
      </c>
      <c r="AR2212" s="206" t="str">
        <f t="shared" si="652"/>
        <v>YAMAHA_Mounter</v>
      </c>
      <c r="AS2212" s="22">
        <f t="shared" si="653"/>
        <v>0</v>
      </c>
      <c r="AT2212" s="24" t="str">
        <f t="shared" si="654"/>
        <v>0-3 months</v>
      </c>
      <c r="AU2212" s="22" t="s">
        <v>3750</v>
      </c>
    </row>
    <row r="2213" spans="1:47" s="12" customFormat="1">
      <c r="A2213" s="33" t="str">
        <f t="shared" si="643"/>
        <v>cancel</v>
      </c>
      <c r="B2213" s="152"/>
      <c r="C2213" s="152" t="s">
        <v>185</v>
      </c>
      <c r="D2213" s="33" t="str">
        <f t="shared" si="64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64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64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655"/>
        <v>7771400</v>
      </c>
      <c r="AA2213" s="13">
        <v>7.4899999999999994E-2</v>
      </c>
      <c r="AB2213" s="21">
        <f t="shared" si="639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1"/>
        <v>499582152.5142017</v>
      </c>
      <c r="AJ2213" s="19">
        <f t="shared" si="642"/>
        <v>59520528.679470733</v>
      </c>
      <c r="AK2213" s="20">
        <f t="shared" si="649"/>
        <v>0.11914062257814291</v>
      </c>
      <c r="AL2213" s="17"/>
      <c r="AM2213" s="17"/>
      <c r="AN2213" s="17"/>
      <c r="AO2213" s="17"/>
      <c r="AP2213" s="28" t="str">
        <f t="shared" si="650"/>
        <v>CancelCancel</v>
      </c>
      <c r="AQ2213" s="28" t="str">
        <f t="shared" si="651"/>
        <v>CancelCancelJPY</v>
      </c>
      <c r="AR2213" s="206" t="str">
        <f t="shared" si="652"/>
        <v>YAMAHA_Mounter</v>
      </c>
      <c r="AS2213" s="22" t="str">
        <f t="shared" si="653"/>
        <v/>
      </c>
      <c r="AT2213" s="24" t="str">
        <f t="shared" si="654"/>
        <v/>
      </c>
      <c r="AU2213" s="22" t="s">
        <v>3240</v>
      </c>
    </row>
    <row r="2214" spans="1:47" s="12" customFormat="1">
      <c r="A2214" s="33" t="str">
        <f t="shared" si="643"/>
        <v>cancel</v>
      </c>
      <c r="B2214" s="152"/>
      <c r="C2214" s="152" t="s">
        <v>185</v>
      </c>
      <c r="D2214" s="33" t="str">
        <f t="shared" si="64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64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64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655"/>
        <v>7771400</v>
      </c>
      <c r="AA2214" s="13">
        <v>7.6100000000000001E-2</v>
      </c>
      <c r="AB2214" s="21">
        <f t="shared" si="639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1"/>
        <v>499582152.5142017</v>
      </c>
      <c r="AJ2214" s="19">
        <f t="shared" si="642"/>
        <v>59520528.679470733</v>
      </c>
      <c r="AK2214" s="20">
        <f t="shared" si="649"/>
        <v>0.11914062257814291</v>
      </c>
      <c r="AL2214" s="17"/>
      <c r="AM2214" s="17"/>
      <c r="AN2214" s="17"/>
      <c r="AO2214" s="17" t="s">
        <v>2749</v>
      </c>
      <c r="AP2214" s="28" t="str">
        <f t="shared" si="650"/>
        <v>CancelCancel</v>
      </c>
      <c r="AQ2214" s="28" t="str">
        <f t="shared" si="651"/>
        <v>CancelCancelJPY</v>
      </c>
      <c r="AR2214" s="206" t="str">
        <f t="shared" si="652"/>
        <v>YAMAHA_Mounter</v>
      </c>
      <c r="AS2214" s="22" t="str">
        <f t="shared" si="653"/>
        <v/>
      </c>
      <c r="AT2214" s="24" t="str">
        <f t="shared" si="654"/>
        <v/>
      </c>
      <c r="AU2214" s="22" t="s">
        <v>3240</v>
      </c>
    </row>
    <row r="2215" spans="1:47" s="12" customFormat="1">
      <c r="A2215" s="33" t="str">
        <f t="shared" si="643"/>
        <v>cancel</v>
      </c>
      <c r="B2215" s="152"/>
      <c r="C2215" s="152" t="s">
        <v>185</v>
      </c>
      <c r="D2215" s="33" t="str">
        <f t="shared" si="64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64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64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655"/>
        <v>7771400</v>
      </c>
      <c r="AA2215" s="13">
        <v>7.6100000000000001E-2</v>
      </c>
      <c r="AB2215" s="21">
        <f t="shared" si="639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1"/>
        <v>499582152.5142017</v>
      </c>
      <c r="AJ2215" s="19">
        <f t="shared" si="642"/>
        <v>59520528.679470733</v>
      </c>
      <c r="AK2215" s="20">
        <f t="shared" si="649"/>
        <v>0.11914062257814291</v>
      </c>
      <c r="AL2215" s="17"/>
      <c r="AM2215" s="17"/>
      <c r="AN2215" s="17"/>
      <c r="AO2215" s="17" t="s">
        <v>2750</v>
      </c>
      <c r="AP2215" s="28" t="str">
        <f t="shared" si="650"/>
        <v>CancelCancel</v>
      </c>
      <c r="AQ2215" s="28" t="str">
        <f t="shared" si="651"/>
        <v>CancelCancelJPY</v>
      </c>
      <c r="AR2215" s="206" t="str">
        <f t="shared" si="652"/>
        <v>YAMAHA_Mounter</v>
      </c>
      <c r="AS2215" s="22" t="str">
        <f t="shared" si="653"/>
        <v/>
      </c>
      <c r="AT2215" s="24" t="str">
        <f t="shared" si="654"/>
        <v/>
      </c>
      <c r="AU2215" s="22" t="s">
        <v>3240</v>
      </c>
    </row>
    <row r="2216" spans="1:47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64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655"/>
        <v>13760000</v>
      </c>
      <c r="AA2216" s="13">
        <v>7.3499999999999996E-2</v>
      </c>
      <c r="AB2216" s="21">
        <f t="shared" si="639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1"/>
        <v>26147030.909862842</v>
      </c>
      <c r="AJ2216" s="19">
        <f t="shared" si="642"/>
        <v>2743862.8630715334</v>
      </c>
      <c r="AK2216" s="20">
        <f t="shared" si="649"/>
        <v>0.10493974908778378</v>
      </c>
      <c r="AL2216" s="17"/>
      <c r="AM2216" s="17"/>
      <c r="AN2216" s="17"/>
      <c r="AO2216" s="17"/>
      <c r="AP2216" s="28" t="str">
        <f t="shared" si="650"/>
        <v>201911</v>
      </c>
      <c r="AQ2216" s="28" t="str">
        <f t="shared" si="651"/>
        <v>201911JPY</v>
      </c>
      <c r="AR2216" s="206" t="str">
        <f t="shared" si="652"/>
        <v>YAMAHA_Mounter</v>
      </c>
      <c r="AS2216" s="22">
        <f t="shared" si="653"/>
        <v>1</v>
      </c>
      <c r="AT2216" s="24" t="str">
        <f t="shared" si="654"/>
        <v>0-3 months</v>
      </c>
      <c r="AU2216" s="22" t="s">
        <v>3744</v>
      </c>
    </row>
    <row r="2217" spans="1:47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64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655"/>
        <v>8000000</v>
      </c>
      <c r="AA2217" s="13">
        <v>7.3499999999999996E-2</v>
      </c>
      <c r="AB2217" s="21">
        <f t="shared" si="639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1"/>
        <v>26147030.909862842</v>
      </c>
      <c r="AJ2217" s="19">
        <f t="shared" si="642"/>
        <v>2743862.8630715334</v>
      </c>
      <c r="AK2217" s="20">
        <f t="shared" si="649"/>
        <v>0.10493974908778378</v>
      </c>
      <c r="AL2217" s="17"/>
      <c r="AM2217" s="17"/>
      <c r="AN2217" s="17"/>
      <c r="AO2217" s="17"/>
      <c r="AP2217" s="28" t="str">
        <f t="shared" si="650"/>
        <v>201911</v>
      </c>
      <c r="AQ2217" s="28" t="str">
        <f t="shared" si="651"/>
        <v>201911JPY</v>
      </c>
      <c r="AR2217" s="206" t="str">
        <f t="shared" si="652"/>
        <v>YAMAHA_Mounter</v>
      </c>
      <c r="AS2217" s="22">
        <f t="shared" si="653"/>
        <v>1</v>
      </c>
      <c r="AT2217" s="24" t="str">
        <f t="shared" si="654"/>
        <v>0-3 months</v>
      </c>
      <c r="AU2217" s="22" t="s">
        <v>3744</v>
      </c>
    </row>
    <row r="2218" spans="1:47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64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655"/>
        <v>750000</v>
      </c>
      <c r="AA2218" s="13">
        <v>1.095</v>
      </c>
      <c r="AB2218" s="21">
        <f t="shared" si="639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1"/>
        <v>37599388.802345134</v>
      </c>
      <c r="AJ2218" s="19">
        <f t="shared" si="642"/>
        <v>4866784.3630338367</v>
      </c>
      <c r="AK2218" s="20">
        <f t="shared" si="649"/>
        <v>0.12943785838163113</v>
      </c>
      <c r="AL2218" s="17"/>
      <c r="AM2218" s="17"/>
      <c r="AN2218" s="17"/>
      <c r="AO2218" s="17"/>
      <c r="AP2218" s="28" t="str">
        <f t="shared" si="650"/>
        <v>20199</v>
      </c>
      <c r="AQ2218" s="28" t="str">
        <f t="shared" si="651"/>
        <v>20199RMB</v>
      </c>
      <c r="AR2218" s="206" t="str">
        <f t="shared" si="652"/>
        <v>YAMAHA_Mounter</v>
      </c>
      <c r="AS2218" s="22">
        <f t="shared" si="653"/>
        <v>1</v>
      </c>
      <c r="AT2218" s="24" t="str">
        <f t="shared" si="654"/>
        <v>0-3 months</v>
      </c>
      <c r="AU2218" s="22" t="s">
        <v>3743</v>
      </c>
    </row>
    <row r="2219" spans="1:47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64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655"/>
        <v>12000000</v>
      </c>
      <c r="AA2219" s="13">
        <v>7.3599999999999999E-2</v>
      </c>
      <c r="AB2219" s="21">
        <f t="shared" si="639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1"/>
        <v>33477255.428389374</v>
      </c>
      <c r="AJ2219" s="19">
        <f t="shared" si="642"/>
        <v>4578663.362915583</v>
      </c>
      <c r="AK2219" s="20">
        <f t="shared" si="649"/>
        <v>0.13676937682988152</v>
      </c>
      <c r="AL2219" s="17"/>
      <c r="AM2219" s="17"/>
      <c r="AN2219" s="17"/>
      <c r="AO2219" s="17"/>
      <c r="AP2219" s="28" t="str">
        <f t="shared" si="650"/>
        <v>20204</v>
      </c>
      <c r="AQ2219" s="28" t="str">
        <f t="shared" si="651"/>
        <v>20204JPY</v>
      </c>
      <c r="AR2219" s="206" t="str">
        <f t="shared" si="652"/>
        <v>YAMAHA_Mounter</v>
      </c>
      <c r="AS2219" s="22">
        <f t="shared" si="653"/>
        <v>0</v>
      </c>
      <c r="AT2219" s="24" t="str">
        <f t="shared" si="654"/>
        <v>0-3 months</v>
      </c>
      <c r="AU2219" s="22" t="s">
        <v>3744</v>
      </c>
    </row>
    <row r="2220" spans="1:47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64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655"/>
        <v>13200000</v>
      </c>
      <c r="AA2220" s="13">
        <v>7.2099999999999997E-2</v>
      </c>
      <c r="AB2220" s="21">
        <f t="shared" si="639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1"/>
        <v>54700260.692079648</v>
      </c>
      <c r="AJ2220" s="19">
        <f t="shared" si="642"/>
        <v>7482899.5749188727</v>
      </c>
      <c r="AK2220" s="20">
        <f t="shared" si="649"/>
        <v>0.13679824337660537</v>
      </c>
      <c r="AL2220" s="17"/>
      <c r="AM2220" s="17"/>
      <c r="AN2220" s="17"/>
      <c r="AO2220" s="17"/>
      <c r="AP2220" s="28" t="str">
        <f t="shared" si="650"/>
        <v>20216</v>
      </c>
      <c r="AQ2220" s="28" t="str">
        <f t="shared" si="651"/>
        <v>20216JPY</v>
      </c>
      <c r="AR2220" s="206" t="str">
        <f t="shared" si="652"/>
        <v>YAMAHA_Mounter</v>
      </c>
      <c r="AS2220" s="22">
        <f t="shared" si="653"/>
        <v>3</v>
      </c>
      <c r="AT2220" s="24" t="str">
        <f t="shared" si="654"/>
        <v>0-3 months</v>
      </c>
      <c r="AU2220" s="22" t="s">
        <v>3744</v>
      </c>
    </row>
    <row r="2221" spans="1:47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64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655"/>
        <v>8100000</v>
      </c>
      <c r="AA2221" s="13">
        <v>7.2400000000000006E-2</v>
      </c>
      <c r="AB2221" s="21">
        <f t="shared" si="639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1"/>
        <v>47458373.787610628</v>
      </c>
      <c r="AJ2221" s="19">
        <f t="shared" si="642"/>
        <v>7436880.1411522133</v>
      </c>
      <c r="AK2221" s="20">
        <f t="shared" si="649"/>
        <v>0.15670322321692506</v>
      </c>
      <c r="AL2221" s="17"/>
      <c r="AM2221" s="17"/>
      <c r="AN2221" s="17"/>
      <c r="AO2221" s="17"/>
      <c r="AP2221" s="28" t="str">
        <f t="shared" si="650"/>
        <v>20218</v>
      </c>
      <c r="AQ2221" s="28" t="str">
        <f t="shared" si="651"/>
        <v>20218JPY</v>
      </c>
      <c r="AR2221" s="206" t="str">
        <f t="shared" si="652"/>
        <v>YAMAHA_Mounter</v>
      </c>
      <c r="AS2221" s="22">
        <f t="shared" si="653"/>
        <v>4</v>
      </c>
      <c r="AT2221" s="24" t="str">
        <f t="shared" si="654"/>
        <v>4-6 months</v>
      </c>
      <c r="AU2221" s="22" t="s">
        <v>3240</v>
      </c>
    </row>
    <row r="2222" spans="1:47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64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655"/>
        <v>13488000</v>
      </c>
      <c r="AA2222" s="13">
        <v>6.54E-2</v>
      </c>
      <c r="AB2222" s="21">
        <f t="shared" si="639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1"/>
        <v>46600814.041769907</v>
      </c>
      <c r="AJ2222" s="19">
        <f t="shared" si="642"/>
        <v>5956366.3435927071</v>
      </c>
      <c r="AK2222" s="20">
        <f t="shared" si="649"/>
        <v>0.1278167874546958</v>
      </c>
      <c r="AL2222" s="17"/>
      <c r="AM2222" s="17"/>
      <c r="AN2222" s="17"/>
      <c r="AO2222" s="17"/>
      <c r="AP2222" s="28" t="str">
        <f t="shared" si="650"/>
        <v>20224</v>
      </c>
      <c r="AQ2222" s="28" t="str">
        <f t="shared" si="651"/>
        <v>20224JPY</v>
      </c>
      <c r="AR2222" s="206" t="str">
        <f t="shared" si="652"/>
        <v>YAMAHA_Mounter</v>
      </c>
      <c r="AS2222" s="22">
        <f t="shared" si="653"/>
        <v>10</v>
      </c>
      <c r="AT2222" s="24" t="str">
        <f t="shared" si="654"/>
        <v>&gt; 6 months</v>
      </c>
      <c r="AU2222" s="22" t="s">
        <v>3744</v>
      </c>
    </row>
    <row r="2223" spans="1:47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64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655"/>
        <v>7900000</v>
      </c>
      <c r="AA2223" s="13">
        <v>6.54E-2</v>
      </c>
      <c r="AB2223" s="21">
        <f t="shared" si="639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1"/>
        <v>46600814.041769907</v>
      </c>
      <c r="AJ2223" s="19">
        <f t="shared" si="642"/>
        <v>5956366.3435927071</v>
      </c>
      <c r="AK2223" s="20">
        <f t="shared" si="649"/>
        <v>0.1278167874546958</v>
      </c>
      <c r="AL2223" s="17"/>
      <c r="AM2223" s="17"/>
      <c r="AN2223" s="17"/>
      <c r="AO2223" s="17"/>
      <c r="AP2223" s="28" t="str">
        <f t="shared" si="650"/>
        <v>20224</v>
      </c>
      <c r="AQ2223" s="28" t="str">
        <f t="shared" si="651"/>
        <v>20224JPY</v>
      </c>
      <c r="AR2223" s="206" t="str">
        <f t="shared" si="652"/>
        <v>YAMAHA_Mounter</v>
      </c>
      <c r="AS2223" s="22">
        <f t="shared" si="653"/>
        <v>10</v>
      </c>
      <c r="AT2223" s="24" t="str">
        <f t="shared" si="654"/>
        <v>&gt; 6 months</v>
      </c>
      <c r="AU2223" s="22" t="s">
        <v>3744</v>
      </c>
    </row>
    <row r="2224" spans="1:47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64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655"/>
        <v>7900000</v>
      </c>
      <c r="AA2224" s="13">
        <v>6.54E-2</v>
      </c>
      <c r="AB2224" s="21">
        <f t="shared" si="639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1"/>
        <v>46600814.041769907</v>
      </c>
      <c r="AJ2224" s="19">
        <f t="shared" si="642"/>
        <v>5956366.3435927071</v>
      </c>
      <c r="AK2224" s="20">
        <f t="shared" si="649"/>
        <v>0.1278167874546958</v>
      </c>
      <c r="AL2224" s="17"/>
      <c r="AM2224" s="17"/>
      <c r="AN2224" s="17"/>
      <c r="AO2224" s="17"/>
      <c r="AP2224" s="28" t="str">
        <f t="shared" si="650"/>
        <v>20224</v>
      </c>
      <c r="AQ2224" s="28" t="str">
        <f t="shared" si="651"/>
        <v>20224JPY</v>
      </c>
      <c r="AR2224" s="206" t="str">
        <f t="shared" si="652"/>
        <v>YAMAHA_Mounter</v>
      </c>
      <c r="AS2224" s="22">
        <f t="shared" si="653"/>
        <v>10</v>
      </c>
      <c r="AT2224" s="24" t="str">
        <f t="shared" si="654"/>
        <v>&gt; 6 months</v>
      </c>
      <c r="AU2224" s="22" t="s">
        <v>3744</v>
      </c>
    </row>
    <row r="2225" spans="1:47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64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655"/>
        <v>1250000</v>
      </c>
      <c r="AA2225" s="13">
        <v>1.095</v>
      </c>
      <c r="AB2225" s="21">
        <f t="shared" si="639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1"/>
        <v>35384300.169380538</v>
      </c>
      <c r="AJ2225" s="19">
        <f t="shared" si="642"/>
        <v>5044538.8896988509</v>
      </c>
      <c r="AK2225" s="20">
        <f t="shared" si="649"/>
        <v>0.14256432557804533</v>
      </c>
      <c r="AL2225" s="17"/>
      <c r="AM2225" s="17"/>
      <c r="AN2225" s="17"/>
      <c r="AO2225" s="17"/>
      <c r="AP2225" s="28" t="str">
        <f t="shared" si="650"/>
        <v>20207</v>
      </c>
      <c r="AQ2225" s="28" t="str">
        <f t="shared" si="651"/>
        <v>20207RMB</v>
      </c>
      <c r="AR2225" s="206" t="str">
        <f t="shared" si="652"/>
        <v>YAMAHA_Mounter</v>
      </c>
      <c r="AS2225" s="22">
        <f t="shared" si="653"/>
        <v>1</v>
      </c>
      <c r="AT2225" s="24" t="str">
        <f t="shared" si="654"/>
        <v>0-3 months</v>
      </c>
      <c r="AU2225" s="22" t="s">
        <v>3743</v>
      </c>
    </row>
    <row r="2226" spans="1:47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64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655"/>
        <v>1158250</v>
      </c>
      <c r="AA2226" s="13">
        <v>1.089</v>
      </c>
      <c r="AB2226" s="21">
        <f t="shared" si="639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1"/>
        <v>29183109.05575221</v>
      </c>
      <c r="AJ2226" s="19">
        <f t="shared" si="642"/>
        <v>3741266.5648721238</v>
      </c>
      <c r="AK2226" s="20">
        <f t="shared" si="649"/>
        <v>0.12819972531798121</v>
      </c>
      <c r="AL2226" s="17"/>
      <c r="AM2226" s="17"/>
      <c r="AN2226" s="17"/>
      <c r="AO2226" s="17"/>
      <c r="AP2226" s="28" t="str">
        <f t="shared" si="650"/>
        <v>20206</v>
      </c>
      <c r="AQ2226" s="28" t="str">
        <f t="shared" si="651"/>
        <v>20206RMB</v>
      </c>
      <c r="AR2226" s="206" t="str">
        <f t="shared" si="652"/>
        <v>YAMAHA_Mounter</v>
      </c>
      <c r="AS2226" s="22">
        <f t="shared" si="653"/>
        <v>2</v>
      </c>
      <c r="AT2226" s="24" t="str">
        <f t="shared" si="654"/>
        <v>0-3 months</v>
      </c>
      <c r="AU2226" s="22" t="s">
        <v>3743</v>
      </c>
    </row>
    <row r="2227" spans="1:47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64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655"/>
        <v>1158250</v>
      </c>
      <c r="AA2227" s="13">
        <v>1.089</v>
      </c>
      <c r="AB2227" s="21">
        <f t="shared" si="639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1"/>
        <v>29183109.05575221</v>
      </c>
      <c r="AJ2227" s="19">
        <f t="shared" si="642"/>
        <v>3741266.5648721238</v>
      </c>
      <c r="AK2227" s="20">
        <f t="shared" si="649"/>
        <v>0.12819972531798121</v>
      </c>
      <c r="AL2227" s="17"/>
      <c r="AM2227" s="17"/>
      <c r="AN2227" s="17"/>
      <c r="AO2227" s="17"/>
      <c r="AP2227" s="28" t="str">
        <f t="shared" si="650"/>
        <v>20206</v>
      </c>
      <c r="AQ2227" s="28" t="str">
        <f t="shared" si="651"/>
        <v>20206RMB</v>
      </c>
      <c r="AR2227" s="206" t="str">
        <f t="shared" si="652"/>
        <v>YAMAHA_Mounter</v>
      </c>
      <c r="AS2227" s="22">
        <f t="shared" si="653"/>
        <v>2</v>
      </c>
      <c r="AT2227" s="24" t="str">
        <f t="shared" si="654"/>
        <v>0-3 months</v>
      </c>
      <c r="AU2227" s="22" t="s">
        <v>3743</v>
      </c>
    </row>
    <row r="2228" spans="1:47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64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655"/>
        <v>1158250</v>
      </c>
      <c r="AA2228" s="13">
        <v>1.089</v>
      </c>
      <c r="AB2228" s="21">
        <f t="shared" si="639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1"/>
        <v>29183109.05575221</v>
      </c>
      <c r="AJ2228" s="19">
        <f t="shared" si="642"/>
        <v>3741266.5648721238</v>
      </c>
      <c r="AK2228" s="20">
        <f t="shared" si="649"/>
        <v>0.12819972531798121</v>
      </c>
      <c r="AL2228" s="17"/>
      <c r="AM2228" s="17"/>
      <c r="AN2228" s="17"/>
      <c r="AO2228" s="17"/>
      <c r="AP2228" s="28" t="str">
        <f t="shared" si="650"/>
        <v>20206</v>
      </c>
      <c r="AQ2228" s="28" t="str">
        <f t="shared" si="651"/>
        <v>20206RMB</v>
      </c>
      <c r="AR2228" s="206" t="str">
        <f t="shared" si="652"/>
        <v>YAMAHA_Mounter</v>
      </c>
      <c r="AS2228" s="22">
        <f t="shared" si="653"/>
        <v>2</v>
      </c>
      <c r="AT2228" s="24" t="str">
        <f t="shared" si="654"/>
        <v>0-3 months</v>
      </c>
      <c r="AU2228" s="22" t="s">
        <v>3743</v>
      </c>
    </row>
    <row r="2229" spans="1:47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64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655"/>
        <v>1250000</v>
      </c>
      <c r="AA2229" s="13">
        <v>1.1299999999999999</v>
      </c>
      <c r="AB2229" s="21">
        <f t="shared" si="639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1"/>
        <v>47907808.356810622</v>
      </c>
      <c r="AJ2229" s="19">
        <f t="shared" si="642"/>
        <v>6027384.8806384448</v>
      </c>
      <c r="AK2229" s="20">
        <f t="shared" si="649"/>
        <v>0.12581216063459488</v>
      </c>
      <c r="AL2229" s="17"/>
      <c r="AM2229" s="17"/>
      <c r="AN2229" s="17"/>
      <c r="AO2229" s="17"/>
      <c r="AP2229" s="28" t="str">
        <f t="shared" si="650"/>
        <v>20209</v>
      </c>
      <c r="AQ2229" s="28" t="str">
        <f t="shared" si="651"/>
        <v>20209RMB</v>
      </c>
      <c r="AR2229" s="206" t="str">
        <f t="shared" si="652"/>
        <v>YAMAHA_Mounter</v>
      </c>
      <c r="AS2229" s="22">
        <f t="shared" si="653"/>
        <v>1</v>
      </c>
      <c r="AT2229" s="24" t="str">
        <f t="shared" si="654"/>
        <v>0-3 months</v>
      </c>
      <c r="AU2229" s="22" t="s">
        <v>3743</v>
      </c>
    </row>
    <row r="2230" spans="1:47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64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655"/>
        <v>1250000</v>
      </c>
      <c r="AA2230" s="13">
        <v>1.1299999999999999</v>
      </c>
      <c r="AB2230" s="21">
        <f t="shared" ref="AB2230:AB2251" si="657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1"/>
        <v>47907808.356810622</v>
      </c>
      <c r="AJ2230" s="19">
        <f t="shared" si="642"/>
        <v>6027384.8806384448</v>
      </c>
      <c r="AK2230" s="20">
        <f t="shared" si="649"/>
        <v>0.12581216063459488</v>
      </c>
      <c r="AL2230" s="17"/>
      <c r="AM2230" s="17"/>
      <c r="AN2230" s="17"/>
      <c r="AO2230" s="17"/>
      <c r="AP2230" s="28" t="str">
        <f t="shared" si="650"/>
        <v>20209</v>
      </c>
      <c r="AQ2230" s="28" t="str">
        <f t="shared" si="651"/>
        <v>20209RMB</v>
      </c>
      <c r="AR2230" s="206" t="str">
        <f t="shared" si="652"/>
        <v>YAMAHA_Mounter</v>
      </c>
      <c r="AS2230" s="22">
        <f t="shared" si="653"/>
        <v>1</v>
      </c>
      <c r="AT2230" s="24" t="str">
        <f t="shared" si="654"/>
        <v>0-3 months</v>
      </c>
      <c r="AU2230" s="22" t="s">
        <v>3743</v>
      </c>
    </row>
    <row r="2231" spans="1:47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64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655"/>
        <v>600000</v>
      </c>
      <c r="AA2231" s="13">
        <v>1.1299999999999999</v>
      </c>
      <c r="AB2231" s="21">
        <f t="shared" si="657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1"/>
        <v>47907808.356810622</v>
      </c>
      <c r="AJ2231" s="19">
        <f t="shared" si="642"/>
        <v>6027384.8806384448</v>
      </c>
      <c r="AK2231" s="20">
        <f t="shared" si="649"/>
        <v>0.12581216063459488</v>
      </c>
      <c r="AL2231" s="17"/>
      <c r="AM2231" s="17"/>
      <c r="AN2231" s="17"/>
      <c r="AO2231" s="17"/>
      <c r="AP2231" s="28" t="str">
        <f t="shared" si="650"/>
        <v>20209</v>
      </c>
      <c r="AQ2231" s="28" t="str">
        <f t="shared" si="651"/>
        <v>20209RMB</v>
      </c>
      <c r="AR2231" s="206" t="str">
        <f t="shared" si="652"/>
        <v>YAMAHA_Mounter</v>
      </c>
      <c r="AS2231" s="22">
        <f t="shared" si="653"/>
        <v>1</v>
      </c>
      <c r="AT2231" s="24" t="str">
        <f t="shared" si="654"/>
        <v>0-3 months</v>
      </c>
      <c r="AU2231" s="22" t="s">
        <v>3743</v>
      </c>
    </row>
    <row r="2232" spans="1:47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64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658">IF(W2232="RMB","1.13", "1")</f>
        <v>1.13</v>
      </c>
      <c r="Z2232" s="18">
        <f t="shared" si="655"/>
        <v>1210000</v>
      </c>
      <c r="AA2232" s="13">
        <v>1.2150000000000001</v>
      </c>
      <c r="AB2232" s="21">
        <f t="shared" si="657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1"/>
        <v>54700260.692079648</v>
      </c>
      <c r="AJ2232" s="19">
        <f t="shared" si="642"/>
        <v>7482899.5749188727</v>
      </c>
      <c r="AK2232" s="20">
        <f t="shared" si="649"/>
        <v>0.13679824337660537</v>
      </c>
      <c r="AL2232" s="17"/>
      <c r="AM2232" s="17"/>
      <c r="AN2232" s="17"/>
      <c r="AO2232" s="17"/>
      <c r="AP2232" s="28" t="str">
        <f t="shared" si="650"/>
        <v>20216</v>
      </c>
      <c r="AQ2232" s="28" t="str">
        <f t="shared" si="651"/>
        <v>20216RMB</v>
      </c>
      <c r="AR2232" s="206" t="str">
        <f t="shared" si="652"/>
        <v>YAMAHA_Mounter</v>
      </c>
      <c r="AS2232" s="22">
        <f t="shared" si="653"/>
        <v>3</v>
      </c>
      <c r="AT2232" s="24" t="str">
        <f t="shared" si="654"/>
        <v>0-3 months</v>
      </c>
      <c r="AU2232" s="22" t="s">
        <v>3750</v>
      </c>
    </row>
    <row r="2233" spans="1:47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64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658"/>
        <v>1.13</v>
      </c>
      <c r="Z2233" s="18">
        <f t="shared" si="655"/>
        <v>1210000</v>
      </c>
      <c r="AA2233" s="13">
        <v>1.2150000000000001</v>
      </c>
      <c r="AB2233" s="21">
        <f t="shared" si="657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1"/>
        <v>54700260.692079648</v>
      </c>
      <c r="AJ2233" s="19">
        <f t="shared" si="642"/>
        <v>7482899.5749188727</v>
      </c>
      <c r="AK2233" s="20">
        <f t="shared" si="649"/>
        <v>0.13679824337660537</v>
      </c>
      <c r="AL2233" s="17"/>
      <c r="AM2233" s="17"/>
      <c r="AN2233" s="17"/>
      <c r="AO2233" s="17"/>
      <c r="AP2233" s="28" t="str">
        <f t="shared" si="650"/>
        <v>20216</v>
      </c>
      <c r="AQ2233" s="28" t="str">
        <f t="shared" si="651"/>
        <v>20216RMB</v>
      </c>
      <c r="AR2233" s="206" t="str">
        <f t="shared" si="652"/>
        <v>YAMAHA_Mounter</v>
      </c>
      <c r="AS2233" s="22">
        <f t="shared" si="653"/>
        <v>3</v>
      </c>
      <c r="AT2233" s="24" t="str">
        <f t="shared" si="654"/>
        <v>0-3 months</v>
      </c>
      <c r="AU2233" s="22" t="s">
        <v>3750</v>
      </c>
    </row>
    <row r="2234" spans="1:47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64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658"/>
        <v>1.13</v>
      </c>
      <c r="Z2234" s="18">
        <f t="shared" si="655"/>
        <v>447500</v>
      </c>
      <c r="AA2234" s="13">
        <v>1.1399999999999999</v>
      </c>
      <c r="AB2234" s="21">
        <f t="shared" si="657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1"/>
        <v>30573205.452778768</v>
      </c>
      <c r="AJ2234" s="19">
        <f t="shared" si="642"/>
        <v>3790930.1683151261</v>
      </c>
      <c r="AK2234" s="20">
        <f t="shared" si="649"/>
        <v>0.12399518179964254</v>
      </c>
      <c r="AL2234" s="17"/>
      <c r="AM2234" s="17"/>
      <c r="AN2234" s="17"/>
      <c r="AO2234" s="17"/>
      <c r="AP2234" s="28" t="str">
        <f t="shared" si="650"/>
        <v>20234</v>
      </c>
      <c r="AQ2234" s="28" t="str">
        <f t="shared" si="651"/>
        <v>20234RMB</v>
      </c>
      <c r="AR2234" s="206" t="str">
        <f t="shared" si="652"/>
        <v>YAMAHA_Mounter</v>
      </c>
      <c r="AS2234" s="22">
        <f t="shared" si="653"/>
        <v>4</v>
      </c>
      <c r="AT2234" s="24" t="str">
        <f t="shared" si="654"/>
        <v>4-6 months</v>
      </c>
      <c r="AU2234" s="22" t="s">
        <v>3240</v>
      </c>
    </row>
    <row r="2235" spans="1:47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64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658"/>
        <v>1.13</v>
      </c>
      <c r="Z2235" s="18">
        <f t="shared" si="655"/>
        <v>447500</v>
      </c>
      <c r="AA2235" s="13">
        <v>1.1399999999999999</v>
      </c>
      <c r="AB2235" s="21">
        <f t="shared" si="657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1"/>
        <v>30573205.452778768</v>
      </c>
      <c r="AJ2235" s="19">
        <f t="shared" si="642"/>
        <v>3790930.1683151261</v>
      </c>
      <c r="AK2235" s="20">
        <f t="shared" si="649"/>
        <v>0.12399518179964254</v>
      </c>
      <c r="AL2235" s="17"/>
      <c r="AM2235" s="17"/>
      <c r="AN2235" s="17"/>
      <c r="AO2235" s="17"/>
      <c r="AP2235" s="28" t="str">
        <f t="shared" si="650"/>
        <v>20234</v>
      </c>
      <c r="AQ2235" s="28" t="str">
        <f t="shared" si="651"/>
        <v>20234RMB</v>
      </c>
      <c r="AR2235" s="206" t="str">
        <f t="shared" si="652"/>
        <v>YAMAHA_Mounter</v>
      </c>
      <c r="AS2235" s="22">
        <f t="shared" si="653"/>
        <v>4</v>
      </c>
      <c r="AT2235" s="24" t="str">
        <f t="shared" si="654"/>
        <v>4-6 months</v>
      </c>
      <c r="AU2235" s="22" t="s">
        <v>3240</v>
      </c>
    </row>
    <row r="2236" spans="1:47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64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658"/>
        <v>1.13</v>
      </c>
      <c r="Z2236" s="18">
        <f t="shared" si="655"/>
        <v>447500</v>
      </c>
      <c r="AA2236" s="13">
        <v>1.1399999999999999</v>
      </c>
      <c r="AB2236" s="21">
        <f t="shared" si="657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1"/>
        <v>30573205.452778768</v>
      </c>
      <c r="AJ2236" s="19">
        <f t="shared" si="642"/>
        <v>3790930.1683151261</v>
      </c>
      <c r="AK2236" s="20">
        <f t="shared" si="649"/>
        <v>0.12399518179964254</v>
      </c>
      <c r="AL2236" s="17"/>
      <c r="AM2236" s="17"/>
      <c r="AN2236" s="17"/>
      <c r="AO2236" s="17"/>
      <c r="AP2236" s="28" t="str">
        <f t="shared" si="650"/>
        <v>20234</v>
      </c>
      <c r="AQ2236" s="28" t="str">
        <f t="shared" si="651"/>
        <v>20234RMB</v>
      </c>
      <c r="AR2236" s="206" t="str">
        <f t="shared" si="652"/>
        <v>YAMAHA_Mounter</v>
      </c>
      <c r="AS2236" s="22">
        <f t="shared" si="653"/>
        <v>4</v>
      </c>
      <c r="AT2236" s="24" t="str">
        <f t="shared" si="654"/>
        <v>4-6 months</v>
      </c>
      <c r="AU2236" s="22" t="s">
        <v>3240</v>
      </c>
    </row>
    <row r="2237" spans="1:47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64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658"/>
        <v>1.13</v>
      </c>
      <c r="Z2237" s="18">
        <f t="shared" si="655"/>
        <v>447500</v>
      </c>
      <c r="AA2237" s="13">
        <v>1.1399999999999999</v>
      </c>
      <c r="AB2237" s="21">
        <f t="shared" si="657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1"/>
        <v>30573205.452778768</v>
      </c>
      <c r="AJ2237" s="19">
        <f t="shared" si="642"/>
        <v>3790930.1683151261</v>
      </c>
      <c r="AK2237" s="20">
        <f t="shared" si="649"/>
        <v>0.12399518179964254</v>
      </c>
      <c r="AL2237" s="17"/>
      <c r="AM2237" s="17"/>
      <c r="AN2237" s="17"/>
      <c r="AO2237" s="17"/>
      <c r="AP2237" s="28" t="str">
        <f t="shared" si="650"/>
        <v>20234</v>
      </c>
      <c r="AQ2237" s="28" t="str">
        <f t="shared" si="651"/>
        <v>20234RMB</v>
      </c>
      <c r="AR2237" s="206" t="str">
        <f t="shared" si="652"/>
        <v>YAMAHA_Mounter</v>
      </c>
      <c r="AS2237" s="22">
        <f t="shared" si="653"/>
        <v>4</v>
      </c>
      <c r="AT2237" s="24" t="str">
        <f t="shared" si="654"/>
        <v>4-6 months</v>
      </c>
      <c r="AU2237" s="22" t="s">
        <v>3240</v>
      </c>
    </row>
    <row r="2238" spans="1:47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64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658"/>
        <v>1.13</v>
      </c>
      <c r="Z2238" s="18">
        <f t="shared" si="655"/>
        <v>447500</v>
      </c>
      <c r="AA2238" s="13">
        <v>1.1399999999999999</v>
      </c>
      <c r="AB2238" s="21">
        <f t="shared" si="657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1"/>
        <v>30573205.452778768</v>
      </c>
      <c r="AJ2238" s="19">
        <f t="shared" si="642"/>
        <v>3790930.1683151261</v>
      </c>
      <c r="AK2238" s="20">
        <f t="shared" si="649"/>
        <v>0.12399518179964254</v>
      </c>
      <c r="AL2238" s="17"/>
      <c r="AM2238" s="17"/>
      <c r="AN2238" s="17"/>
      <c r="AO2238" s="17"/>
      <c r="AP2238" s="28" t="str">
        <f t="shared" si="650"/>
        <v>20234</v>
      </c>
      <c r="AQ2238" s="28" t="str">
        <f t="shared" si="651"/>
        <v>20234RMB</v>
      </c>
      <c r="AR2238" s="206" t="str">
        <f t="shared" si="652"/>
        <v>YAMAHA_Mounter</v>
      </c>
      <c r="AS2238" s="22">
        <f t="shared" si="653"/>
        <v>4</v>
      </c>
      <c r="AT2238" s="24" t="str">
        <f t="shared" si="654"/>
        <v>4-6 months</v>
      </c>
      <c r="AU2238" s="22" t="s">
        <v>3240</v>
      </c>
    </row>
    <row r="2239" spans="1:47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64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658"/>
        <v>1.13</v>
      </c>
      <c r="Z2239" s="18">
        <f t="shared" si="655"/>
        <v>447500</v>
      </c>
      <c r="AA2239" s="13">
        <v>1.1399999999999999</v>
      </c>
      <c r="AB2239" s="21">
        <f t="shared" si="657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1"/>
        <v>30573205.452778768</v>
      </c>
      <c r="AJ2239" s="19">
        <f t="shared" si="642"/>
        <v>3790930.1683151261</v>
      </c>
      <c r="AK2239" s="20">
        <f t="shared" si="649"/>
        <v>0.12399518179964254</v>
      </c>
      <c r="AL2239" s="17"/>
      <c r="AM2239" s="17"/>
      <c r="AN2239" s="17"/>
      <c r="AO2239" s="17"/>
      <c r="AP2239" s="28" t="str">
        <f t="shared" si="650"/>
        <v>20234</v>
      </c>
      <c r="AQ2239" s="28" t="str">
        <f t="shared" si="651"/>
        <v>20234RMB</v>
      </c>
      <c r="AR2239" s="206" t="str">
        <f t="shared" si="652"/>
        <v>YAMAHA_Mounter</v>
      </c>
      <c r="AS2239" s="22">
        <f t="shared" si="653"/>
        <v>4</v>
      </c>
      <c r="AT2239" s="24" t="str">
        <f t="shared" si="654"/>
        <v>4-6 months</v>
      </c>
      <c r="AU2239" s="22" t="s">
        <v>3240</v>
      </c>
    </row>
    <row r="2240" spans="1:47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64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658"/>
        <v>1.13</v>
      </c>
      <c r="Z2240" s="18">
        <f t="shared" si="655"/>
        <v>431000</v>
      </c>
      <c r="AA2240" s="13">
        <v>1.089</v>
      </c>
      <c r="AB2240" s="21">
        <f t="shared" si="657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1"/>
        <v>29183109.05575221</v>
      </c>
      <c r="AJ2240" s="19">
        <f t="shared" si="642"/>
        <v>3741266.5648721238</v>
      </c>
      <c r="AK2240" s="20">
        <f t="shared" si="649"/>
        <v>0.12819972531798121</v>
      </c>
      <c r="AL2240" s="17"/>
      <c r="AM2240" s="17"/>
      <c r="AN2240" s="17"/>
      <c r="AO2240" s="17"/>
      <c r="AP2240" s="28" t="str">
        <f t="shared" si="650"/>
        <v>20206</v>
      </c>
      <c r="AQ2240" s="28" t="str">
        <f t="shared" si="651"/>
        <v>20206RMB</v>
      </c>
      <c r="AR2240" s="206" t="str">
        <f t="shared" si="652"/>
        <v>YAMAHA_Non_Mounter</v>
      </c>
      <c r="AS2240" s="22">
        <f t="shared" si="653"/>
        <v>2</v>
      </c>
      <c r="AT2240" s="24" t="str">
        <f t="shared" si="654"/>
        <v>0-3 months</v>
      </c>
      <c r="AU2240" s="22" t="s">
        <v>3743</v>
      </c>
    </row>
    <row r="2241" spans="1:47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64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658"/>
        <v>1.13</v>
      </c>
      <c r="Z2241" s="18">
        <f t="shared" si="655"/>
        <v>407100</v>
      </c>
      <c r="AA2241" s="13">
        <v>1.089</v>
      </c>
      <c r="AB2241" s="21">
        <f t="shared" si="657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1"/>
        <v>29183109.05575221</v>
      </c>
      <c r="AJ2241" s="19">
        <f t="shared" si="642"/>
        <v>3741266.5648721238</v>
      </c>
      <c r="AK2241" s="20">
        <f t="shared" si="649"/>
        <v>0.12819972531798121</v>
      </c>
      <c r="AL2241" s="17"/>
      <c r="AM2241" s="17"/>
      <c r="AN2241" s="17"/>
      <c r="AO2241" s="17"/>
      <c r="AP2241" s="28" t="str">
        <f t="shared" si="650"/>
        <v>20206</v>
      </c>
      <c r="AQ2241" s="28" t="str">
        <f t="shared" si="651"/>
        <v>20206RMB</v>
      </c>
      <c r="AR2241" s="206" t="str">
        <f t="shared" si="652"/>
        <v>PEMTRON</v>
      </c>
      <c r="AS2241" s="22">
        <f t="shared" si="653"/>
        <v>2</v>
      </c>
      <c r="AT2241" s="24" t="str">
        <f t="shared" si="654"/>
        <v>0-3 months</v>
      </c>
      <c r="AU2241" s="22" t="s">
        <v>3743</v>
      </c>
    </row>
    <row r="2242" spans="1:47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64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658"/>
        <v>1.13</v>
      </c>
      <c r="Z2242" s="18">
        <f t="shared" si="655"/>
        <v>505600</v>
      </c>
      <c r="AA2242" s="13">
        <v>1.095</v>
      </c>
      <c r="AB2242" s="21">
        <f t="shared" si="657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ref="AI2242:AI2305" si="659">IF(P2242="C66 SERVICE","",SUMIFS(AB:AB,F:F,F2242,G:G,G2242,E:E,E2242))</f>
        <v>28065694.408805311</v>
      </c>
      <c r="AJ2242" s="19">
        <f t="shared" ref="AJ2242:AJ2305" si="660">IF(P2242="C66 SERVICE","",SUMIFS(AC:AC,F:F,F2242,G:G,G2242,E:E,E2242))</f>
        <v>4157433.2906989697</v>
      </c>
      <c r="AK2242" s="20">
        <f t="shared" si="649"/>
        <v>0.14813220831602228</v>
      </c>
      <c r="AL2242" s="17"/>
      <c r="AM2242" s="17"/>
      <c r="AN2242" s="17"/>
      <c r="AO2242" s="17"/>
      <c r="AP2242" s="28" t="str">
        <f t="shared" si="650"/>
        <v>20205</v>
      </c>
      <c r="AQ2242" s="28" t="str">
        <f t="shared" si="651"/>
        <v>20205RMB</v>
      </c>
      <c r="AR2242" s="206" t="str">
        <f t="shared" si="652"/>
        <v>HELLER</v>
      </c>
      <c r="AS2242" s="22">
        <f t="shared" si="653"/>
        <v>1</v>
      </c>
      <c r="AT2242" s="24" t="str">
        <f t="shared" si="654"/>
        <v>0-3 months</v>
      </c>
      <c r="AU2242" s="22" t="s">
        <v>3743</v>
      </c>
    </row>
    <row r="2243" spans="1:47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64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658"/>
        <v>1.13</v>
      </c>
      <c r="Z2243" s="18">
        <f t="shared" si="655"/>
        <v>462900</v>
      </c>
      <c r="AA2243" s="13">
        <v>1.135</v>
      </c>
      <c r="AB2243" s="21">
        <f t="shared" si="657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59"/>
        <v>28011162.254106201</v>
      </c>
      <c r="AJ2243" s="19">
        <f t="shared" si="660"/>
        <v>3401347.1124888416</v>
      </c>
      <c r="AK2243" s="20">
        <f t="shared" si="649"/>
        <v>0.12142827497242578</v>
      </c>
      <c r="AL2243" s="17"/>
      <c r="AM2243" s="17"/>
      <c r="AN2243" s="17"/>
      <c r="AO2243" s="17"/>
      <c r="AP2243" s="28" t="str">
        <f t="shared" si="650"/>
        <v>202010</v>
      </c>
      <c r="AQ2243" s="28" t="str">
        <f t="shared" si="651"/>
        <v>202010RMB</v>
      </c>
      <c r="AR2243" s="206" t="str">
        <f t="shared" si="652"/>
        <v>YAMAHA_Non_Mounter</v>
      </c>
      <c r="AS2243" s="22">
        <f t="shared" si="653"/>
        <v>2</v>
      </c>
      <c r="AT2243" s="24" t="str">
        <f t="shared" si="654"/>
        <v>0-3 months</v>
      </c>
      <c r="AU2243" s="22" t="s">
        <v>3743</v>
      </c>
    </row>
    <row r="2244" spans="1:47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64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658"/>
        <v>1.13</v>
      </c>
      <c r="Z2244" s="18">
        <f t="shared" si="655"/>
        <v>503780</v>
      </c>
      <c r="AA2244" s="13">
        <v>1.1299999999999999</v>
      </c>
      <c r="AB2244" s="21">
        <f t="shared" si="657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59"/>
        <v>47907808.356810622</v>
      </c>
      <c r="AJ2244" s="19">
        <f t="shared" si="660"/>
        <v>6027384.8806384448</v>
      </c>
      <c r="AK2244" s="20">
        <f t="shared" si="649"/>
        <v>0.12581216063459488</v>
      </c>
      <c r="AL2244" s="17"/>
      <c r="AM2244" s="17"/>
      <c r="AN2244" s="17"/>
      <c r="AO2244" s="17"/>
      <c r="AP2244" s="28" t="str">
        <f t="shared" si="650"/>
        <v>20209</v>
      </c>
      <c r="AQ2244" s="28" t="str">
        <f t="shared" si="651"/>
        <v>20209RMB</v>
      </c>
      <c r="AR2244" s="206" t="str">
        <f t="shared" si="652"/>
        <v>HELLER</v>
      </c>
      <c r="AS2244" s="22">
        <f t="shared" si="653"/>
        <v>1</v>
      </c>
      <c r="AT2244" s="24" t="str">
        <f t="shared" si="654"/>
        <v>0-3 months</v>
      </c>
      <c r="AU2244" s="22" t="s">
        <v>3743</v>
      </c>
    </row>
    <row r="2245" spans="1:47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64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658"/>
        <v>1.13</v>
      </c>
      <c r="Z2245" s="18">
        <f t="shared" si="655"/>
        <v>472375</v>
      </c>
      <c r="AA2245" s="13">
        <v>1.2</v>
      </c>
      <c r="AB2245" s="21">
        <f t="shared" si="657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59"/>
        <v>41443303.53761062</v>
      </c>
      <c r="AJ2245" s="19">
        <f t="shared" si="660"/>
        <v>6194988.76643031</v>
      </c>
      <c r="AK2245" s="20">
        <f t="shared" si="649"/>
        <v>0.1494810557466355</v>
      </c>
      <c r="AL2245" s="17"/>
      <c r="AM2245" s="17"/>
      <c r="AN2245" s="17"/>
      <c r="AO2245" s="17"/>
      <c r="AP2245" s="28" t="str">
        <f t="shared" si="650"/>
        <v>20217</v>
      </c>
      <c r="AQ2245" s="28" t="str">
        <f t="shared" si="651"/>
        <v>20217RMB</v>
      </c>
      <c r="AR2245" s="206" t="str">
        <f t="shared" si="652"/>
        <v>HELLER</v>
      </c>
      <c r="AS2245" s="22">
        <f t="shared" si="653"/>
        <v>2</v>
      </c>
      <c r="AT2245" s="24" t="str">
        <f t="shared" si="654"/>
        <v>0-3 months</v>
      </c>
      <c r="AU2245" s="22" t="s">
        <v>3743</v>
      </c>
    </row>
    <row r="2246" spans="1:47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5"/>
        <v>785000</v>
      </c>
      <c r="AA2246" s="22">
        <v>1.08</v>
      </c>
      <c r="AB2246" s="197">
        <f t="shared" si="657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si="659"/>
        <v>27308925.887079656</v>
      </c>
      <c r="AJ2246" s="200">
        <f t="shared" si="660"/>
        <v>3319273.860338124</v>
      </c>
      <c r="AK2246" s="201">
        <f t="shared" ref="AK2246:AK2309" si="668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69">IF(F2246="","",F2246&amp;G2246)</f>
        <v>20246</v>
      </c>
      <c r="AQ2246" s="28" t="str">
        <f t="shared" ref="AQ2246:AQ2309" si="670">IF(W2246="","",F2246&amp;G2246&amp;W2246)</f>
        <v>20246RMB</v>
      </c>
      <c r="AR2246" s="206" t="str">
        <f t="shared" ref="AR2246:AR2309" si="671">IFERROR(IF(AND(M2246="YAMAHA", R2246="C28"), "YAMAHA_Non_Mounter", IF(AND(M2246="YAMAHA", R2246="C49"), "YAMAHA_Mounter", M2246)),"")</f>
        <v>YAMAHA_Mounter</v>
      </c>
      <c r="AS2246" s="22">
        <f t="shared" ref="AS2246:AS2309" si="672">IFERROR(IF(OR(G2246="TBA", G2246=""), "", DATEDIF(DATE(B2246, C2246, 1), DATE(F2246, G2246, 1), "M")),"")</f>
        <v>1</v>
      </c>
      <c r="AT2246" s="24" t="str">
        <f t="shared" ref="AT2246:AT2309" si="673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664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665"/>
        <v>1.13</v>
      </c>
      <c r="Z2247" s="196">
        <f t="shared" si="655"/>
        <v>890000</v>
      </c>
      <c r="AA2247" s="22">
        <v>1.08</v>
      </c>
      <c r="AB2247" s="197">
        <f t="shared" si="657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59"/>
        <v>27308925.887079656</v>
      </c>
      <c r="AJ2247" s="200">
        <f t="shared" si="660"/>
        <v>3319273.860338124</v>
      </c>
      <c r="AK2247" s="201">
        <f t="shared" si="668"/>
        <v>0.12154538314919709</v>
      </c>
      <c r="AL2247" s="24"/>
      <c r="AM2247" s="24"/>
      <c r="AN2247" s="24"/>
      <c r="AO2247" s="24"/>
      <c r="AP2247" s="105" t="str">
        <f t="shared" si="669"/>
        <v>20246</v>
      </c>
      <c r="AQ2247" s="28" t="str">
        <f t="shared" si="670"/>
        <v>20246RMB</v>
      </c>
      <c r="AR2247" s="206" t="str">
        <f t="shared" si="671"/>
        <v>YAMAHA_Mounter</v>
      </c>
      <c r="AS2247" s="22">
        <f t="shared" si="672"/>
        <v>1</v>
      </c>
      <c r="AT2247" s="24" t="str">
        <f t="shared" si="673"/>
        <v>0-3 months</v>
      </c>
      <c r="AU2247" s="22" t="s">
        <v>3240</v>
      </c>
    </row>
    <row r="2248" spans="1:47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664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665"/>
        <v>1</v>
      </c>
      <c r="Z2248" s="18">
        <f t="shared" si="655"/>
        <v>11500000</v>
      </c>
      <c r="AA2248" s="22">
        <v>5.0999999999999997E-2</v>
      </c>
      <c r="AB2248" s="21">
        <f t="shared" si="657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59"/>
        <v>27308925.887079656</v>
      </c>
      <c r="AJ2248" s="27">
        <f t="shared" si="660"/>
        <v>3319273.860338124</v>
      </c>
      <c r="AK2248" s="28">
        <f t="shared" si="668"/>
        <v>0.12154538314919709</v>
      </c>
      <c r="AL2248" s="24"/>
      <c r="AM2248" s="24"/>
      <c r="AN2248" s="24"/>
      <c r="AO2248" s="24"/>
      <c r="AP2248" s="28" t="str">
        <f t="shared" si="669"/>
        <v>20246</v>
      </c>
      <c r="AQ2248" s="28" t="str">
        <f t="shared" si="670"/>
        <v>20246JPY</v>
      </c>
      <c r="AR2248" s="206" t="str">
        <f t="shared" si="671"/>
        <v>YAMAHA_Mounter</v>
      </c>
      <c r="AS2248" s="22">
        <f t="shared" si="672"/>
        <v>2</v>
      </c>
      <c r="AT2248" s="24" t="str">
        <f t="shared" si="673"/>
        <v>0-3 months</v>
      </c>
      <c r="AU2248" s="22" t="s">
        <v>3744</v>
      </c>
    </row>
    <row r="2249" spans="1:47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664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665"/>
        <v>1</v>
      </c>
      <c r="Z2249" s="18">
        <f t="shared" si="655"/>
        <v>7000000</v>
      </c>
      <c r="AA2249" s="22">
        <v>5.0999999999999997E-2</v>
      </c>
      <c r="AB2249" s="21">
        <f t="shared" si="657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59"/>
        <v>27308925.887079656</v>
      </c>
      <c r="AJ2249" s="27">
        <f t="shared" si="660"/>
        <v>3319273.860338124</v>
      </c>
      <c r="AK2249" s="28">
        <f t="shared" si="668"/>
        <v>0.12154538314919709</v>
      </c>
      <c r="AL2249" s="24"/>
      <c r="AM2249" s="24"/>
      <c r="AN2249" s="24"/>
      <c r="AO2249" s="24"/>
      <c r="AP2249" s="28" t="str">
        <f t="shared" si="669"/>
        <v>20246</v>
      </c>
      <c r="AQ2249" s="28" t="str">
        <f t="shared" si="670"/>
        <v>20246JPY</v>
      </c>
      <c r="AR2249" s="206" t="str">
        <f t="shared" si="671"/>
        <v>YAMAHA_Mounter</v>
      </c>
      <c r="AS2249" s="22">
        <f t="shared" si="672"/>
        <v>2</v>
      </c>
      <c r="AT2249" s="24" t="str">
        <f t="shared" si="673"/>
        <v>0-3 months</v>
      </c>
      <c r="AU2249" s="22" t="s">
        <v>3744</v>
      </c>
    </row>
    <row r="2250" spans="1:47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664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665"/>
        <v>1.13</v>
      </c>
      <c r="Z2250" s="196">
        <f t="shared" ref="Z2250:Z2313" si="674">IF(X2250="","",X2250*MAX(O2250,N2250))</f>
        <v>690000</v>
      </c>
      <c r="AA2250" s="22">
        <v>1.08</v>
      </c>
      <c r="AB2250" s="197">
        <f t="shared" si="657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59"/>
        <v>27308925.887079656</v>
      </c>
      <c r="AJ2250" s="200">
        <f t="shared" si="660"/>
        <v>3319273.860338124</v>
      </c>
      <c r="AK2250" s="201">
        <f t="shared" si="668"/>
        <v>0.12154538314919709</v>
      </c>
      <c r="AL2250" s="24"/>
      <c r="AM2250" s="24"/>
      <c r="AN2250" s="24"/>
      <c r="AO2250" s="24"/>
      <c r="AP2250" s="105" t="str">
        <f t="shared" si="669"/>
        <v>20246</v>
      </c>
      <c r="AQ2250" s="28" t="str">
        <f t="shared" si="670"/>
        <v>20246RMB</v>
      </c>
      <c r="AR2250" s="206" t="str">
        <f t="shared" si="671"/>
        <v>YAMAHA_Mounter</v>
      </c>
      <c r="AS2250" s="22">
        <f t="shared" si="672"/>
        <v>0</v>
      </c>
      <c r="AT2250" s="24" t="str">
        <f t="shared" si="673"/>
        <v>0-3 months</v>
      </c>
      <c r="AU2250" s="22" t="s">
        <v>3240</v>
      </c>
    </row>
    <row r="2251" spans="1:47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664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665"/>
        <v>1.13</v>
      </c>
      <c r="Z2251" s="196">
        <f t="shared" si="674"/>
        <v>450000</v>
      </c>
      <c r="AA2251" s="22">
        <v>1.08</v>
      </c>
      <c r="AB2251" s="197">
        <f t="shared" si="657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59"/>
        <v>27308925.887079656</v>
      </c>
      <c r="AJ2251" s="200">
        <f t="shared" si="660"/>
        <v>3319273.860338124</v>
      </c>
      <c r="AK2251" s="201">
        <f t="shared" si="668"/>
        <v>0.12154538314919709</v>
      </c>
      <c r="AL2251" s="24"/>
      <c r="AM2251" s="24"/>
      <c r="AN2251" s="24"/>
      <c r="AO2251" s="24"/>
      <c r="AP2251" s="105" t="str">
        <f t="shared" si="669"/>
        <v>20246</v>
      </c>
      <c r="AQ2251" s="28" t="str">
        <f t="shared" si="670"/>
        <v>20246RMB</v>
      </c>
      <c r="AR2251" s="206" t="str">
        <f t="shared" si="671"/>
        <v>YAMAHA_Mounter</v>
      </c>
      <c r="AS2251" s="22">
        <f t="shared" si="672"/>
        <v>0</v>
      </c>
      <c r="AT2251" s="24" t="str">
        <f t="shared" si="673"/>
        <v>0-3 months</v>
      </c>
      <c r="AU2251" s="22" t="s">
        <v>3240</v>
      </c>
    </row>
    <row r="2252" spans="1:47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4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59"/>
        <v>27308925.887079656</v>
      </c>
      <c r="AJ2252" s="200">
        <f t="shared" si="660"/>
        <v>3319273.860338124</v>
      </c>
      <c r="AK2252" s="201">
        <f t="shared" si="668"/>
        <v>0.12154538314919709</v>
      </c>
      <c r="AL2252" s="24"/>
      <c r="AM2252" s="24"/>
      <c r="AN2252" s="24"/>
      <c r="AO2252" s="24"/>
      <c r="AP2252" s="105" t="str">
        <f t="shared" si="669"/>
        <v>20246</v>
      </c>
      <c r="AQ2252" s="28" t="str">
        <f t="shared" si="670"/>
        <v/>
      </c>
      <c r="AR2252" s="206" t="str">
        <f t="shared" si="671"/>
        <v>C66 SERVICE</v>
      </c>
      <c r="AS2252" s="22" t="str">
        <f t="shared" si="672"/>
        <v/>
      </c>
      <c r="AT2252" s="24" t="str">
        <f t="shared" si="673"/>
        <v/>
      </c>
      <c r="AU2252" s="22">
        <v>0</v>
      </c>
    </row>
    <row r="2253" spans="1:47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4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59"/>
        <v>27308925.887079656</v>
      </c>
      <c r="AJ2253" s="200">
        <f t="shared" si="660"/>
        <v>3319273.860338124</v>
      </c>
      <c r="AK2253" s="201">
        <f t="shared" si="668"/>
        <v>0.12154538314919709</v>
      </c>
      <c r="AL2253" s="24"/>
      <c r="AM2253" s="24"/>
      <c r="AN2253" s="24"/>
      <c r="AO2253" s="24"/>
      <c r="AP2253" s="105" t="str">
        <f t="shared" si="669"/>
        <v>20246</v>
      </c>
      <c r="AQ2253" s="28" t="str">
        <f t="shared" si="670"/>
        <v/>
      </c>
      <c r="AR2253" s="206" t="str">
        <f t="shared" si="671"/>
        <v>C66 SERVICE</v>
      </c>
      <c r="AS2253" s="22" t="str">
        <f t="shared" si="672"/>
        <v/>
      </c>
      <c r="AT2253" s="24" t="str">
        <f t="shared" si="673"/>
        <v/>
      </c>
      <c r="AU2253" s="22">
        <v>0</v>
      </c>
    </row>
    <row r="2254" spans="1:47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5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76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77">IF(W2254="RMB","1.13", "1")</f>
        <v>1</v>
      </c>
      <c r="Z2254" s="18">
        <f t="shared" si="674"/>
        <v>7960000</v>
      </c>
      <c r="AA2254" s="13">
        <v>5.3100000000000001E-2</v>
      </c>
      <c r="AB2254" s="21">
        <f t="shared" ref="AB2254:AB2259" si="678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59"/>
        <v>21241742.157380536</v>
      </c>
      <c r="AJ2254" s="19">
        <f t="shared" si="660"/>
        <v>2987081.1613773629</v>
      </c>
      <c r="AK2254" s="20">
        <f t="shared" si="668"/>
        <v>0.14062317201884914</v>
      </c>
      <c r="AL2254" s="17"/>
      <c r="AM2254" s="17"/>
      <c r="AN2254" s="17"/>
      <c r="AO2254" s="17"/>
      <c r="AP2254" s="28" t="str">
        <f t="shared" si="669"/>
        <v>20243</v>
      </c>
      <c r="AQ2254" s="28" t="str">
        <f t="shared" si="670"/>
        <v>20243JPY</v>
      </c>
      <c r="AR2254" s="206" t="str">
        <f t="shared" si="671"/>
        <v>YAMAHA_Mounter</v>
      </c>
      <c r="AS2254" s="22">
        <f t="shared" si="672"/>
        <v>9</v>
      </c>
      <c r="AT2254" s="24" t="str">
        <f t="shared" si="673"/>
        <v>&gt; 6 months</v>
      </c>
      <c r="AU2254" s="22" t="s">
        <v>3744</v>
      </c>
    </row>
    <row r="2255" spans="1:47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5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76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77"/>
        <v>1</v>
      </c>
      <c r="Z2255" s="18">
        <f t="shared" si="674"/>
        <v>7960000</v>
      </c>
      <c r="AA2255" s="13">
        <v>5.3100000000000001E-2</v>
      </c>
      <c r="AB2255" s="21">
        <f t="shared" si="678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59"/>
        <v>21241742.157380536</v>
      </c>
      <c r="AJ2255" s="19">
        <f t="shared" si="660"/>
        <v>2987081.1613773629</v>
      </c>
      <c r="AK2255" s="20">
        <f t="shared" si="668"/>
        <v>0.14062317201884914</v>
      </c>
      <c r="AL2255" s="17"/>
      <c r="AM2255" s="17"/>
      <c r="AN2255" s="17"/>
      <c r="AO2255" s="17"/>
      <c r="AP2255" s="28" t="str">
        <f t="shared" si="669"/>
        <v>20243</v>
      </c>
      <c r="AQ2255" s="28" t="str">
        <f t="shared" si="670"/>
        <v>20243JPY</v>
      </c>
      <c r="AR2255" s="206" t="str">
        <f t="shared" si="671"/>
        <v>YAMAHA_Mounter</v>
      </c>
      <c r="AS2255" s="22">
        <f t="shared" si="672"/>
        <v>9</v>
      </c>
      <c r="AT2255" s="24" t="str">
        <f t="shared" si="673"/>
        <v>&gt; 6 months</v>
      </c>
      <c r="AU2255" s="22" t="s">
        <v>3744</v>
      </c>
    </row>
    <row r="2256" spans="1:47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5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76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77"/>
        <v>1</v>
      </c>
      <c r="Z2256" s="18">
        <f t="shared" si="674"/>
        <v>7960000</v>
      </c>
      <c r="AA2256" s="13">
        <v>5.3100000000000001E-2</v>
      </c>
      <c r="AB2256" s="21">
        <f t="shared" si="678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59"/>
        <v>21241742.157380536</v>
      </c>
      <c r="AJ2256" s="19">
        <f t="shared" si="660"/>
        <v>2987081.1613773629</v>
      </c>
      <c r="AK2256" s="20">
        <f t="shared" si="668"/>
        <v>0.14062317201884914</v>
      </c>
      <c r="AL2256" s="17"/>
      <c r="AM2256" s="17"/>
      <c r="AN2256" s="17"/>
      <c r="AO2256" s="17"/>
      <c r="AP2256" s="28" t="str">
        <f t="shared" si="669"/>
        <v>20243</v>
      </c>
      <c r="AQ2256" s="28" t="str">
        <f t="shared" si="670"/>
        <v>20243JPY</v>
      </c>
      <c r="AR2256" s="206" t="str">
        <f t="shared" si="671"/>
        <v>YAMAHA_Mounter</v>
      </c>
      <c r="AS2256" s="22">
        <f t="shared" si="672"/>
        <v>9</v>
      </c>
      <c r="AT2256" s="24" t="str">
        <f t="shared" si="673"/>
        <v>&gt; 6 months</v>
      </c>
      <c r="AU2256" s="22" t="s">
        <v>3744</v>
      </c>
    </row>
    <row r="2257" spans="1:47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5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76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77"/>
        <v>1</v>
      </c>
      <c r="Z2257" s="18">
        <f t="shared" si="674"/>
        <v>7960000</v>
      </c>
      <c r="AA2257" s="13">
        <v>5.3100000000000001E-2</v>
      </c>
      <c r="AB2257" s="21">
        <f t="shared" si="678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59"/>
        <v>21241742.157380536</v>
      </c>
      <c r="AJ2257" s="19">
        <f t="shared" si="660"/>
        <v>2987081.1613773629</v>
      </c>
      <c r="AK2257" s="20">
        <f t="shared" si="668"/>
        <v>0.14062317201884914</v>
      </c>
      <c r="AL2257" s="17"/>
      <c r="AM2257" s="17"/>
      <c r="AN2257" s="17"/>
      <c r="AO2257" s="17"/>
      <c r="AP2257" s="28" t="str">
        <f t="shared" si="669"/>
        <v>20243</v>
      </c>
      <c r="AQ2257" s="28" t="str">
        <f t="shared" si="670"/>
        <v>20243JPY</v>
      </c>
      <c r="AR2257" s="206" t="str">
        <f t="shared" si="671"/>
        <v>YAMAHA_Mounter</v>
      </c>
      <c r="AS2257" s="22">
        <f t="shared" si="672"/>
        <v>9</v>
      </c>
      <c r="AT2257" s="24" t="str">
        <f t="shared" si="673"/>
        <v>&gt; 6 months</v>
      </c>
      <c r="AU2257" s="22" t="s">
        <v>3744</v>
      </c>
    </row>
    <row r="2258" spans="1:47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5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76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77"/>
        <v>1</v>
      </c>
      <c r="Z2258" s="18">
        <f t="shared" si="674"/>
        <v>7960000</v>
      </c>
      <c r="AA2258" s="13">
        <v>5.3100000000000001E-2</v>
      </c>
      <c r="AB2258" s="21">
        <f t="shared" si="678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59"/>
        <v>21241742.157380536</v>
      </c>
      <c r="AJ2258" s="19">
        <f t="shared" si="660"/>
        <v>2987081.1613773629</v>
      </c>
      <c r="AK2258" s="20">
        <f t="shared" si="668"/>
        <v>0.14062317201884914</v>
      </c>
      <c r="AL2258" s="17"/>
      <c r="AM2258" s="17"/>
      <c r="AN2258" s="17"/>
      <c r="AO2258" s="17"/>
      <c r="AP2258" s="28" t="str">
        <f t="shared" si="669"/>
        <v>20243</v>
      </c>
      <c r="AQ2258" s="28" t="str">
        <f t="shared" si="670"/>
        <v>20243JPY</v>
      </c>
      <c r="AR2258" s="206" t="str">
        <f t="shared" si="671"/>
        <v>YAMAHA_Mounter</v>
      </c>
      <c r="AS2258" s="22">
        <f t="shared" si="672"/>
        <v>9</v>
      </c>
      <c r="AT2258" s="24" t="str">
        <f t="shared" si="673"/>
        <v>&gt; 6 months</v>
      </c>
      <c r="AU2258" s="22" t="s">
        <v>3744</v>
      </c>
    </row>
    <row r="2259" spans="1:47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5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76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77"/>
        <v>1</v>
      </c>
      <c r="Z2259" s="18">
        <f t="shared" si="674"/>
        <v>7960000</v>
      </c>
      <c r="AA2259" s="13">
        <v>5.3100000000000001E-2</v>
      </c>
      <c r="AB2259" s="21">
        <f t="shared" si="678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59"/>
        <v>21241742.157380536</v>
      </c>
      <c r="AJ2259" s="19">
        <f t="shared" si="660"/>
        <v>2987081.1613773629</v>
      </c>
      <c r="AK2259" s="20">
        <f t="shared" si="668"/>
        <v>0.14062317201884914</v>
      </c>
      <c r="AL2259" s="17"/>
      <c r="AM2259" s="17"/>
      <c r="AN2259" s="17"/>
      <c r="AO2259" s="17"/>
      <c r="AP2259" s="28" t="str">
        <f t="shared" si="669"/>
        <v>20243</v>
      </c>
      <c r="AQ2259" s="28" t="str">
        <f t="shared" si="670"/>
        <v>20243JPY</v>
      </c>
      <c r="AR2259" s="206" t="str">
        <f t="shared" si="671"/>
        <v>YAMAHA_Mounter</v>
      </c>
      <c r="AS2259" s="22">
        <f t="shared" si="672"/>
        <v>9</v>
      </c>
      <c r="AT2259" s="24" t="str">
        <f t="shared" si="673"/>
        <v>&gt; 6 months</v>
      </c>
      <c r="AU2259" s="22" t="s">
        <v>3744</v>
      </c>
    </row>
    <row r="2260" spans="1:47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4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59"/>
        <v>27308925.887079656</v>
      </c>
      <c r="AJ2260" s="200">
        <f t="shared" si="660"/>
        <v>3319273.860338124</v>
      </c>
      <c r="AK2260" s="201">
        <f t="shared" si="668"/>
        <v>0.12154538314919709</v>
      </c>
      <c r="AL2260" s="24"/>
      <c r="AM2260" s="24"/>
      <c r="AN2260" s="24"/>
      <c r="AO2260" s="24"/>
      <c r="AP2260" s="105" t="str">
        <f t="shared" si="669"/>
        <v>20246</v>
      </c>
      <c r="AQ2260" s="28" t="str">
        <f t="shared" si="670"/>
        <v/>
      </c>
      <c r="AR2260" s="206" t="str">
        <f t="shared" si="671"/>
        <v>C66 SERVICE</v>
      </c>
      <c r="AS2260" s="22" t="str">
        <f t="shared" si="672"/>
        <v/>
      </c>
      <c r="AT2260" s="24" t="str">
        <f t="shared" si="673"/>
        <v/>
      </c>
      <c r="AU2260" s="22">
        <v>0</v>
      </c>
    </row>
    <row r="2261" spans="1:47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4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59"/>
        <v>27308925.887079656</v>
      </c>
      <c r="AJ2261" s="200">
        <f t="shared" si="660"/>
        <v>3319273.860338124</v>
      </c>
      <c r="AK2261" s="201">
        <f t="shared" si="668"/>
        <v>0.12154538314919709</v>
      </c>
      <c r="AL2261" s="24"/>
      <c r="AM2261" s="24"/>
      <c r="AN2261" s="24"/>
      <c r="AO2261" s="24"/>
      <c r="AP2261" s="105" t="str">
        <f t="shared" si="669"/>
        <v>20246</v>
      </c>
      <c r="AQ2261" s="28" t="str">
        <f t="shared" si="670"/>
        <v/>
      </c>
      <c r="AR2261" s="206" t="str">
        <f t="shared" si="671"/>
        <v>C66 SERVICE</v>
      </c>
      <c r="AS2261" s="22" t="str">
        <f t="shared" si="672"/>
        <v/>
      </c>
      <c r="AT2261" s="24" t="str">
        <f t="shared" si="673"/>
        <v/>
      </c>
      <c r="AU2261" s="22">
        <v>0</v>
      </c>
    </row>
    <row r="2262" spans="1:47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0" t="s">
        <v>3392</v>
      </c>
      <c r="K2262" s="29" t="s">
        <v>501</v>
      </c>
      <c r="L2262" s="24" t="s">
        <v>3698</v>
      </c>
      <c r="M2262" s="22" t="s">
        <v>60</v>
      </c>
      <c r="N2262" s="22">
        <v>1</v>
      </c>
      <c r="O2262" s="22"/>
      <c r="P2262" s="33" t="str">
        <f t="shared" ref="P2262:P2325" si="679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74"/>
        <v>21300000</v>
      </c>
      <c r="AA2262" s="22">
        <v>4.9500000000000002E-2</v>
      </c>
      <c r="AB2262" s="21">
        <f t="shared" ref="AB2262:AB2325" si="680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59"/>
        <v>25458266.694690265</v>
      </c>
      <c r="AJ2262" s="27">
        <f t="shared" si="660"/>
        <v>4116526.778578762</v>
      </c>
      <c r="AK2262" s="28">
        <f t="shared" si="668"/>
        <v>0.16169705612508689</v>
      </c>
      <c r="AL2262" s="24"/>
      <c r="AM2262" s="24"/>
      <c r="AN2262" s="24"/>
      <c r="AO2262" s="24"/>
      <c r="AP2262" s="28" t="str">
        <f t="shared" si="669"/>
        <v>20247</v>
      </c>
      <c r="AQ2262" s="28" t="str">
        <f t="shared" si="670"/>
        <v>20247JPY</v>
      </c>
      <c r="AR2262" s="206" t="str">
        <f t="shared" si="671"/>
        <v>YAMAHA_Mounter</v>
      </c>
      <c r="AS2262" s="22">
        <f t="shared" si="672"/>
        <v>3</v>
      </c>
      <c r="AT2262" s="24" t="str">
        <f t="shared" si="673"/>
        <v>0-3 months</v>
      </c>
      <c r="AU2262" s="22" t="s">
        <v>3744</v>
      </c>
    </row>
    <row r="2263" spans="1:47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21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79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81">IF(W2263="RMB","1.13", "1")</f>
        <v>1.13</v>
      </c>
      <c r="Z2263" s="18">
        <f t="shared" si="674"/>
        <v>740000</v>
      </c>
      <c r="AA2263" s="22">
        <v>1.075</v>
      </c>
      <c r="AB2263" s="21">
        <f t="shared" si="680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59"/>
        <v>25458266.694690265</v>
      </c>
      <c r="AJ2263" s="19">
        <f t="shared" si="660"/>
        <v>4116526.778578762</v>
      </c>
      <c r="AK2263" s="20">
        <f t="shared" si="668"/>
        <v>0.16169705612508689</v>
      </c>
      <c r="AL2263" s="17"/>
      <c r="AM2263" s="17"/>
      <c r="AN2263" s="17"/>
      <c r="AO2263" s="17"/>
      <c r="AP2263" s="28" t="str">
        <f t="shared" si="669"/>
        <v>20247</v>
      </c>
      <c r="AQ2263" s="28" t="str">
        <f t="shared" si="670"/>
        <v>20247RMB</v>
      </c>
      <c r="AR2263" s="206" t="str">
        <f t="shared" si="671"/>
        <v>YAMAHA_Mounter</v>
      </c>
      <c r="AS2263" s="22">
        <f t="shared" si="672"/>
        <v>11</v>
      </c>
      <c r="AT2263" s="24" t="str">
        <f t="shared" si="673"/>
        <v>&gt; 6 months</v>
      </c>
      <c r="AU2263" s="22" t="s">
        <v>3750</v>
      </c>
    </row>
    <row r="2264" spans="1:47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79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81"/>
        <v>1</v>
      </c>
      <c r="Z2264" s="18">
        <f t="shared" si="674"/>
        <v>7587500</v>
      </c>
      <c r="AA2264" s="13">
        <v>7.4499999999999997E-2</v>
      </c>
      <c r="AB2264" s="21">
        <f t="shared" si="680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59"/>
        <v>57778307.282035396</v>
      </c>
      <c r="AJ2264" s="19">
        <f t="shared" si="660"/>
        <v>7259860.7225420559</v>
      </c>
      <c r="AK2264" s="20">
        <f t="shared" si="668"/>
        <v>0.12565028406083667</v>
      </c>
      <c r="AL2264" s="17"/>
      <c r="AM2264" s="17"/>
      <c r="AN2264" s="17"/>
      <c r="AO2264" s="17"/>
      <c r="AP2264" s="28" t="str">
        <f t="shared" si="669"/>
        <v>20213</v>
      </c>
      <c r="AQ2264" s="28" t="str">
        <f t="shared" si="670"/>
        <v>20213JPY</v>
      </c>
      <c r="AR2264" s="206" t="str">
        <f t="shared" si="671"/>
        <v>YAMAHA_Mounter</v>
      </c>
      <c r="AS2264" s="22">
        <f t="shared" si="672"/>
        <v>3</v>
      </c>
      <c r="AT2264" s="24" t="str">
        <f t="shared" si="673"/>
        <v>0-3 months</v>
      </c>
      <c r="AU2264" s="22" t="s">
        <v>3745</v>
      </c>
    </row>
    <row r="2265" spans="1:47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79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81"/>
        <v>1</v>
      </c>
      <c r="Z2265" s="18">
        <f t="shared" si="674"/>
        <v>7587500</v>
      </c>
      <c r="AA2265" s="13">
        <v>7.4499999999999997E-2</v>
      </c>
      <c r="AB2265" s="21">
        <f t="shared" si="680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59"/>
        <v>57778307.282035396</v>
      </c>
      <c r="AJ2265" s="19">
        <f t="shared" si="660"/>
        <v>7259860.7225420559</v>
      </c>
      <c r="AK2265" s="20">
        <f t="shared" si="668"/>
        <v>0.12565028406083667</v>
      </c>
      <c r="AL2265" s="17"/>
      <c r="AM2265" s="17"/>
      <c r="AN2265" s="17"/>
      <c r="AO2265" s="17"/>
      <c r="AP2265" s="28" t="str">
        <f t="shared" si="669"/>
        <v>20213</v>
      </c>
      <c r="AQ2265" s="28" t="str">
        <f t="shared" si="670"/>
        <v>20213JPY</v>
      </c>
      <c r="AR2265" s="206" t="str">
        <f t="shared" si="671"/>
        <v>YAMAHA_Mounter</v>
      </c>
      <c r="AS2265" s="22">
        <f t="shared" si="672"/>
        <v>3</v>
      </c>
      <c r="AT2265" s="24" t="str">
        <f t="shared" si="673"/>
        <v>0-3 months</v>
      </c>
      <c r="AU2265" s="22" t="s">
        <v>3745</v>
      </c>
    </row>
    <row r="2266" spans="1:47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79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81"/>
        <v>1</v>
      </c>
      <c r="Z2266" s="18">
        <f t="shared" si="674"/>
        <v>7587500</v>
      </c>
      <c r="AA2266" s="13">
        <v>7.4499999999999997E-2</v>
      </c>
      <c r="AB2266" s="21">
        <f t="shared" si="680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59"/>
        <v>57778307.282035396</v>
      </c>
      <c r="AJ2266" s="19">
        <f t="shared" si="660"/>
        <v>7259860.7225420559</v>
      </c>
      <c r="AK2266" s="20">
        <f t="shared" si="668"/>
        <v>0.12565028406083667</v>
      </c>
      <c r="AL2266" s="17"/>
      <c r="AM2266" s="17"/>
      <c r="AN2266" s="17"/>
      <c r="AO2266" s="17"/>
      <c r="AP2266" s="28" t="str">
        <f t="shared" si="669"/>
        <v>20213</v>
      </c>
      <c r="AQ2266" s="28" t="str">
        <f t="shared" si="670"/>
        <v>20213JPY</v>
      </c>
      <c r="AR2266" s="206" t="str">
        <f t="shared" si="671"/>
        <v>YAMAHA_Mounter</v>
      </c>
      <c r="AS2266" s="22">
        <f t="shared" si="672"/>
        <v>3</v>
      </c>
      <c r="AT2266" s="24" t="str">
        <f t="shared" si="673"/>
        <v>0-3 months</v>
      </c>
      <c r="AU2266" s="22" t="s">
        <v>3745</v>
      </c>
    </row>
    <row r="2267" spans="1:47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79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81"/>
        <v>1</v>
      </c>
      <c r="Z2267" s="18">
        <f t="shared" si="674"/>
        <v>7587500</v>
      </c>
      <c r="AA2267" s="13">
        <v>7.4499999999999997E-2</v>
      </c>
      <c r="AB2267" s="21">
        <f t="shared" si="680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59"/>
        <v>57778307.282035396</v>
      </c>
      <c r="AJ2267" s="19">
        <f t="shared" si="660"/>
        <v>7259860.7225420559</v>
      </c>
      <c r="AK2267" s="20">
        <f t="shared" si="668"/>
        <v>0.12565028406083667</v>
      </c>
      <c r="AL2267" s="17"/>
      <c r="AM2267" s="17"/>
      <c r="AN2267" s="17"/>
      <c r="AO2267" s="17"/>
      <c r="AP2267" s="28" t="str">
        <f t="shared" si="669"/>
        <v>20213</v>
      </c>
      <c r="AQ2267" s="28" t="str">
        <f t="shared" si="670"/>
        <v>20213JPY</v>
      </c>
      <c r="AR2267" s="206" t="str">
        <f t="shared" si="671"/>
        <v>YAMAHA_Mounter</v>
      </c>
      <c r="AS2267" s="22">
        <f t="shared" si="672"/>
        <v>3</v>
      </c>
      <c r="AT2267" s="24" t="str">
        <f t="shared" si="673"/>
        <v>0-3 months</v>
      </c>
      <c r="AU2267" s="22" t="s">
        <v>3745</v>
      </c>
    </row>
    <row r="2268" spans="1:47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79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81"/>
        <v>1</v>
      </c>
      <c r="Z2268" s="18">
        <f t="shared" si="674"/>
        <v>8100000</v>
      </c>
      <c r="AA2268" s="13">
        <v>6.2799999999999995E-2</v>
      </c>
      <c r="AB2268" s="21">
        <f t="shared" si="680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59"/>
        <v>44014086.982070789</v>
      </c>
      <c r="AJ2268" s="19">
        <f t="shared" si="660"/>
        <v>6419974.0221889298</v>
      </c>
      <c r="AK2268" s="20">
        <f t="shared" si="668"/>
        <v>0.14586180158193709</v>
      </c>
      <c r="AL2268" s="17"/>
      <c r="AM2268" s="17"/>
      <c r="AN2268" s="17"/>
      <c r="AO2268" s="17"/>
      <c r="AP2268" s="28" t="str">
        <f t="shared" si="669"/>
        <v>20225</v>
      </c>
      <c r="AQ2268" s="28" t="str">
        <f t="shared" si="670"/>
        <v>20225JPY</v>
      </c>
      <c r="AR2268" s="206" t="str">
        <f t="shared" si="671"/>
        <v>YAMAHA_Mounter</v>
      </c>
      <c r="AS2268" s="22">
        <f t="shared" si="672"/>
        <v>6</v>
      </c>
      <c r="AT2268" s="24" t="str">
        <f t="shared" si="673"/>
        <v>4-6 months</v>
      </c>
      <c r="AU2268" s="22" t="s">
        <v>3745</v>
      </c>
    </row>
    <row r="2269" spans="1:47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79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81"/>
        <v>1</v>
      </c>
      <c r="Z2269" s="18">
        <f t="shared" si="674"/>
        <v>8100000</v>
      </c>
      <c r="AA2269" s="13">
        <v>6.2799999999999995E-2</v>
      </c>
      <c r="AB2269" s="21">
        <f t="shared" si="680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59"/>
        <v>44014086.982070789</v>
      </c>
      <c r="AJ2269" s="19">
        <f t="shared" si="660"/>
        <v>6419974.0221889298</v>
      </c>
      <c r="AK2269" s="20">
        <f t="shared" si="668"/>
        <v>0.14586180158193709</v>
      </c>
      <c r="AL2269" s="17"/>
      <c r="AM2269" s="17"/>
      <c r="AN2269" s="17"/>
      <c r="AO2269" s="17"/>
      <c r="AP2269" s="28" t="str">
        <f t="shared" si="669"/>
        <v>20225</v>
      </c>
      <c r="AQ2269" s="28" t="str">
        <f t="shared" si="670"/>
        <v>20225JPY</v>
      </c>
      <c r="AR2269" s="206" t="str">
        <f t="shared" si="671"/>
        <v>YAMAHA_Mounter</v>
      </c>
      <c r="AS2269" s="22">
        <f t="shared" si="672"/>
        <v>6</v>
      </c>
      <c r="AT2269" s="24" t="str">
        <f t="shared" si="673"/>
        <v>4-6 months</v>
      </c>
      <c r="AU2269" s="22" t="s">
        <v>3745</v>
      </c>
    </row>
    <row r="2270" spans="1:47" s="12" customFormat="1">
      <c r="A2270" s="33" t="str">
        <f t="shared" si="661"/>
        <v>cancel</v>
      </c>
      <c r="B2270" s="152"/>
      <c r="C2270" s="152" t="s">
        <v>185</v>
      </c>
      <c r="D2270" s="33" t="str">
        <f t="shared" si="662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663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79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74"/>
        <v>9100000</v>
      </c>
      <c r="AA2270" s="13">
        <v>7.5200000000000003E-2</v>
      </c>
      <c r="AB2270" s="21">
        <f t="shared" si="680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59"/>
        <v>499582152.5142017</v>
      </c>
      <c r="AJ2270" s="19">
        <f t="shared" si="660"/>
        <v>59520528.679470733</v>
      </c>
      <c r="AK2270" s="20">
        <f t="shared" si="668"/>
        <v>0.11914062257814291</v>
      </c>
      <c r="AL2270" s="17"/>
      <c r="AM2270" s="17"/>
      <c r="AN2270" s="17"/>
      <c r="AO2270" s="17"/>
      <c r="AP2270" s="28" t="str">
        <f t="shared" si="669"/>
        <v>CancelCancel</v>
      </c>
      <c r="AQ2270" s="28" t="str">
        <f t="shared" si="670"/>
        <v>CancelCancelJPY</v>
      </c>
      <c r="AR2270" s="206" t="str">
        <f t="shared" si="671"/>
        <v>YAMAHA_Mounter</v>
      </c>
      <c r="AS2270" s="22" t="str">
        <f t="shared" si="672"/>
        <v/>
      </c>
      <c r="AT2270" s="24" t="str">
        <f t="shared" si="673"/>
        <v/>
      </c>
      <c r="AU2270" s="22" t="s">
        <v>3240</v>
      </c>
    </row>
    <row r="2271" spans="1:47" s="12" customFormat="1">
      <c r="A2271" s="33" t="str">
        <f t="shared" si="661"/>
        <v>cancel</v>
      </c>
      <c r="B2271" s="152"/>
      <c r="C2271" s="152" t="s">
        <v>185</v>
      </c>
      <c r="D2271" s="33" t="str">
        <f t="shared" si="662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663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79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74"/>
        <v>9100000</v>
      </c>
      <c r="AA2271" s="13">
        <v>7.5200000000000003E-2</v>
      </c>
      <c r="AB2271" s="21">
        <f t="shared" si="680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59"/>
        <v>499582152.5142017</v>
      </c>
      <c r="AJ2271" s="19">
        <f t="shared" si="660"/>
        <v>59520528.679470733</v>
      </c>
      <c r="AK2271" s="20">
        <f t="shared" si="668"/>
        <v>0.11914062257814291</v>
      </c>
      <c r="AL2271" s="17"/>
      <c r="AM2271" s="17"/>
      <c r="AN2271" s="17"/>
      <c r="AO2271" s="17"/>
      <c r="AP2271" s="28" t="str">
        <f t="shared" si="669"/>
        <v>CancelCancel</v>
      </c>
      <c r="AQ2271" s="28" t="str">
        <f t="shared" si="670"/>
        <v>CancelCancelJPY</v>
      </c>
      <c r="AR2271" s="206" t="str">
        <f t="shared" si="671"/>
        <v>YAMAHA_Mounter</v>
      </c>
      <c r="AS2271" s="22" t="str">
        <f t="shared" si="672"/>
        <v/>
      </c>
      <c r="AT2271" s="24" t="str">
        <f t="shared" si="673"/>
        <v/>
      </c>
      <c r="AU2271" s="22" t="s">
        <v>3240</v>
      </c>
    </row>
    <row r="2272" spans="1:47" s="12" customFormat="1">
      <c r="A2272" s="33" t="str">
        <f t="shared" si="661"/>
        <v>cancel</v>
      </c>
      <c r="B2272" s="152"/>
      <c r="C2272" s="152" t="s">
        <v>185</v>
      </c>
      <c r="D2272" s="33" t="str">
        <f t="shared" si="662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663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79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74"/>
        <v>9100000</v>
      </c>
      <c r="AA2272" s="13">
        <v>7.5200000000000003E-2</v>
      </c>
      <c r="AB2272" s="21">
        <f t="shared" si="680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59"/>
        <v>499582152.5142017</v>
      </c>
      <c r="AJ2272" s="19">
        <f t="shared" si="660"/>
        <v>59520528.679470733</v>
      </c>
      <c r="AK2272" s="20">
        <f t="shared" si="668"/>
        <v>0.11914062257814291</v>
      </c>
      <c r="AL2272" s="17"/>
      <c r="AM2272" s="17"/>
      <c r="AN2272" s="17"/>
      <c r="AO2272" s="17"/>
      <c r="AP2272" s="28" t="str">
        <f t="shared" si="669"/>
        <v>CancelCancel</v>
      </c>
      <c r="AQ2272" s="28" t="str">
        <f t="shared" si="670"/>
        <v>CancelCancelJPY</v>
      </c>
      <c r="AR2272" s="206" t="str">
        <f t="shared" si="671"/>
        <v>YAMAHA_Mounter</v>
      </c>
      <c r="AS2272" s="22" t="str">
        <f t="shared" si="672"/>
        <v/>
      </c>
      <c r="AT2272" s="24" t="str">
        <f t="shared" si="673"/>
        <v/>
      </c>
      <c r="AU2272" s="22" t="s">
        <v>3240</v>
      </c>
    </row>
    <row r="2273" spans="1:47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79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74"/>
        <v>635000</v>
      </c>
      <c r="AA2273" s="22">
        <v>1.075</v>
      </c>
      <c r="AB2273" s="21">
        <f t="shared" si="680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59"/>
        <v>25458266.694690265</v>
      </c>
      <c r="AJ2273" s="27">
        <f t="shared" si="660"/>
        <v>4116526.778578762</v>
      </c>
      <c r="AK2273" s="28">
        <f t="shared" si="668"/>
        <v>0.16169705612508689</v>
      </c>
      <c r="AL2273" s="24"/>
      <c r="AM2273" s="24"/>
      <c r="AN2273" s="24"/>
      <c r="AO2273" s="24"/>
      <c r="AP2273" s="28" t="str">
        <f t="shared" si="669"/>
        <v>20247</v>
      </c>
      <c r="AQ2273" s="28" t="str">
        <f t="shared" si="670"/>
        <v>20247RMB</v>
      </c>
      <c r="AR2273" s="206" t="str">
        <f t="shared" si="671"/>
        <v>YAMAHA_Mounter</v>
      </c>
      <c r="AS2273" s="22">
        <f t="shared" si="672"/>
        <v>5</v>
      </c>
      <c r="AT2273" s="24" t="str">
        <f t="shared" si="673"/>
        <v>4-6 months</v>
      </c>
      <c r="AU2273" s="22" t="s">
        <v>3750</v>
      </c>
    </row>
    <row r="2274" spans="1:47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79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74"/>
        <v>12400000</v>
      </c>
      <c r="AA2274" s="13">
        <v>7.17E-2</v>
      </c>
      <c r="AB2274" s="21">
        <f t="shared" si="680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59"/>
        <v>41443303.53761062</v>
      </c>
      <c r="AJ2274" s="19">
        <f t="shared" si="660"/>
        <v>6194988.76643031</v>
      </c>
      <c r="AK2274" s="20">
        <f t="shared" si="668"/>
        <v>0.1494810557466355</v>
      </c>
      <c r="AL2274" s="17"/>
      <c r="AM2274" s="17"/>
      <c r="AN2274" s="17"/>
      <c r="AO2274" s="17"/>
      <c r="AP2274" s="28" t="str">
        <f t="shared" si="669"/>
        <v>20217</v>
      </c>
      <c r="AQ2274" s="28" t="str">
        <f t="shared" si="670"/>
        <v>20217JPY</v>
      </c>
      <c r="AR2274" s="206" t="str">
        <f t="shared" si="671"/>
        <v>YAMAHA_Mounter</v>
      </c>
      <c r="AS2274" s="22">
        <f t="shared" si="672"/>
        <v>4</v>
      </c>
      <c r="AT2274" s="24" t="str">
        <f t="shared" si="673"/>
        <v>4-6 months</v>
      </c>
      <c r="AU2274" s="22" t="s">
        <v>3744</v>
      </c>
    </row>
    <row r="2275" spans="1:47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79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74"/>
        <v>1031822</v>
      </c>
      <c r="AA2275" s="13">
        <v>1.095</v>
      </c>
      <c r="AB2275" s="21">
        <f t="shared" si="680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59"/>
        <v>28065694.408805311</v>
      </c>
      <c r="AJ2275" s="19">
        <f t="shared" si="660"/>
        <v>4157433.2906989697</v>
      </c>
      <c r="AK2275" s="20">
        <f t="shared" si="668"/>
        <v>0.14813220831602228</v>
      </c>
      <c r="AL2275" s="17"/>
      <c r="AM2275" s="17"/>
      <c r="AN2275" s="17"/>
      <c r="AO2275" s="17"/>
      <c r="AP2275" s="28" t="str">
        <f t="shared" si="669"/>
        <v>20205</v>
      </c>
      <c r="AQ2275" s="28" t="str">
        <f t="shared" si="670"/>
        <v>20205RMB</v>
      </c>
      <c r="AR2275" s="206" t="str">
        <f t="shared" si="671"/>
        <v>YAMAHA_Mounter</v>
      </c>
      <c r="AS2275" s="22">
        <f t="shared" si="672"/>
        <v>2</v>
      </c>
      <c r="AT2275" s="24" t="str">
        <f t="shared" si="673"/>
        <v>0-3 months</v>
      </c>
      <c r="AU2275" s="22" t="s">
        <v>3743</v>
      </c>
    </row>
    <row r="2276" spans="1:47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79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82">IF(W2276="","",IF(W2276="RMB","1.13", "1"))</f>
        <v>1.13</v>
      </c>
      <c r="Z2276" s="18">
        <f t="shared" si="674"/>
        <v>1075000</v>
      </c>
      <c r="AA2276" s="22">
        <v>1.075</v>
      </c>
      <c r="AB2276" s="21">
        <f t="shared" si="680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59"/>
        <v>25458266.694690265</v>
      </c>
      <c r="AJ2276" s="27">
        <f t="shared" si="660"/>
        <v>4116526.778578762</v>
      </c>
      <c r="AK2276" s="28">
        <f t="shared" si="668"/>
        <v>0.16169705612508689</v>
      </c>
      <c r="AL2276" s="24"/>
      <c r="AM2276" s="24"/>
      <c r="AN2276" s="24"/>
      <c r="AO2276" s="24"/>
      <c r="AP2276" s="28" t="str">
        <f t="shared" si="669"/>
        <v>20247</v>
      </c>
      <c r="AQ2276" s="28" t="str">
        <f t="shared" si="670"/>
        <v>20247RMB</v>
      </c>
      <c r="AR2276" s="206" t="str">
        <f t="shared" si="671"/>
        <v>YAMAHA_Mounter</v>
      </c>
      <c r="AS2276" s="22">
        <f t="shared" si="672"/>
        <v>3</v>
      </c>
      <c r="AT2276" s="24" t="str">
        <f t="shared" si="673"/>
        <v>0-3 months</v>
      </c>
      <c r="AU2276" s="22" t="s">
        <v>3750</v>
      </c>
    </row>
    <row r="2277" spans="1:47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79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82"/>
        <v>1.13</v>
      </c>
      <c r="Z2277" s="18">
        <f t="shared" si="674"/>
        <v>1075000</v>
      </c>
      <c r="AA2277" s="22">
        <v>1.075</v>
      </c>
      <c r="AB2277" s="21">
        <f t="shared" si="680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59"/>
        <v>25458266.694690265</v>
      </c>
      <c r="AJ2277" s="27">
        <f t="shared" si="660"/>
        <v>4116526.778578762</v>
      </c>
      <c r="AK2277" s="28">
        <f t="shared" si="668"/>
        <v>0.16169705612508689</v>
      </c>
      <c r="AL2277" s="24"/>
      <c r="AM2277" s="24"/>
      <c r="AN2277" s="24"/>
      <c r="AO2277" s="24"/>
      <c r="AP2277" s="28" t="str">
        <f t="shared" si="669"/>
        <v>20247</v>
      </c>
      <c r="AQ2277" s="28" t="str">
        <f t="shared" si="670"/>
        <v>20247RMB</v>
      </c>
      <c r="AR2277" s="206" t="str">
        <f t="shared" si="671"/>
        <v>YAMAHA_Mounter</v>
      </c>
      <c r="AS2277" s="22">
        <f t="shared" si="672"/>
        <v>3</v>
      </c>
      <c r="AT2277" s="24" t="str">
        <f t="shared" si="673"/>
        <v>0-3 months</v>
      </c>
      <c r="AU2277" s="22" t="s">
        <v>3750</v>
      </c>
    </row>
    <row r="2278" spans="1:47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79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82"/>
        <v>1.13</v>
      </c>
      <c r="Z2278" s="18">
        <f t="shared" si="674"/>
        <v>1075000</v>
      </c>
      <c r="AA2278" s="22">
        <v>1.075</v>
      </c>
      <c r="AB2278" s="21">
        <f t="shared" si="680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59"/>
        <v>25458266.694690265</v>
      </c>
      <c r="AJ2278" s="27">
        <f t="shared" si="660"/>
        <v>4116526.778578762</v>
      </c>
      <c r="AK2278" s="28">
        <f t="shared" si="668"/>
        <v>0.16169705612508689</v>
      </c>
      <c r="AL2278" s="24"/>
      <c r="AM2278" s="24"/>
      <c r="AN2278" s="24"/>
      <c r="AO2278" s="24"/>
      <c r="AP2278" s="28" t="str">
        <f t="shared" si="669"/>
        <v>20247</v>
      </c>
      <c r="AQ2278" s="28" t="str">
        <f t="shared" si="670"/>
        <v>20247RMB</v>
      </c>
      <c r="AR2278" s="206" t="str">
        <f t="shared" si="671"/>
        <v>YAMAHA_Mounter</v>
      </c>
      <c r="AS2278" s="22">
        <f t="shared" si="672"/>
        <v>3</v>
      </c>
      <c r="AT2278" s="24" t="str">
        <f t="shared" si="673"/>
        <v>0-3 months</v>
      </c>
      <c r="AU2278" s="22" t="s">
        <v>3750</v>
      </c>
    </row>
    <row r="2279" spans="1:47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79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82"/>
        <v>1.13</v>
      </c>
      <c r="Z2279" s="18">
        <f t="shared" si="674"/>
        <v>1075000</v>
      </c>
      <c r="AA2279" s="22">
        <v>1.075</v>
      </c>
      <c r="AB2279" s="21">
        <f t="shared" si="680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59"/>
        <v>25458266.694690265</v>
      </c>
      <c r="AJ2279" s="27">
        <f t="shared" si="660"/>
        <v>4116526.778578762</v>
      </c>
      <c r="AK2279" s="28">
        <f t="shared" si="668"/>
        <v>0.16169705612508689</v>
      </c>
      <c r="AL2279" s="24"/>
      <c r="AM2279" s="24"/>
      <c r="AN2279" s="24"/>
      <c r="AO2279" s="24"/>
      <c r="AP2279" s="28" t="str">
        <f t="shared" si="669"/>
        <v>20247</v>
      </c>
      <c r="AQ2279" s="28" t="str">
        <f t="shared" si="670"/>
        <v>20247RMB</v>
      </c>
      <c r="AR2279" s="206" t="str">
        <f t="shared" si="671"/>
        <v>YAMAHA_Mounter</v>
      </c>
      <c r="AS2279" s="22">
        <f t="shared" si="672"/>
        <v>3</v>
      </c>
      <c r="AT2279" s="24" t="str">
        <f t="shared" si="673"/>
        <v>0-3 months</v>
      </c>
      <c r="AU2279" s="22" t="s">
        <v>3750</v>
      </c>
    </row>
    <row r="2280" spans="1:47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79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24">
        <v>9403500</v>
      </c>
      <c r="Y2280" s="31" t="str">
        <f t="shared" si="682"/>
        <v>1</v>
      </c>
      <c r="Z2280" s="18">
        <f t="shared" si="674"/>
        <v>9403500</v>
      </c>
      <c r="AA2280" s="22">
        <v>4.9500000000000002E-2</v>
      </c>
      <c r="AB2280" s="21">
        <f t="shared" si="680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59"/>
        <v>25458266.694690265</v>
      </c>
      <c r="AJ2280" s="27">
        <f t="shared" si="660"/>
        <v>4116526.778578762</v>
      </c>
      <c r="AK2280" s="28">
        <f t="shared" si="668"/>
        <v>0.16169705612508689</v>
      </c>
      <c r="AL2280" s="24"/>
      <c r="AM2280" s="24"/>
      <c r="AN2280" s="24"/>
      <c r="AO2280" s="24"/>
      <c r="AP2280" s="28" t="str">
        <f t="shared" si="669"/>
        <v>20247</v>
      </c>
      <c r="AQ2280" s="28" t="str">
        <f t="shared" si="670"/>
        <v>20247JPY</v>
      </c>
      <c r="AR2280" s="206" t="str">
        <f t="shared" si="671"/>
        <v>YAMAHA_Mounter</v>
      </c>
      <c r="AS2280" s="22">
        <f t="shared" si="672"/>
        <v>3</v>
      </c>
      <c r="AT2280" s="24" t="str">
        <f t="shared" si="673"/>
        <v>0-3 months</v>
      </c>
      <c r="AU2280" s="22" t="s">
        <v>3744</v>
      </c>
    </row>
    <row r="2281" spans="1:47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79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24">
        <v>9403500</v>
      </c>
      <c r="Y2281" s="31" t="str">
        <f t="shared" si="682"/>
        <v>1</v>
      </c>
      <c r="Z2281" s="18">
        <f t="shared" si="674"/>
        <v>9403500</v>
      </c>
      <c r="AA2281" s="22">
        <v>4.9500000000000002E-2</v>
      </c>
      <c r="AB2281" s="21">
        <f t="shared" si="680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59"/>
        <v>25458266.694690265</v>
      </c>
      <c r="AJ2281" s="27">
        <f t="shared" si="660"/>
        <v>4116526.778578762</v>
      </c>
      <c r="AK2281" s="28">
        <f t="shared" si="668"/>
        <v>0.16169705612508689</v>
      </c>
      <c r="AL2281" s="24"/>
      <c r="AM2281" s="24"/>
      <c r="AN2281" s="24"/>
      <c r="AO2281" s="24"/>
      <c r="AP2281" s="28" t="str">
        <f t="shared" si="669"/>
        <v>20247</v>
      </c>
      <c r="AQ2281" s="28" t="str">
        <f t="shared" si="670"/>
        <v>20247JPY</v>
      </c>
      <c r="AR2281" s="206" t="str">
        <f t="shared" si="671"/>
        <v>YAMAHA_Mounter</v>
      </c>
      <c r="AS2281" s="22">
        <f t="shared" si="672"/>
        <v>3</v>
      </c>
      <c r="AT2281" s="24" t="str">
        <f t="shared" si="673"/>
        <v>0-3 months</v>
      </c>
      <c r="AU2281" s="22" t="s">
        <v>3744</v>
      </c>
    </row>
    <row r="2282" spans="1:47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79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82"/>
        <v>1.13</v>
      </c>
      <c r="Z2282" s="18">
        <f t="shared" si="674"/>
        <v>742000</v>
      </c>
      <c r="AA2282" s="22">
        <v>1.075</v>
      </c>
      <c r="AB2282" s="21">
        <f t="shared" si="680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59"/>
        <v>25458266.694690265</v>
      </c>
      <c r="AJ2282" s="27">
        <f t="shared" si="660"/>
        <v>4116526.778578762</v>
      </c>
      <c r="AK2282" s="28">
        <f t="shared" si="668"/>
        <v>0.16169705612508689</v>
      </c>
      <c r="AL2282" s="24"/>
      <c r="AM2282" s="24"/>
      <c r="AN2282" s="24"/>
      <c r="AO2282" s="24"/>
      <c r="AP2282" s="28" t="str">
        <f t="shared" si="669"/>
        <v>20247</v>
      </c>
      <c r="AQ2282" s="28" t="str">
        <f t="shared" si="670"/>
        <v>20247RMB</v>
      </c>
      <c r="AR2282" s="206" t="str">
        <f t="shared" si="671"/>
        <v>YAMAHA_Mounter</v>
      </c>
      <c r="AS2282" s="22">
        <f t="shared" si="672"/>
        <v>3</v>
      </c>
      <c r="AT2282" s="24" t="str">
        <f t="shared" si="673"/>
        <v>0-3 months</v>
      </c>
      <c r="AU2282" s="22" t="s">
        <v>3240</v>
      </c>
    </row>
    <row r="2283" spans="1:47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79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82"/>
        <v>1</v>
      </c>
      <c r="Z2283" s="18">
        <f t="shared" si="674"/>
        <v>8430000</v>
      </c>
      <c r="AA2283" s="13">
        <v>4.9500000000000002E-2</v>
      </c>
      <c r="AB2283" s="21">
        <f t="shared" si="680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59"/>
        <v>25458266.694690265</v>
      </c>
      <c r="AJ2283" s="27">
        <f t="shared" si="660"/>
        <v>4116526.778578762</v>
      </c>
      <c r="AK2283" s="28">
        <f t="shared" si="668"/>
        <v>0.16169705612508689</v>
      </c>
      <c r="AL2283" s="24"/>
      <c r="AM2283" s="24"/>
      <c r="AN2283" s="24"/>
      <c r="AO2283" s="24"/>
      <c r="AP2283" s="28" t="str">
        <f t="shared" si="669"/>
        <v>20247</v>
      </c>
      <c r="AQ2283" s="28" t="str">
        <f t="shared" si="670"/>
        <v>20247JPY</v>
      </c>
      <c r="AR2283" s="206" t="str">
        <f t="shared" si="671"/>
        <v>YAMAHA_Mounter</v>
      </c>
      <c r="AS2283" s="22">
        <f t="shared" si="672"/>
        <v>3</v>
      </c>
      <c r="AT2283" s="24" t="str">
        <f t="shared" si="673"/>
        <v>0-3 months</v>
      </c>
      <c r="AU2283" s="22" t="s">
        <v>3744</v>
      </c>
    </row>
    <row r="2284" spans="1:47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79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82"/>
        <v>1</v>
      </c>
      <c r="Z2284" s="18">
        <f t="shared" si="674"/>
        <v>8430000</v>
      </c>
      <c r="AA2284" s="13">
        <v>4.9500000000000002E-2</v>
      </c>
      <c r="AB2284" s="21">
        <f t="shared" si="680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59"/>
        <v>25458266.694690265</v>
      </c>
      <c r="AJ2284" s="27">
        <f t="shared" si="660"/>
        <v>4116526.778578762</v>
      </c>
      <c r="AK2284" s="28">
        <f t="shared" si="668"/>
        <v>0.16169705612508689</v>
      </c>
      <c r="AL2284" s="24"/>
      <c r="AM2284" s="24"/>
      <c r="AN2284" s="24"/>
      <c r="AO2284" s="24"/>
      <c r="AP2284" s="28" t="str">
        <f t="shared" si="669"/>
        <v>20247</v>
      </c>
      <c r="AQ2284" s="28" t="str">
        <f t="shared" si="670"/>
        <v>20247JPY</v>
      </c>
      <c r="AR2284" s="206" t="str">
        <f t="shared" si="671"/>
        <v>YAMAHA_Mounter</v>
      </c>
      <c r="AS2284" s="22">
        <f t="shared" si="672"/>
        <v>3</v>
      </c>
      <c r="AT2284" s="24" t="str">
        <f t="shared" si="673"/>
        <v>0-3 months</v>
      </c>
      <c r="AU2284" s="22" t="s">
        <v>3744</v>
      </c>
    </row>
    <row r="2285" spans="1:47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79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82"/>
        <v>1.13</v>
      </c>
      <c r="Z2285" s="196">
        <f t="shared" si="674"/>
        <v>330000</v>
      </c>
      <c r="AA2285" s="22">
        <v>1.075</v>
      </c>
      <c r="AB2285" s="197">
        <f t="shared" si="680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59"/>
        <v>25458266.694690265</v>
      </c>
      <c r="AJ2285" s="200">
        <f t="shared" si="660"/>
        <v>4116526.778578762</v>
      </c>
      <c r="AK2285" s="201">
        <f t="shared" si="668"/>
        <v>0.16169705612508689</v>
      </c>
      <c r="AL2285" s="24"/>
      <c r="AM2285" s="24"/>
      <c r="AN2285" s="24"/>
      <c r="AO2285" s="24"/>
      <c r="AP2285" s="105" t="str">
        <f t="shared" si="669"/>
        <v>20247</v>
      </c>
      <c r="AQ2285" s="28" t="str">
        <f t="shared" si="670"/>
        <v>20247RMB</v>
      </c>
      <c r="AR2285" s="206" t="str">
        <f t="shared" si="671"/>
        <v>YAMAHA_Non_Mounter</v>
      </c>
      <c r="AS2285" s="22">
        <f t="shared" si="672"/>
        <v>2</v>
      </c>
      <c r="AT2285" s="24" t="str">
        <f t="shared" si="673"/>
        <v>0-3 months</v>
      </c>
      <c r="AU2285" s="22" t="s">
        <v>3240</v>
      </c>
    </row>
    <row r="2286" spans="1:47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3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79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82"/>
        <v>1.13</v>
      </c>
      <c r="Z2286" s="18">
        <f t="shared" si="674"/>
        <v>800000</v>
      </c>
      <c r="AA2286" s="22">
        <v>1.075</v>
      </c>
      <c r="AB2286" s="21">
        <f t="shared" si="680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59"/>
        <v>25458266.694690265</v>
      </c>
      <c r="AJ2286" s="27">
        <f t="shared" si="660"/>
        <v>4116526.778578762</v>
      </c>
      <c r="AK2286" s="28">
        <f t="shared" si="668"/>
        <v>0.16169705612508689</v>
      </c>
      <c r="AL2286" s="24"/>
      <c r="AM2286" s="24"/>
      <c r="AN2286" s="24"/>
      <c r="AO2286" s="24"/>
      <c r="AP2286" s="28" t="str">
        <f t="shared" si="669"/>
        <v>20247</v>
      </c>
      <c r="AQ2286" s="28" t="str">
        <f t="shared" si="670"/>
        <v>20247RMB</v>
      </c>
      <c r="AR2286" s="206" t="str">
        <f t="shared" si="671"/>
        <v>YAMAHA_Mounter</v>
      </c>
      <c r="AS2286" s="22">
        <f t="shared" si="672"/>
        <v>3</v>
      </c>
      <c r="AT2286" s="24" t="str">
        <f t="shared" si="673"/>
        <v>0-3 months</v>
      </c>
      <c r="AU2286" s="22" t="s">
        <v>3240</v>
      </c>
    </row>
    <row r="2287" spans="1:47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3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79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82"/>
        <v>1.13</v>
      </c>
      <c r="Z2287" s="18">
        <f t="shared" si="674"/>
        <v>800000</v>
      </c>
      <c r="AA2287" s="22">
        <v>1.075</v>
      </c>
      <c r="AB2287" s="21">
        <f t="shared" si="680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59"/>
        <v>25458266.694690265</v>
      </c>
      <c r="AJ2287" s="27">
        <f t="shared" si="660"/>
        <v>4116526.778578762</v>
      </c>
      <c r="AK2287" s="28">
        <f t="shared" si="668"/>
        <v>0.16169705612508689</v>
      </c>
      <c r="AL2287" s="24"/>
      <c r="AM2287" s="24"/>
      <c r="AN2287" s="24"/>
      <c r="AO2287" s="24"/>
      <c r="AP2287" s="28" t="str">
        <f t="shared" si="669"/>
        <v>20247</v>
      </c>
      <c r="AQ2287" s="28" t="str">
        <f t="shared" si="670"/>
        <v>20247RMB</v>
      </c>
      <c r="AR2287" s="206" t="str">
        <f t="shared" si="671"/>
        <v>YAMAHA_Mounter</v>
      </c>
      <c r="AS2287" s="22">
        <f t="shared" si="672"/>
        <v>3</v>
      </c>
      <c r="AT2287" s="24" t="str">
        <f t="shared" si="673"/>
        <v>0-3 months</v>
      </c>
      <c r="AU2287" s="22" t="s">
        <v>3240</v>
      </c>
    </row>
    <row r="2288" spans="1:47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3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79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82"/>
        <v>1.13</v>
      </c>
      <c r="Z2288" s="18">
        <f t="shared" si="674"/>
        <v>800000</v>
      </c>
      <c r="AA2288" s="22">
        <v>1.075</v>
      </c>
      <c r="AB2288" s="21">
        <f t="shared" si="680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59"/>
        <v>25458266.694690265</v>
      </c>
      <c r="AJ2288" s="27">
        <f t="shared" si="660"/>
        <v>4116526.778578762</v>
      </c>
      <c r="AK2288" s="28">
        <f t="shared" si="668"/>
        <v>0.16169705612508689</v>
      </c>
      <c r="AL2288" s="24"/>
      <c r="AM2288" s="24"/>
      <c r="AN2288" s="24"/>
      <c r="AO2288" s="24"/>
      <c r="AP2288" s="28" t="str">
        <f t="shared" si="669"/>
        <v>20247</v>
      </c>
      <c r="AQ2288" s="28" t="str">
        <f t="shared" si="670"/>
        <v>20247RMB</v>
      </c>
      <c r="AR2288" s="206" t="str">
        <f t="shared" si="671"/>
        <v>YAMAHA_Mounter</v>
      </c>
      <c r="AS2288" s="22">
        <f t="shared" si="672"/>
        <v>3</v>
      </c>
      <c r="AT2288" s="24" t="str">
        <f t="shared" si="673"/>
        <v>0-3 months</v>
      </c>
      <c r="AU2288" s="22" t="s">
        <v>3240</v>
      </c>
    </row>
    <row r="2289" spans="1:47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3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79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82"/>
        <v>1.13</v>
      </c>
      <c r="Z2289" s="18">
        <f t="shared" si="674"/>
        <v>700000</v>
      </c>
      <c r="AA2289" s="22">
        <v>1.075</v>
      </c>
      <c r="AB2289" s="21">
        <f t="shared" si="680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59"/>
        <v>25458266.694690265</v>
      </c>
      <c r="AJ2289" s="27">
        <f t="shared" si="660"/>
        <v>4116526.778578762</v>
      </c>
      <c r="AK2289" s="28">
        <f t="shared" si="668"/>
        <v>0.16169705612508689</v>
      </c>
      <c r="AL2289" s="24"/>
      <c r="AM2289" s="24"/>
      <c r="AN2289" s="24"/>
      <c r="AO2289" s="24"/>
      <c r="AP2289" s="28" t="str">
        <f t="shared" si="669"/>
        <v>20247</v>
      </c>
      <c r="AQ2289" s="28" t="str">
        <f t="shared" si="670"/>
        <v>20247RMB</v>
      </c>
      <c r="AR2289" s="206" t="str">
        <f t="shared" si="671"/>
        <v>YAMAHA_Mounter</v>
      </c>
      <c r="AS2289" s="22">
        <f t="shared" si="672"/>
        <v>3</v>
      </c>
      <c r="AT2289" s="24" t="str">
        <f t="shared" si="673"/>
        <v>0-3 months</v>
      </c>
      <c r="AU2289" s="22" t="s">
        <v>3240</v>
      </c>
    </row>
    <row r="2290" spans="1:47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3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79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82"/>
        <v>1.13</v>
      </c>
      <c r="Z2290" s="18">
        <f t="shared" si="674"/>
        <v>700000</v>
      </c>
      <c r="AA2290" s="22">
        <v>1.075</v>
      </c>
      <c r="AB2290" s="21">
        <f t="shared" si="680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59"/>
        <v>25458266.694690265</v>
      </c>
      <c r="AJ2290" s="27">
        <f t="shared" si="660"/>
        <v>4116526.778578762</v>
      </c>
      <c r="AK2290" s="28">
        <f t="shared" si="668"/>
        <v>0.16169705612508689</v>
      </c>
      <c r="AL2290" s="24"/>
      <c r="AM2290" s="24"/>
      <c r="AN2290" s="24"/>
      <c r="AO2290" s="24"/>
      <c r="AP2290" s="28" t="str">
        <f t="shared" si="669"/>
        <v>20247</v>
      </c>
      <c r="AQ2290" s="28" t="str">
        <f t="shared" si="670"/>
        <v>20247RMB</v>
      </c>
      <c r="AR2290" s="206" t="str">
        <f t="shared" si="671"/>
        <v>YAMAHA_Mounter</v>
      </c>
      <c r="AS2290" s="22">
        <f t="shared" si="672"/>
        <v>3</v>
      </c>
      <c r="AT2290" s="24" t="str">
        <f t="shared" si="673"/>
        <v>0-3 months</v>
      </c>
      <c r="AU2290" s="22" t="s">
        <v>3240</v>
      </c>
    </row>
    <row r="2291" spans="1:47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3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79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82"/>
        <v>1.13</v>
      </c>
      <c r="Z2291" s="18">
        <f t="shared" si="674"/>
        <v>700000</v>
      </c>
      <c r="AA2291" s="22">
        <v>1.075</v>
      </c>
      <c r="AB2291" s="21">
        <f t="shared" si="680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59"/>
        <v>25458266.694690265</v>
      </c>
      <c r="AJ2291" s="27">
        <f t="shared" si="660"/>
        <v>4116526.778578762</v>
      </c>
      <c r="AK2291" s="28">
        <f t="shared" si="668"/>
        <v>0.16169705612508689</v>
      </c>
      <c r="AL2291" s="24"/>
      <c r="AM2291" s="24"/>
      <c r="AN2291" s="24"/>
      <c r="AO2291" s="24"/>
      <c r="AP2291" s="28" t="str">
        <f t="shared" si="669"/>
        <v>20247</v>
      </c>
      <c r="AQ2291" s="28" t="str">
        <f t="shared" si="670"/>
        <v>20247RMB</v>
      </c>
      <c r="AR2291" s="206" t="str">
        <f t="shared" si="671"/>
        <v>YAMAHA_Mounter</v>
      </c>
      <c r="AS2291" s="22">
        <f t="shared" si="672"/>
        <v>3</v>
      </c>
      <c r="AT2291" s="24" t="str">
        <f t="shared" si="673"/>
        <v>0-3 months</v>
      </c>
      <c r="AU2291" s="22" t="s">
        <v>3240</v>
      </c>
    </row>
    <row r="2292" spans="1:47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3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79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82"/>
        <v>1</v>
      </c>
      <c r="Z2292" s="18">
        <f t="shared" si="674"/>
        <v>8976000</v>
      </c>
      <c r="AA2292" s="22">
        <v>4.9500000000000002E-2</v>
      </c>
      <c r="AB2292" s="21">
        <f t="shared" si="680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59"/>
        <v>25458266.694690265</v>
      </c>
      <c r="AJ2292" s="27">
        <f t="shared" si="660"/>
        <v>4116526.778578762</v>
      </c>
      <c r="AK2292" s="28">
        <f t="shared" si="668"/>
        <v>0.16169705612508689</v>
      </c>
      <c r="AL2292" s="24"/>
      <c r="AM2292" s="24"/>
      <c r="AN2292" s="24"/>
      <c r="AO2292" s="24"/>
      <c r="AP2292" s="28" t="str">
        <f t="shared" si="669"/>
        <v>20247</v>
      </c>
      <c r="AQ2292" s="28" t="str">
        <f t="shared" si="670"/>
        <v>20247JPY</v>
      </c>
      <c r="AR2292" s="206" t="str">
        <f t="shared" si="671"/>
        <v>YAMAHA_Non_Mounter</v>
      </c>
      <c r="AS2292" s="22">
        <f t="shared" si="672"/>
        <v>3</v>
      </c>
      <c r="AT2292" s="24" t="str">
        <f t="shared" si="673"/>
        <v>0-3 months</v>
      </c>
      <c r="AU2292" s="22" t="s">
        <v>3744</v>
      </c>
    </row>
    <row r="2293" spans="1:47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79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82"/>
        <v>1</v>
      </c>
      <c r="Z2293" s="196">
        <f t="shared" si="674"/>
        <v>7800000</v>
      </c>
      <c r="AA2293" s="22">
        <v>4.9500000000000002E-2</v>
      </c>
      <c r="AB2293" s="197">
        <f t="shared" si="680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59"/>
        <v>25458266.694690265</v>
      </c>
      <c r="AJ2293" s="200">
        <f t="shared" si="660"/>
        <v>4116526.778578762</v>
      </c>
      <c r="AK2293" s="201">
        <f t="shared" si="668"/>
        <v>0.16169705612508689</v>
      </c>
      <c r="AL2293" s="24"/>
      <c r="AM2293" s="24"/>
      <c r="AN2293" s="24"/>
      <c r="AO2293" s="24"/>
      <c r="AP2293" s="105" t="str">
        <f t="shared" si="669"/>
        <v>20247</v>
      </c>
      <c r="AQ2293" s="28" t="str">
        <f t="shared" si="670"/>
        <v>20247JPY</v>
      </c>
      <c r="AR2293" s="206" t="str">
        <f t="shared" si="671"/>
        <v>YAMAHA_Non_Mounter</v>
      </c>
      <c r="AS2293" s="22">
        <f t="shared" si="672"/>
        <v>1</v>
      </c>
      <c r="AT2293" s="24" t="str">
        <f t="shared" si="673"/>
        <v>0-3 months</v>
      </c>
      <c r="AU2293" s="22" t="s">
        <v>3745</v>
      </c>
    </row>
    <row r="2294" spans="1:47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79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82"/>
        <v>1</v>
      </c>
      <c r="Z2294" s="196">
        <f t="shared" si="674"/>
        <v>7800000</v>
      </c>
      <c r="AA2294" s="22">
        <v>4.9500000000000002E-2</v>
      </c>
      <c r="AB2294" s="197">
        <f t="shared" si="680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59"/>
        <v>25458266.694690265</v>
      </c>
      <c r="AJ2294" s="200">
        <f t="shared" si="660"/>
        <v>4116526.778578762</v>
      </c>
      <c r="AK2294" s="201">
        <f t="shared" si="668"/>
        <v>0.16169705612508689</v>
      </c>
      <c r="AL2294" s="24"/>
      <c r="AM2294" s="24"/>
      <c r="AN2294" s="24"/>
      <c r="AO2294" s="24"/>
      <c r="AP2294" s="105" t="str">
        <f t="shared" si="669"/>
        <v>20247</v>
      </c>
      <c r="AQ2294" s="28" t="str">
        <f t="shared" si="670"/>
        <v>20247JPY</v>
      </c>
      <c r="AR2294" s="206" t="str">
        <f t="shared" si="671"/>
        <v>YAMAHA_Non_Mounter</v>
      </c>
      <c r="AS2294" s="22">
        <f t="shared" si="672"/>
        <v>1</v>
      </c>
      <c r="AT2294" s="24" t="str">
        <f t="shared" si="673"/>
        <v>0-3 months</v>
      </c>
      <c r="AU2294" s="22" t="s">
        <v>3745</v>
      </c>
    </row>
    <row r="2295" spans="1:47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79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82"/>
        <v>1.13</v>
      </c>
      <c r="Z2295" s="196">
        <f t="shared" si="674"/>
        <v>643000</v>
      </c>
      <c r="AA2295" s="22">
        <v>1.075</v>
      </c>
      <c r="AB2295" s="197">
        <f t="shared" si="680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59"/>
        <v>25458266.694690265</v>
      </c>
      <c r="AJ2295" s="200">
        <f t="shared" si="660"/>
        <v>4116526.778578762</v>
      </c>
      <c r="AK2295" s="201">
        <f t="shared" si="668"/>
        <v>0.16169705612508689</v>
      </c>
      <c r="AL2295" s="24"/>
      <c r="AM2295" s="24"/>
      <c r="AN2295" s="24"/>
      <c r="AO2295" s="24"/>
      <c r="AP2295" s="105" t="str">
        <f t="shared" si="669"/>
        <v>20247</v>
      </c>
      <c r="AQ2295" s="28" t="str">
        <f t="shared" si="670"/>
        <v>20247RMB</v>
      </c>
      <c r="AR2295" s="206" t="str">
        <f t="shared" si="671"/>
        <v>YAMAHA_Mounter</v>
      </c>
      <c r="AS2295" s="22">
        <f t="shared" si="672"/>
        <v>2</v>
      </c>
      <c r="AT2295" s="24" t="str">
        <f t="shared" si="673"/>
        <v>0-3 months</v>
      </c>
      <c r="AU2295" s="22" t="s">
        <v>3240</v>
      </c>
    </row>
    <row r="2296" spans="1:47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79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82"/>
        <v>1.13</v>
      </c>
      <c r="Z2296" s="196">
        <f t="shared" si="674"/>
        <v>643000</v>
      </c>
      <c r="AA2296" s="22">
        <v>1.075</v>
      </c>
      <c r="AB2296" s="197">
        <f t="shared" si="680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59"/>
        <v>25458266.694690265</v>
      </c>
      <c r="AJ2296" s="200">
        <f t="shared" si="660"/>
        <v>4116526.778578762</v>
      </c>
      <c r="AK2296" s="201">
        <f t="shared" si="668"/>
        <v>0.16169705612508689</v>
      </c>
      <c r="AL2296" s="24"/>
      <c r="AM2296" s="24"/>
      <c r="AN2296" s="24"/>
      <c r="AO2296" s="24"/>
      <c r="AP2296" s="105" t="str">
        <f t="shared" si="669"/>
        <v>20247</v>
      </c>
      <c r="AQ2296" s="28" t="str">
        <f t="shared" si="670"/>
        <v>20247RMB</v>
      </c>
      <c r="AR2296" s="206" t="str">
        <f t="shared" si="671"/>
        <v>YAMAHA_Mounter</v>
      </c>
      <c r="AS2296" s="22">
        <f t="shared" si="672"/>
        <v>2</v>
      </c>
      <c r="AT2296" s="24" t="str">
        <f t="shared" si="673"/>
        <v>0-3 months</v>
      </c>
      <c r="AU2296" s="22" t="s">
        <v>3240</v>
      </c>
    </row>
    <row r="2297" spans="1:47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79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82"/>
        <v>1.13</v>
      </c>
      <c r="Z2297" s="196">
        <f t="shared" si="674"/>
        <v>630000</v>
      </c>
      <c r="AA2297" s="22">
        <v>1.075</v>
      </c>
      <c r="AB2297" s="197">
        <f t="shared" si="680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59"/>
        <v>25458266.694690265</v>
      </c>
      <c r="AJ2297" s="200">
        <f t="shared" si="660"/>
        <v>4116526.778578762</v>
      </c>
      <c r="AK2297" s="201">
        <f t="shared" si="668"/>
        <v>0.16169705612508689</v>
      </c>
      <c r="AL2297" s="24"/>
      <c r="AM2297" s="24"/>
      <c r="AN2297" s="24"/>
      <c r="AO2297" s="24"/>
      <c r="AP2297" s="105" t="str">
        <f t="shared" si="669"/>
        <v>20247</v>
      </c>
      <c r="AQ2297" s="28" t="str">
        <f t="shared" si="670"/>
        <v>20247RMB</v>
      </c>
      <c r="AR2297" s="206" t="str">
        <f t="shared" si="671"/>
        <v>YAMAHA_Mounter</v>
      </c>
      <c r="AS2297" s="22">
        <f t="shared" si="672"/>
        <v>2</v>
      </c>
      <c r="AT2297" s="24" t="str">
        <f t="shared" si="673"/>
        <v>0-3 months</v>
      </c>
      <c r="AU2297" s="22" t="s">
        <v>3240</v>
      </c>
    </row>
    <row r="2298" spans="1:47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79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82"/>
        <v>1.13</v>
      </c>
      <c r="Z2298" s="196">
        <f t="shared" si="674"/>
        <v>335000</v>
      </c>
      <c r="AA2298" s="22">
        <v>1.075</v>
      </c>
      <c r="AB2298" s="197">
        <f t="shared" si="680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59"/>
        <v>25458266.694690265</v>
      </c>
      <c r="AJ2298" s="200">
        <f t="shared" si="660"/>
        <v>4116526.778578762</v>
      </c>
      <c r="AK2298" s="201">
        <f t="shared" si="668"/>
        <v>0.16169705612508689</v>
      </c>
      <c r="AL2298" s="24"/>
      <c r="AM2298" s="24"/>
      <c r="AN2298" s="24"/>
      <c r="AO2298" s="24"/>
      <c r="AP2298" s="105" t="str">
        <f t="shared" si="669"/>
        <v>20247</v>
      </c>
      <c r="AQ2298" s="28" t="str">
        <f t="shared" si="670"/>
        <v>20247RMB</v>
      </c>
      <c r="AR2298" s="206" t="str">
        <f t="shared" si="671"/>
        <v>HELLER</v>
      </c>
      <c r="AS2298" s="22">
        <f t="shared" si="672"/>
        <v>2</v>
      </c>
      <c r="AT2298" s="24" t="str">
        <f t="shared" si="673"/>
        <v>0-3 months</v>
      </c>
      <c r="AU2298" s="22" t="s">
        <v>3240</v>
      </c>
    </row>
    <row r="2299" spans="1:47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79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82"/>
        <v>1</v>
      </c>
      <c r="Z2299" s="18">
        <f t="shared" si="674"/>
        <v>7800000</v>
      </c>
      <c r="AA2299" s="13">
        <v>5.5599999999999997E-2</v>
      </c>
      <c r="AB2299" s="21">
        <f t="shared" si="680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59"/>
        <v>22758096.38940867</v>
      </c>
      <c r="AJ2299" s="27">
        <f t="shared" si="660"/>
        <v>2469357.2298956565</v>
      </c>
      <c r="AK2299" s="28">
        <f t="shared" si="668"/>
        <v>0.10850455976822666</v>
      </c>
      <c r="AL2299" s="24"/>
      <c r="AM2299" s="24"/>
      <c r="AN2299" s="24"/>
      <c r="AO2299" s="24"/>
      <c r="AP2299" s="28" t="str">
        <f t="shared" si="669"/>
        <v>202410</v>
      </c>
      <c r="AQ2299" s="28" t="str">
        <f t="shared" si="670"/>
        <v>202410JPY</v>
      </c>
      <c r="AR2299" s="206" t="str">
        <f t="shared" si="671"/>
        <v>YAMAHA_Non_Mounter</v>
      </c>
      <c r="AS2299" s="22">
        <f t="shared" si="672"/>
        <v>7</v>
      </c>
      <c r="AT2299" s="24" t="str">
        <f t="shared" si="673"/>
        <v>&gt; 6 months</v>
      </c>
      <c r="AU2299" s="22" t="s">
        <v>3744</v>
      </c>
    </row>
    <row r="2300" spans="1:47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79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82"/>
        <v>1</v>
      </c>
      <c r="Z2300" s="18">
        <f t="shared" si="674"/>
        <v>7800000</v>
      </c>
      <c r="AA2300" s="13">
        <v>5.5599999999999997E-2</v>
      </c>
      <c r="AB2300" s="21">
        <f t="shared" si="680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59"/>
        <v>22758096.38940867</v>
      </c>
      <c r="AJ2300" s="27">
        <f t="shared" si="660"/>
        <v>2469357.2298956565</v>
      </c>
      <c r="AK2300" s="28">
        <f t="shared" si="668"/>
        <v>0.10850455976822666</v>
      </c>
      <c r="AL2300" s="24"/>
      <c r="AM2300" s="24"/>
      <c r="AN2300" s="24"/>
      <c r="AO2300" s="24"/>
      <c r="AP2300" s="28" t="str">
        <f t="shared" si="669"/>
        <v>202410</v>
      </c>
      <c r="AQ2300" s="28" t="str">
        <f t="shared" si="670"/>
        <v>202410JPY</v>
      </c>
      <c r="AR2300" s="206" t="str">
        <f t="shared" si="671"/>
        <v>YAMAHA_Non_Mounter</v>
      </c>
      <c r="AS2300" s="22">
        <f t="shared" si="672"/>
        <v>7</v>
      </c>
      <c r="AT2300" s="24" t="str">
        <f t="shared" si="673"/>
        <v>&gt; 6 months</v>
      </c>
      <c r="AU2300" s="22" t="s">
        <v>3744</v>
      </c>
    </row>
    <row r="2301" spans="1:47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79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82"/>
        <v>1</v>
      </c>
      <c r="Z2301" s="196">
        <f t="shared" si="674"/>
        <v>7250000</v>
      </c>
      <c r="AA2301" s="22">
        <v>4.9500000000000002E-2</v>
      </c>
      <c r="AB2301" s="197">
        <f t="shared" si="680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59"/>
        <v>25458266.694690265</v>
      </c>
      <c r="AJ2301" s="200">
        <f t="shared" si="660"/>
        <v>4116526.778578762</v>
      </c>
      <c r="AK2301" s="201">
        <f t="shared" si="668"/>
        <v>0.16169705612508689</v>
      </c>
      <c r="AL2301" s="24"/>
      <c r="AM2301" s="24"/>
      <c r="AN2301" s="24"/>
      <c r="AO2301" s="24"/>
      <c r="AP2301" s="105" t="str">
        <f t="shared" si="669"/>
        <v>20247</v>
      </c>
      <c r="AQ2301" s="28" t="str">
        <f t="shared" si="670"/>
        <v>20247JPY</v>
      </c>
      <c r="AR2301" s="206" t="str">
        <f t="shared" si="671"/>
        <v>YAMAHA_Mounter</v>
      </c>
      <c r="AS2301" s="22">
        <f t="shared" si="672"/>
        <v>2</v>
      </c>
      <c r="AT2301" s="24" t="str">
        <f t="shared" si="673"/>
        <v>0-3 months</v>
      </c>
      <c r="AU2301" s="22" t="s">
        <v>3745</v>
      </c>
    </row>
    <row r="2302" spans="1:47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79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82"/>
        <v>1</v>
      </c>
      <c r="Z2302" s="196">
        <f t="shared" si="674"/>
        <v>7250000</v>
      </c>
      <c r="AA2302" s="22">
        <v>4.9500000000000002E-2</v>
      </c>
      <c r="AB2302" s="197">
        <f t="shared" si="680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59"/>
        <v>25458266.694690265</v>
      </c>
      <c r="AJ2302" s="200">
        <f t="shared" si="660"/>
        <v>4116526.778578762</v>
      </c>
      <c r="AK2302" s="201">
        <f t="shared" si="668"/>
        <v>0.16169705612508689</v>
      </c>
      <c r="AL2302" s="24"/>
      <c r="AM2302" s="24"/>
      <c r="AN2302" s="24"/>
      <c r="AO2302" s="24"/>
      <c r="AP2302" s="105" t="str">
        <f t="shared" si="669"/>
        <v>20247</v>
      </c>
      <c r="AQ2302" s="28" t="str">
        <f t="shared" si="670"/>
        <v>20247JPY</v>
      </c>
      <c r="AR2302" s="206" t="str">
        <f t="shared" si="671"/>
        <v>YAMAHA_Mounter</v>
      </c>
      <c r="AS2302" s="22">
        <f t="shared" si="672"/>
        <v>2</v>
      </c>
      <c r="AT2302" s="24" t="str">
        <f t="shared" si="673"/>
        <v>0-3 months</v>
      </c>
      <c r="AU2302" s="22" t="s">
        <v>3745</v>
      </c>
    </row>
    <row r="2303" spans="1:47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79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82"/>
        <v>1</v>
      </c>
      <c r="Z2303" s="196">
        <f t="shared" si="674"/>
        <v>7250000</v>
      </c>
      <c r="AA2303" s="22">
        <v>4.9500000000000002E-2</v>
      </c>
      <c r="AB2303" s="197">
        <f t="shared" si="680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59"/>
        <v>25458266.694690265</v>
      </c>
      <c r="AJ2303" s="200">
        <f t="shared" si="660"/>
        <v>4116526.778578762</v>
      </c>
      <c r="AK2303" s="201">
        <f t="shared" si="668"/>
        <v>0.16169705612508689</v>
      </c>
      <c r="AL2303" s="24"/>
      <c r="AM2303" s="24"/>
      <c r="AN2303" s="24"/>
      <c r="AO2303" s="24"/>
      <c r="AP2303" s="105" t="str">
        <f t="shared" si="669"/>
        <v>20247</v>
      </c>
      <c r="AQ2303" s="28" t="str">
        <f t="shared" si="670"/>
        <v>20247JPY</v>
      </c>
      <c r="AR2303" s="206" t="str">
        <f t="shared" si="671"/>
        <v>YAMAHA_Mounter</v>
      </c>
      <c r="AS2303" s="22">
        <f t="shared" si="672"/>
        <v>2</v>
      </c>
      <c r="AT2303" s="24" t="str">
        <f t="shared" si="673"/>
        <v>0-3 months</v>
      </c>
      <c r="AU2303" s="22" t="s">
        <v>3745</v>
      </c>
    </row>
    <row r="2304" spans="1:47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79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84">IF(W2304="RMB","1.13", "1")</f>
        <v>1</v>
      </c>
      <c r="Z2304" s="18">
        <f t="shared" si="674"/>
        <v>11687500</v>
      </c>
      <c r="AA2304" s="13">
        <v>7.6100000000000001E-2</v>
      </c>
      <c r="AB2304" s="21">
        <f t="shared" si="680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59"/>
        <v>44078731.611185849</v>
      </c>
      <c r="AJ2304" s="19">
        <f t="shared" si="660"/>
        <v>5508173.2163771465</v>
      </c>
      <c r="AK2304" s="20">
        <f t="shared" si="668"/>
        <v>0.12496215328889679</v>
      </c>
      <c r="AL2304" s="17"/>
      <c r="AM2304" s="17"/>
      <c r="AN2304" s="17"/>
      <c r="AO2304" s="17"/>
      <c r="AP2304" s="28" t="str">
        <f t="shared" si="669"/>
        <v>202011</v>
      </c>
      <c r="AQ2304" s="28" t="str">
        <f t="shared" si="670"/>
        <v>202011JPY</v>
      </c>
      <c r="AR2304" s="206" t="str">
        <f t="shared" si="671"/>
        <v>YAMAHA_Mounter</v>
      </c>
      <c r="AS2304" s="22">
        <f t="shared" si="672"/>
        <v>2</v>
      </c>
      <c r="AT2304" s="24" t="str">
        <f t="shared" si="673"/>
        <v>0-3 months</v>
      </c>
      <c r="AU2304" s="22" t="s">
        <v>3744</v>
      </c>
    </row>
    <row r="2305" spans="1:47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79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84"/>
        <v>1</v>
      </c>
      <c r="Z2305" s="18">
        <f t="shared" si="674"/>
        <v>11687500</v>
      </c>
      <c r="AA2305" s="13">
        <v>7.6100000000000001E-2</v>
      </c>
      <c r="AB2305" s="21">
        <f t="shared" si="680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59"/>
        <v>44078731.611185849</v>
      </c>
      <c r="AJ2305" s="19">
        <f t="shared" si="660"/>
        <v>5508173.2163771465</v>
      </c>
      <c r="AK2305" s="20">
        <f t="shared" si="668"/>
        <v>0.12496215328889679</v>
      </c>
      <c r="AL2305" s="17"/>
      <c r="AM2305" s="17"/>
      <c r="AN2305" s="17"/>
      <c r="AO2305" s="17"/>
      <c r="AP2305" s="28" t="str">
        <f t="shared" si="669"/>
        <v>202011</v>
      </c>
      <c r="AQ2305" s="28" t="str">
        <f t="shared" si="670"/>
        <v>202011JPY</v>
      </c>
      <c r="AR2305" s="206" t="str">
        <f t="shared" si="671"/>
        <v>YAMAHA_Mounter</v>
      </c>
      <c r="AS2305" s="22">
        <f t="shared" si="672"/>
        <v>2</v>
      </c>
      <c r="AT2305" s="24" t="str">
        <f t="shared" si="673"/>
        <v>0-3 months</v>
      </c>
      <c r="AU2305" s="22" t="s">
        <v>3744</v>
      </c>
    </row>
    <row r="2306" spans="1:47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79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84"/>
        <v>1</v>
      </c>
      <c r="Z2306" s="18">
        <f t="shared" si="674"/>
        <v>11687500</v>
      </c>
      <c r="AA2306" s="13">
        <v>7.6100000000000001E-2</v>
      </c>
      <c r="AB2306" s="21">
        <f t="shared" si="680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ref="AI2306:AI2369" si="685">IF(P2306="C66 SERVICE","",SUMIFS(AB:AB,F:F,F2306,G:G,G2306,E:E,E2306))</f>
        <v>44078731.611185849</v>
      </c>
      <c r="AJ2306" s="19">
        <f t="shared" ref="AJ2306:AJ2369" si="686">IF(P2306="C66 SERVICE","",SUMIFS(AC:AC,F:F,F2306,G:G,G2306,E:E,E2306))</f>
        <v>5508173.2163771465</v>
      </c>
      <c r="AK2306" s="20">
        <f t="shared" si="668"/>
        <v>0.12496215328889679</v>
      </c>
      <c r="AL2306" s="17"/>
      <c r="AM2306" s="17"/>
      <c r="AN2306" s="17"/>
      <c r="AO2306" s="17"/>
      <c r="AP2306" s="28" t="str">
        <f t="shared" si="669"/>
        <v>202011</v>
      </c>
      <c r="AQ2306" s="28" t="str">
        <f t="shared" si="670"/>
        <v>202011JPY</v>
      </c>
      <c r="AR2306" s="206" t="str">
        <f t="shared" si="671"/>
        <v>YAMAHA_Mounter</v>
      </c>
      <c r="AS2306" s="22">
        <f t="shared" si="672"/>
        <v>2</v>
      </c>
      <c r="AT2306" s="24" t="str">
        <f t="shared" si="673"/>
        <v>0-3 months</v>
      </c>
      <c r="AU2306" s="22" t="s">
        <v>3744</v>
      </c>
    </row>
    <row r="2307" spans="1:47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79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84"/>
        <v>1</v>
      </c>
      <c r="Z2307" s="18">
        <f t="shared" si="674"/>
        <v>11687500</v>
      </c>
      <c r="AA2307" s="13">
        <v>7.6100000000000001E-2</v>
      </c>
      <c r="AB2307" s="21">
        <f t="shared" si="680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85"/>
        <v>44078731.611185849</v>
      </c>
      <c r="AJ2307" s="19">
        <f t="shared" si="686"/>
        <v>5508173.2163771465</v>
      </c>
      <c r="AK2307" s="20">
        <f t="shared" si="668"/>
        <v>0.12496215328889679</v>
      </c>
      <c r="AL2307" s="17"/>
      <c r="AM2307" s="17"/>
      <c r="AN2307" s="17"/>
      <c r="AO2307" s="17"/>
      <c r="AP2307" s="28" t="str">
        <f t="shared" si="669"/>
        <v>202011</v>
      </c>
      <c r="AQ2307" s="28" t="str">
        <f t="shared" si="670"/>
        <v>202011JPY</v>
      </c>
      <c r="AR2307" s="206" t="str">
        <f t="shared" si="671"/>
        <v>YAMAHA_Mounter</v>
      </c>
      <c r="AS2307" s="22">
        <f t="shared" si="672"/>
        <v>2</v>
      </c>
      <c r="AT2307" s="24" t="str">
        <f t="shared" si="673"/>
        <v>0-3 months</v>
      </c>
      <c r="AU2307" s="22" t="s">
        <v>3744</v>
      </c>
    </row>
    <row r="2308" spans="1:47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79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84"/>
        <v>1</v>
      </c>
      <c r="Z2308" s="18">
        <f t="shared" si="674"/>
        <v>11687500</v>
      </c>
      <c r="AA2308" s="13">
        <v>7.6100000000000001E-2</v>
      </c>
      <c r="AB2308" s="21">
        <f t="shared" si="680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85"/>
        <v>48763143.537654862</v>
      </c>
      <c r="AJ2308" s="19">
        <f t="shared" si="686"/>
        <v>5924029.9702154724</v>
      </c>
      <c r="AK2308" s="20">
        <f t="shared" si="668"/>
        <v>0.1214858095774925</v>
      </c>
      <c r="AL2308" s="17"/>
      <c r="AM2308" s="17"/>
      <c r="AN2308" s="17"/>
      <c r="AO2308" s="17"/>
      <c r="AP2308" s="28" t="str">
        <f t="shared" si="669"/>
        <v>202012</v>
      </c>
      <c r="AQ2308" s="28" t="str">
        <f t="shared" si="670"/>
        <v>202012JPY</v>
      </c>
      <c r="AR2308" s="206" t="str">
        <f t="shared" si="671"/>
        <v>YAMAHA_Mounter</v>
      </c>
      <c r="AS2308" s="22">
        <f t="shared" si="672"/>
        <v>3</v>
      </c>
      <c r="AT2308" s="24" t="str">
        <f t="shared" si="673"/>
        <v>0-3 months</v>
      </c>
      <c r="AU2308" s="22" t="s">
        <v>3744</v>
      </c>
    </row>
    <row r="2309" spans="1:47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79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84"/>
        <v>1</v>
      </c>
      <c r="Z2309" s="18">
        <f t="shared" si="674"/>
        <v>11687500</v>
      </c>
      <c r="AA2309" s="13">
        <v>7.6100000000000001E-2</v>
      </c>
      <c r="AB2309" s="21">
        <f t="shared" si="680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85"/>
        <v>48763143.537654862</v>
      </c>
      <c r="AJ2309" s="19">
        <f t="shared" si="686"/>
        <v>5924029.9702154724</v>
      </c>
      <c r="AK2309" s="20">
        <f t="shared" si="668"/>
        <v>0.1214858095774925</v>
      </c>
      <c r="AL2309" s="17"/>
      <c r="AM2309" s="17"/>
      <c r="AN2309" s="17"/>
      <c r="AO2309" s="17"/>
      <c r="AP2309" s="28" t="str">
        <f t="shared" si="669"/>
        <v>202012</v>
      </c>
      <c r="AQ2309" s="28" t="str">
        <f t="shared" si="670"/>
        <v>202012JPY</v>
      </c>
      <c r="AR2309" s="206" t="str">
        <f t="shared" si="671"/>
        <v>YAMAHA_Mounter</v>
      </c>
      <c r="AS2309" s="22">
        <f t="shared" si="672"/>
        <v>3</v>
      </c>
      <c r="AT2309" s="24" t="str">
        <f t="shared" si="673"/>
        <v>0-3 months</v>
      </c>
      <c r="AU2309" s="22" t="s">
        <v>3744</v>
      </c>
    </row>
    <row r="2310" spans="1:47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79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84"/>
        <v>1</v>
      </c>
      <c r="Z2310" s="18">
        <f t="shared" si="674"/>
        <v>11687500</v>
      </c>
      <c r="AA2310" s="13">
        <v>7.6100000000000001E-2</v>
      </c>
      <c r="AB2310" s="21">
        <f t="shared" si="680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si="685"/>
        <v>48763143.537654862</v>
      </c>
      <c r="AJ2310" s="19">
        <f t="shared" si="686"/>
        <v>5924029.9702154724</v>
      </c>
      <c r="AK2310" s="20">
        <f t="shared" ref="AK2310:AK2373" si="692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3">IF(F2310="","",F2310&amp;G2310)</f>
        <v>202012</v>
      </c>
      <c r="AQ2310" s="28" t="str">
        <f t="shared" ref="AQ2310:AQ2373" si="694">IF(W2310="","",F2310&amp;G2310&amp;W2310)</f>
        <v>202012JPY</v>
      </c>
      <c r="AR2310" s="206" t="str">
        <f t="shared" ref="AR2310:AR2373" si="695">IFERROR(IF(AND(M2310="YAMAHA", R2310="C28"), "YAMAHA_Non_Mounter", IF(AND(M2310="YAMAHA", R2310="C49"), "YAMAHA_Mounter", M2310)),"")</f>
        <v>YAMAHA_Mounter</v>
      </c>
      <c r="AS2310" s="22">
        <f t="shared" ref="AS2310:AS2373" si="696">IFERROR(IF(OR(G2310="TBA", G2310=""), "", DATEDIF(DATE(B2310, C2310, 1), DATE(F2310, G2310, 1), "M")),"")</f>
        <v>3</v>
      </c>
      <c r="AT2310" s="24" t="str">
        <f t="shared" ref="AT2310:AT2373" si="697">IF(ISNUMBER(AS2310), IF(AS2310&gt;=0, IF(AS2310&lt;=3, "0-3 months", IF(AS2310&lt;=6, "4-6 months", "&gt; 6 months"))), "")</f>
        <v>0-3 months</v>
      </c>
      <c r="AU2310" s="22" t="s">
        <v>3744</v>
      </c>
    </row>
    <row r="2311" spans="1:47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79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84"/>
        <v>1</v>
      </c>
      <c r="Z2311" s="18">
        <f t="shared" si="674"/>
        <v>11687500</v>
      </c>
      <c r="AA2311" s="13">
        <v>7.6100000000000001E-2</v>
      </c>
      <c r="AB2311" s="21">
        <f t="shared" si="680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85"/>
        <v>48763143.537654862</v>
      </c>
      <c r="AJ2311" s="19">
        <f t="shared" si="686"/>
        <v>5924029.9702154724</v>
      </c>
      <c r="AK2311" s="20">
        <f t="shared" si="692"/>
        <v>0.1214858095774925</v>
      </c>
      <c r="AL2311" s="17"/>
      <c r="AM2311" s="17"/>
      <c r="AN2311" s="17"/>
      <c r="AO2311" s="17"/>
      <c r="AP2311" s="28" t="str">
        <f t="shared" si="693"/>
        <v>202012</v>
      </c>
      <c r="AQ2311" s="28" t="str">
        <f t="shared" si="694"/>
        <v>202012JPY</v>
      </c>
      <c r="AR2311" s="206" t="str">
        <f t="shared" si="695"/>
        <v>YAMAHA_Mounter</v>
      </c>
      <c r="AS2311" s="22">
        <f t="shared" si="696"/>
        <v>3</v>
      </c>
      <c r="AT2311" s="24" t="str">
        <f t="shared" si="697"/>
        <v>0-3 months</v>
      </c>
      <c r="AU2311" s="22" t="s">
        <v>3744</v>
      </c>
    </row>
    <row r="2312" spans="1:47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79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84"/>
        <v>1</v>
      </c>
      <c r="Z2312" s="18">
        <f t="shared" si="674"/>
        <v>12650000</v>
      </c>
      <c r="AA2312" s="13">
        <v>6.9199999999999998E-2</v>
      </c>
      <c r="AB2312" s="21">
        <f t="shared" si="680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85"/>
        <v>26407088.359292038</v>
      </c>
      <c r="AJ2312" s="19">
        <f t="shared" si="686"/>
        <v>3424510.6998470789</v>
      </c>
      <c r="AK2312" s="20">
        <f t="shared" si="692"/>
        <v>0.12968149510667554</v>
      </c>
      <c r="AL2312" s="17"/>
      <c r="AM2312" s="17"/>
      <c r="AN2312" s="17"/>
      <c r="AO2312" s="17"/>
      <c r="AP2312" s="28" t="str">
        <f t="shared" si="693"/>
        <v>20221</v>
      </c>
      <c r="AQ2312" s="28" t="str">
        <f t="shared" si="694"/>
        <v>20221JPY</v>
      </c>
      <c r="AR2312" s="206" t="str">
        <f t="shared" si="695"/>
        <v>YAMAHA_Mounter</v>
      </c>
      <c r="AS2312" s="22">
        <f t="shared" si="696"/>
        <v>12</v>
      </c>
      <c r="AT2312" s="24" t="str">
        <f t="shared" si="697"/>
        <v>&gt; 6 months</v>
      </c>
      <c r="AU2312" s="22" t="s">
        <v>3744</v>
      </c>
    </row>
    <row r="2313" spans="1:47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79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84"/>
        <v>1</v>
      </c>
      <c r="Z2313" s="18">
        <f t="shared" si="674"/>
        <v>12650000</v>
      </c>
      <c r="AA2313" s="13">
        <v>6.9199999999999998E-2</v>
      </c>
      <c r="AB2313" s="21">
        <f t="shared" si="680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85"/>
        <v>26407088.359292038</v>
      </c>
      <c r="AJ2313" s="19">
        <f t="shared" si="686"/>
        <v>3424510.6998470789</v>
      </c>
      <c r="AK2313" s="20">
        <f t="shared" si="692"/>
        <v>0.12968149510667554</v>
      </c>
      <c r="AL2313" s="17"/>
      <c r="AM2313" s="17"/>
      <c r="AN2313" s="17"/>
      <c r="AO2313" s="17"/>
      <c r="AP2313" s="28" t="str">
        <f t="shared" si="693"/>
        <v>20221</v>
      </c>
      <c r="AQ2313" s="28" t="str">
        <f t="shared" si="694"/>
        <v>20221JPY</v>
      </c>
      <c r="AR2313" s="206" t="str">
        <f t="shared" si="695"/>
        <v>YAMAHA_Mounter</v>
      </c>
      <c r="AS2313" s="22">
        <f t="shared" si="696"/>
        <v>12</v>
      </c>
      <c r="AT2313" s="24" t="str">
        <f t="shared" si="697"/>
        <v>&gt; 6 months</v>
      </c>
      <c r="AU2313" s="22" t="s">
        <v>3744</v>
      </c>
    </row>
    <row r="2314" spans="1:47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79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84"/>
        <v>1</v>
      </c>
      <c r="Z2314" s="18">
        <f t="shared" ref="Z2314:Z2377" si="698">IF(X2314="","",X2314*MAX(O2314,N2314))</f>
        <v>12650000</v>
      </c>
      <c r="AA2314" s="13">
        <v>6.54E-2</v>
      </c>
      <c r="AB2314" s="21">
        <f t="shared" si="680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85"/>
        <v>46600814.041769907</v>
      </c>
      <c r="AJ2314" s="19">
        <f t="shared" si="686"/>
        <v>5956366.3435927071</v>
      </c>
      <c r="AK2314" s="20">
        <f t="shared" si="692"/>
        <v>0.1278167874546958</v>
      </c>
      <c r="AL2314" s="17"/>
      <c r="AM2314" s="17"/>
      <c r="AN2314" s="17"/>
      <c r="AO2314" s="17"/>
      <c r="AP2314" s="28" t="str">
        <f t="shared" si="693"/>
        <v>20224</v>
      </c>
      <c r="AQ2314" s="28" t="str">
        <f t="shared" si="694"/>
        <v>20224JPY</v>
      </c>
      <c r="AR2314" s="206" t="str">
        <f t="shared" si="695"/>
        <v>YAMAHA_Mounter</v>
      </c>
      <c r="AS2314" s="22">
        <f t="shared" si="696"/>
        <v>15</v>
      </c>
      <c r="AT2314" s="24" t="str">
        <f t="shared" si="697"/>
        <v>&gt; 6 months</v>
      </c>
      <c r="AU2314" s="22" t="s">
        <v>3744</v>
      </c>
    </row>
    <row r="2315" spans="1:47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79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84"/>
        <v>1</v>
      </c>
      <c r="Z2315" s="18">
        <f t="shared" si="698"/>
        <v>7419600</v>
      </c>
      <c r="AA2315" s="13">
        <v>6.54E-2</v>
      </c>
      <c r="AB2315" s="21">
        <f t="shared" si="680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85"/>
        <v>46600814.041769907</v>
      </c>
      <c r="AJ2315" s="19">
        <f t="shared" si="686"/>
        <v>5956366.3435927071</v>
      </c>
      <c r="AK2315" s="20">
        <f t="shared" si="692"/>
        <v>0.1278167874546958</v>
      </c>
      <c r="AL2315" s="17"/>
      <c r="AM2315" s="17"/>
      <c r="AN2315" s="17"/>
      <c r="AO2315" s="17"/>
      <c r="AP2315" s="28" t="str">
        <f t="shared" si="693"/>
        <v>20224</v>
      </c>
      <c r="AQ2315" s="28" t="str">
        <f t="shared" si="694"/>
        <v>20224JPY</v>
      </c>
      <c r="AR2315" s="206" t="str">
        <f t="shared" si="695"/>
        <v>YAMAHA_Mounter</v>
      </c>
      <c r="AS2315" s="22">
        <f t="shared" si="696"/>
        <v>15</v>
      </c>
      <c r="AT2315" s="24" t="str">
        <f t="shared" si="697"/>
        <v>&gt; 6 months</v>
      </c>
      <c r="AU2315" s="22" t="s">
        <v>3744</v>
      </c>
    </row>
    <row r="2316" spans="1:47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79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84"/>
        <v>1.13</v>
      </c>
      <c r="Z2316" s="18">
        <f t="shared" si="698"/>
        <v>450000</v>
      </c>
      <c r="AA2316" s="13">
        <v>1.1599999999999999</v>
      </c>
      <c r="AB2316" s="21">
        <f t="shared" si="680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85"/>
        <v>21045012.884955753</v>
      </c>
      <c r="AJ2316" s="19">
        <f t="shared" si="686"/>
        <v>2650260.9603327443</v>
      </c>
      <c r="AK2316" s="20">
        <f t="shared" si="692"/>
        <v>0.12593296924172048</v>
      </c>
      <c r="AL2316" s="17"/>
      <c r="AM2316" s="17"/>
      <c r="AN2316" s="17"/>
      <c r="AO2316" s="17"/>
      <c r="AP2316" s="28" t="str">
        <f t="shared" si="693"/>
        <v>20232</v>
      </c>
      <c r="AQ2316" s="28" t="str">
        <f t="shared" si="694"/>
        <v>20232RMB</v>
      </c>
      <c r="AR2316" s="206" t="str">
        <f t="shared" si="695"/>
        <v>YAMAHA_Mounter</v>
      </c>
      <c r="AS2316" s="22">
        <f t="shared" si="696"/>
        <v>2</v>
      </c>
      <c r="AT2316" s="24" t="str">
        <f t="shared" si="697"/>
        <v>0-3 months</v>
      </c>
      <c r="AU2316" s="22" t="s">
        <v>3750</v>
      </c>
    </row>
    <row r="2317" spans="1:47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79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84"/>
        <v>1.13</v>
      </c>
      <c r="Z2317" s="18">
        <f t="shared" si="698"/>
        <v>450000</v>
      </c>
      <c r="AA2317" s="13">
        <v>1.1599999999999999</v>
      </c>
      <c r="AB2317" s="21">
        <f t="shared" si="680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85"/>
        <v>21045012.884955753</v>
      </c>
      <c r="AJ2317" s="19">
        <f t="shared" si="686"/>
        <v>2650260.9603327443</v>
      </c>
      <c r="AK2317" s="20">
        <f t="shared" si="692"/>
        <v>0.12593296924172048</v>
      </c>
      <c r="AL2317" s="17"/>
      <c r="AM2317" s="17"/>
      <c r="AN2317" s="17"/>
      <c r="AO2317" s="17"/>
      <c r="AP2317" s="28" t="str">
        <f t="shared" si="693"/>
        <v>20232</v>
      </c>
      <c r="AQ2317" s="28" t="str">
        <f t="shared" si="694"/>
        <v>20232RMB</v>
      </c>
      <c r="AR2317" s="206" t="str">
        <f t="shared" si="695"/>
        <v>YAMAHA_Mounter</v>
      </c>
      <c r="AS2317" s="22">
        <f t="shared" si="696"/>
        <v>2</v>
      </c>
      <c r="AT2317" s="24" t="str">
        <f t="shared" si="697"/>
        <v>0-3 months</v>
      </c>
      <c r="AU2317" s="22" t="s">
        <v>3750</v>
      </c>
    </row>
    <row r="2318" spans="1:47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79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84"/>
        <v>1.13</v>
      </c>
      <c r="Z2318" s="18">
        <f t="shared" si="698"/>
        <v>450000</v>
      </c>
      <c r="AA2318" s="13">
        <v>1.1599999999999999</v>
      </c>
      <c r="AB2318" s="21">
        <f t="shared" si="680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85"/>
        <v>21045012.884955753</v>
      </c>
      <c r="AJ2318" s="19">
        <f t="shared" si="686"/>
        <v>2650260.9603327443</v>
      </c>
      <c r="AK2318" s="20">
        <f t="shared" si="692"/>
        <v>0.12593296924172048</v>
      </c>
      <c r="AL2318" s="17"/>
      <c r="AM2318" s="17"/>
      <c r="AN2318" s="17"/>
      <c r="AO2318" s="17"/>
      <c r="AP2318" s="28" t="str">
        <f t="shared" si="693"/>
        <v>20232</v>
      </c>
      <c r="AQ2318" s="28" t="str">
        <f t="shared" si="694"/>
        <v>20232RMB</v>
      </c>
      <c r="AR2318" s="206" t="str">
        <f t="shared" si="695"/>
        <v>YAMAHA_Mounter</v>
      </c>
      <c r="AS2318" s="22">
        <f t="shared" si="696"/>
        <v>2</v>
      </c>
      <c r="AT2318" s="24" t="str">
        <f t="shared" si="697"/>
        <v>0-3 months</v>
      </c>
      <c r="AU2318" s="22" t="s">
        <v>3750</v>
      </c>
    </row>
    <row r="2319" spans="1:47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79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84"/>
        <v>1.13</v>
      </c>
      <c r="Z2319" s="18">
        <f t="shared" si="698"/>
        <v>450000</v>
      </c>
      <c r="AA2319" s="13">
        <v>1.1599999999999999</v>
      </c>
      <c r="AB2319" s="21">
        <f t="shared" si="680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85"/>
        <v>21045012.884955753</v>
      </c>
      <c r="AJ2319" s="19">
        <f t="shared" si="686"/>
        <v>2650260.9603327443</v>
      </c>
      <c r="AK2319" s="20">
        <f t="shared" si="692"/>
        <v>0.12593296924172048</v>
      </c>
      <c r="AL2319" s="17"/>
      <c r="AM2319" s="17"/>
      <c r="AN2319" s="17"/>
      <c r="AO2319" s="17"/>
      <c r="AP2319" s="28" t="str">
        <f t="shared" si="693"/>
        <v>20232</v>
      </c>
      <c r="AQ2319" s="28" t="str">
        <f t="shared" si="694"/>
        <v>20232RMB</v>
      </c>
      <c r="AR2319" s="206" t="str">
        <f t="shared" si="695"/>
        <v>YAMAHA_Mounter</v>
      </c>
      <c r="AS2319" s="22">
        <f t="shared" si="696"/>
        <v>2</v>
      </c>
      <c r="AT2319" s="24" t="str">
        <f t="shared" si="697"/>
        <v>0-3 months</v>
      </c>
      <c r="AU2319" s="22" t="s">
        <v>3750</v>
      </c>
    </row>
    <row r="2320" spans="1:47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79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84"/>
        <v>1.13</v>
      </c>
      <c r="Z2320" s="18">
        <f t="shared" si="698"/>
        <v>450000</v>
      </c>
      <c r="AA2320" s="13">
        <v>1.1599999999999999</v>
      </c>
      <c r="AB2320" s="21">
        <f t="shared" si="680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85"/>
        <v>21045012.884955753</v>
      </c>
      <c r="AJ2320" s="19">
        <f t="shared" si="686"/>
        <v>2650260.9603327443</v>
      </c>
      <c r="AK2320" s="20">
        <f t="shared" si="692"/>
        <v>0.12593296924172048</v>
      </c>
      <c r="AL2320" s="17"/>
      <c r="AM2320" s="17"/>
      <c r="AN2320" s="17"/>
      <c r="AO2320" s="17"/>
      <c r="AP2320" s="28" t="str">
        <f t="shared" si="693"/>
        <v>20232</v>
      </c>
      <c r="AQ2320" s="28" t="str">
        <f t="shared" si="694"/>
        <v>20232RMB</v>
      </c>
      <c r="AR2320" s="206" t="str">
        <f t="shared" si="695"/>
        <v>YAMAHA_Mounter</v>
      </c>
      <c r="AS2320" s="22">
        <f t="shared" si="696"/>
        <v>2</v>
      </c>
      <c r="AT2320" s="24" t="str">
        <f t="shared" si="697"/>
        <v>0-3 months</v>
      </c>
      <c r="AU2320" s="22" t="s">
        <v>3750</v>
      </c>
    </row>
    <row r="2321" spans="1:47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79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84"/>
        <v>1.13</v>
      </c>
      <c r="Z2321" s="18">
        <f t="shared" si="698"/>
        <v>726000</v>
      </c>
      <c r="AA2321" s="13">
        <v>1.1599999999999999</v>
      </c>
      <c r="AB2321" s="21">
        <f t="shared" si="680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85"/>
        <v>21045012.884955753</v>
      </c>
      <c r="AJ2321" s="19">
        <f t="shared" si="686"/>
        <v>2650260.9603327443</v>
      </c>
      <c r="AK2321" s="20">
        <f t="shared" si="692"/>
        <v>0.12593296924172048</v>
      </c>
      <c r="AL2321" s="17"/>
      <c r="AM2321" s="17"/>
      <c r="AN2321" s="17"/>
      <c r="AO2321" s="17"/>
      <c r="AP2321" s="28" t="str">
        <f t="shared" si="693"/>
        <v>20232</v>
      </c>
      <c r="AQ2321" s="28" t="str">
        <f t="shared" si="694"/>
        <v>20232RMB</v>
      </c>
      <c r="AR2321" s="206" t="str">
        <f t="shared" si="695"/>
        <v>YAMAHA_Mounter</v>
      </c>
      <c r="AS2321" s="22">
        <f t="shared" si="696"/>
        <v>2</v>
      </c>
      <c r="AT2321" s="24" t="str">
        <f t="shared" si="697"/>
        <v>0-3 months</v>
      </c>
      <c r="AU2321" s="22" t="s">
        <v>3750</v>
      </c>
    </row>
    <row r="2322" spans="1:47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79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84"/>
        <v>1.13</v>
      </c>
      <c r="Z2322" s="18">
        <f t="shared" si="698"/>
        <v>500000</v>
      </c>
      <c r="AA2322" s="13">
        <v>1.1599999999999999</v>
      </c>
      <c r="AB2322" s="21">
        <f t="shared" si="680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85"/>
        <v>21045012.884955753</v>
      </c>
      <c r="AJ2322" s="19">
        <f t="shared" si="686"/>
        <v>2650260.9603327443</v>
      </c>
      <c r="AK2322" s="20">
        <f t="shared" si="692"/>
        <v>0.12593296924172048</v>
      </c>
      <c r="AL2322" s="17"/>
      <c r="AM2322" s="17"/>
      <c r="AN2322" s="17"/>
      <c r="AO2322" s="17"/>
      <c r="AP2322" s="28" t="str">
        <f t="shared" si="693"/>
        <v>20232</v>
      </c>
      <c r="AQ2322" s="28" t="str">
        <f t="shared" si="694"/>
        <v>20232RMB</v>
      </c>
      <c r="AR2322" s="206" t="str">
        <f t="shared" si="695"/>
        <v>YAMAHA_Mounter</v>
      </c>
      <c r="AS2322" s="22">
        <f t="shared" si="696"/>
        <v>0</v>
      </c>
      <c r="AT2322" s="24" t="str">
        <f t="shared" si="697"/>
        <v>0-3 months</v>
      </c>
      <c r="AU2322" s="22" t="s">
        <v>3240</v>
      </c>
    </row>
    <row r="2323" spans="1:47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79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84"/>
        <v>1.13</v>
      </c>
      <c r="Z2323" s="18">
        <f t="shared" si="698"/>
        <v>500000</v>
      </c>
      <c r="AA2323" s="13">
        <v>1.1599999999999999</v>
      </c>
      <c r="AB2323" s="21">
        <f t="shared" si="680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85"/>
        <v>21045012.884955753</v>
      </c>
      <c r="AJ2323" s="19">
        <f t="shared" si="686"/>
        <v>2650260.9603327443</v>
      </c>
      <c r="AK2323" s="20">
        <f t="shared" si="692"/>
        <v>0.12593296924172048</v>
      </c>
      <c r="AL2323" s="17"/>
      <c r="AM2323" s="17"/>
      <c r="AN2323" s="17"/>
      <c r="AO2323" s="17"/>
      <c r="AP2323" s="28" t="str">
        <f t="shared" si="693"/>
        <v>20232</v>
      </c>
      <c r="AQ2323" s="28" t="str">
        <f t="shared" si="694"/>
        <v>20232RMB</v>
      </c>
      <c r="AR2323" s="206" t="str">
        <f t="shared" si="695"/>
        <v>YAMAHA_Mounter</v>
      </c>
      <c r="AS2323" s="22">
        <f t="shared" si="696"/>
        <v>0</v>
      </c>
      <c r="AT2323" s="24" t="str">
        <f t="shared" si="697"/>
        <v>0-3 months</v>
      </c>
      <c r="AU2323" s="22" t="s">
        <v>3240</v>
      </c>
    </row>
    <row r="2324" spans="1:47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79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84"/>
        <v>1.13</v>
      </c>
      <c r="Z2324" s="18">
        <f t="shared" si="698"/>
        <v>746812.5</v>
      </c>
      <c r="AA2324" s="13">
        <v>1.1599999999999999</v>
      </c>
      <c r="AB2324" s="21">
        <f t="shared" si="680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85"/>
        <v>21045012.884955753</v>
      </c>
      <c r="AJ2324" s="19">
        <f t="shared" si="686"/>
        <v>2650260.9603327443</v>
      </c>
      <c r="AK2324" s="20">
        <f t="shared" si="692"/>
        <v>0.12593296924172048</v>
      </c>
      <c r="AL2324" s="17"/>
      <c r="AM2324" s="17"/>
      <c r="AN2324" s="17"/>
      <c r="AO2324" s="17"/>
      <c r="AP2324" s="28" t="str">
        <f t="shared" si="693"/>
        <v>20232</v>
      </c>
      <c r="AQ2324" s="28" t="str">
        <f t="shared" si="694"/>
        <v>20232RMB</v>
      </c>
      <c r="AR2324" s="206" t="str">
        <f t="shared" si="695"/>
        <v>YAMAHA_Mounter</v>
      </c>
      <c r="AS2324" s="22">
        <f t="shared" si="696"/>
        <v>0</v>
      </c>
      <c r="AT2324" s="24" t="str">
        <f t="shared" si="697"/>
        <v>0-3 months</v>
      </c>
      <c r="AU2324" s="22" t="s">
        <v>3240</v>
      </c>
    </row>
    <row r="2325" spans="1:47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79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84"/>
        <v>1.13</v>
      </c>
      <c r="Z2325" s="18">
        <f t="shared" si="698"/>
        <v>746812.5</v>
      </c>
      <c r="AA2325" s="13">
        <v>1.1599999999999999</v>
      </c>
      <c r="AB2325" s="21">
        <f t="shared" si="680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85"/>
        <v>21045012.884955753</v>
      </c>
      <c r="AJ2325" s="19">
        <f t="shared" si="686"/>
        <v>2650260.9603327443</v>
      </c>
      <c r="AK2325" s="20">
        <f t="shared" si="692"/>
        <v>0.12593296924172048</v>
      </c>
      <c r="AL2325" s="17"/>
      <c r="AM2325" s="17"/>
      <c r="AN2325" s="17"/>
      <c r="AO2325" s="17"/>
      <c r="AP2325" s="28" t="str">
        <f t="shared" si="693"/>
        <v>20232</v>
      </c>
      <c r="AQ2325" s="28" t="str">
        <f t="shared" si="694"/>
        <v>20232RMB</v>
      </c>
      <c r="AR2325" s="206" t="str">
        <f t="shared" si="695"/>
        <v>YAMAHA_Mounter</v>
      </c>
      <c r="AS2325" s="22">
        <f t="shared" si="696"/>
        <v>0</v>
      </c>
      <c r="AT2325" s="24" t="str">
        <f t="shared" si="697"/>
        <v>0-3 months</v>
      </c>
      <c r="AU2325" s="22" t="s">
        <v>3240</v>
      </c>
    </row>
    <row r="2326" spans="1:47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699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84"/>
        <v>1.13</v>
      </c>
      <c r="Z2326" s="18">
        <f t="shared" si="698"/>
        <v>746812.5</v>
      </c>
      <c r="AA2326" s="13">
        <v>1.1599999999999999</v>
      </c>
      <c r="AB2326" s="21">
        <f t="shared" ref="AB2326:AB2389" si="700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85"/>
        <v>21045012.884955753</v>
      </c>
      <c r="AJ2326" s="19">
        <f t="shared" si="686"/>
        <v>2650260.9603327443</v>
      </c>
      <c r="AK2326" s="20">
        <f t="shared" si="692"/>
        <v>0.12593296924172048</v>
      </c>
      <c r="AL2326" s="17"/>
      <c r="AM2326" s="17"/>
      <c r="AN2326" s="17"/>
      <c r="AO2326" s="17"/>
      <c r="AP2326" s="28" t="str">
        <f t="shared" si="693"/>
        <v>20232</v>
      </c>
      <c r="AQ2326" s="28" t="str">
        <f t="shared" si="694"/>
        <v>20232RMB</v>
      </c>
      <c r="AR2326" s="206" t="str">
        <f t="shared" si="695"/>
        <v>YAMAHA_Mounter</v>
      </c>
      <c r="AS2326" s="22">
        <f t="shared" si="696"/>
        <v>0</v>
      </c>
      <c r="AT2326" s="24" t="str">
        <f t="shared" si="697"/>
        <v>0-3 months</v>
      </c>
      <c r="AU2326" s="22" t="s">
        <v>3240</v>
      </c>
    </row>
    <row r="2327" spans="1:47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699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84"/>
        <v>1.13</v>
      </c>
      <c r="Z2327" s="18">
        <f t="shared" si="698"/>
        <v>746812.5</v>
      </c>
      <c r="AA2327" s="13">
        <v>1.1599999999999999</v>
      </c>
      <c r="AB2327" s="21">
        <f t="shared" si="700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85"/>
        <v>21045012.884955753</v>
      </c>
      <c r="AJ2327" s="19">
        <f t="shared" si="686"/>
        <v>2650260.9603327443</v>
      </c>
      <c r="AK2327" s="20">
        <f t="shared" si="692"/>
        <v>0.12593296924172048</v>
      </c>
      <c r="AL2327" s="17"/>
      <c r="AM2327" s="17"/>
      <c r="AN2327" s="17"/>
      <c r="AO2327" s="17"/>
      <c r="AP2327" s="28" t="str">
        <f t="shared" si="693"/>
        <v>20232</v>
      </c>
      <c r="AQ2327" s="28" t="str">
        <f t="shared" si="694"/>
        <v>20232RMB</v>
      </c>
      <c r="AR2327" s="206" t="str">
        <f t="shared" si="695"/>
        <v>YAMAHA_Mounter</v>
      </c>
      <c r="AS2327" s="22">
        <f t="shared" si="696"/>
        <v>0</v>
      </c>
      <c r="AT2327" s="24" t="str">
        <f t="shared" si="697"/>
        <v>0-3 months</v>
      </c>
      <c r="AU2327" s="22" t="s">
        <v>3240</v>
      </c>
    </row>
    <row r="2328" spans="1:47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699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84"/>
        <v>1.13</v>
      </c>
      <c r="Z2328" s="18">
        <f t="shared" si="698"/>
        <v>746812.5</v>
      </c>
      <c r="AA2328" s="13">
        <v>1.1599999999999999</v>
      </c>
      <c r="AB2328" s="21">
        <f t="shared" si="700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85"/>
        <v>21045012.884955753</v>
      </c>
      <c r="AJ2328" s="19">
        <f t="shared" si="686"/>
        <v>2650260.9603327443</v>
      </c>
      <c r="AK2328" s="20">
        <f t="shared" si="692"/>
        <v>0.12593296924172048</v>
      </c>
      <c r="AL2328" s="17"/>
      <c r="AM2328" s="17"/>
      <c r="AN2328" s="17"/>
      <c r="AO2328" s="17"/>
      <c r="AP2328" s="28" t="str">
        <f t="shared" si="693"/>
        <v>20232</v>
      </c>
      <c r="AQ2328" s="28" t="str">
        <f t="shared" si="694"/>
        <v>20232RMB</v>
      </c>
      <c r="AR2328" s="206" t="str">
        <f t="shared" si="695"/>
        <v>YAMAHA_Mounter</v>
      </c>
      <c r="AS2328" s="22">
        <f t="shared" si="696"/>
        <v>0</v>
      </c>
      <c r="AT2328" s="24" t="str">
        <f t="shared" si="697"/>
        <v>0-3 months</v>
      </c>
      <c r="AU2328" s="22" t="s">
        <v>3240</v>
      </c>
    </row>
    <row r="2329" spans="1:47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699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84"/>
        <v>1.13</v>
      </c>
      <c r="Z2329" s="18">
        <f t="shared" si="698"/>
        <v>746812.5</v>
      </c>
      <c r="AA2329" s="13">
        <v>1.1599999999999999</v>
      </c>
      <c r="AB2329" s="21">
        <f t="shared" si="700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85"/>
        <v>21045012.884955753</v>
      </c>
      <c r="AJ2329" s="19">
        <f t="shared" si="686"/>
        <v>2650260.9603327443</v>
      </c>
      <c r="AK2329" s="20">
        <f t="shared" si="692"/>
        <v>0.12593296924172048</v>
      </c>
      <c r="AL2329" s="17"/>
      <c r="AM2329" s="17"/>
      <c r="AN2329" s="17"/>
      <c r="AO2329" s="17"/>
      <c r="AP2329" s="28" t="str">
        <f t="shared" si="693"/>
        <v>20232</v>
      </c>
      <c r="AQ2329" s="28" t="str">
        <f t="shared" si="694"/>
        <v>20232RMB</v>
      </c>
      <c r="AR2329" s="206" t="str">
        <f t="shared" si="695"/>
        <v>YAMAHA_Mounter</v>
      </c>
      <c r="AS2329" s="22">
        <f t="shared" si="696"/>
        <v>0</v>
      </c>
      <c r="AT2329" s="24" t="str">
        <f t="shared" si="697"/>
        <v>0-3 months</v>
      </c>
      <c r="AU2329" s="22" t="s">
        <v>3240</v>
      </c>
    </row>
    <row r="2330" spans="1:47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699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84"/>
        <v>1.13</v>
      </c>
      <c r="Z2330" s="18">
        <f t="shared" si="698"/>
        <v>746812.5</v>
      </c>
      <c r="AA2330" s="13">
        <v>1.1599999999999999</v>
      </c>
      <c r="AB2330" s="21">
        <f t="shared" si="700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85"/>
        <v>21045012.884955753</v>
      </c>
      <c r="AJ2330" s="19">
        <f t="shared" si="686"/>
        <v>2650260.9603327443</v>
      </c>
      <c r="AK2330" s="20">
        <f t="shared" si="692"/>
        <v>0.12593296924172048</v>
      </c>
      <c r="AL2330" s="17"/>
      <c r="AM2330" s="17"/>
      <c r="AN2330" s="17"/>
      <c r="AO2330" s="17"/>
      <c r="AP2330" s="28" t="str">
        <f t="shared" si="693"/>
        <v>20232</v>
      </c>
      <c r="AQ2330" s="28" t="str">
        <f t="shared" si="694"/>
        <v>20232RMB</v>
      </c>
      <c r="AR2330" s="206" t="str">
        <f t="shared" si="695"/>
        <v>YAMAHA_Mounter</v>
      </c>
      <c r="AS2330" s="22">
        <f t="shared" si="696"/>
        <v>0</v>
      </c>
      <c r="AT2330" s="24" t="str">
        <f t="shared" si="697"/>
        <v>0-3 months</v>
      </c>
      <c r="AU2330" s="22" t="s">
        <v>3240</v>
      </c>
    </row>
    <row r="2331" spans="1:47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699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84"/>
        <v>1.13</v>
      </c>
      <c r="Z2331" s="18">
        <f t="shared" si="698"/>
        <v>746812.5</v>
      </c>
      <c r="AA2331" s="13">
        <v>1.1599999999999999</v>
      </c>
      <c r="AB2331" s="21">
        <f t="shared" si="700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85"/>
        <v>21045012.884955753</v>
      </c>
      <c r="AJ2331" s="19">
        <f t="shared" si="686"/>
        <v>2650260.9603327443</v>
      </c>
      <c r="AK2331" s="20">
        <f t="shared" si="692"/>
        <v>0.12593296924172048</v>
      </c>
      <c r="AL2331" s="17"/>
      <c r="AM2331" s="17"/>
      <c r="AN2331" s="17"/>
      <c r="AO2331" s="17"/>
      <c r="AP2331" s="28" t="str">
        <f t="shared" si="693"/>
        <v>20232</v>
      </c>
      <c r="AQ2331" s="28" t="str">
        <f t="shared" si="694"/>
        <v>20232RMB</v>
      </c>
      <c r="AR2331" s="206" t="str">
        <f t="shared" si="695"/>
        <v>YAMAHA_Mounter</v>
      </c>
      <c r="AS2331" s="22">
        <f t="shared" si="696"/>
        <v>0</v>
      </c>
      <c r="AT2331" s="24" t="str">
        <f t="shared" si="697"/>
        <v>0-3 months</v>
      </c>
      <c r="AU2331" s="22" t="s">
        <v>3240</v>
      </c>
    </row>
    <row r="2332" spans="1:47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699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84"/>
        <v>1.13</v>
      </c>
      <c r="Z2332" s="18">
        <f t="shared" si="698"/>
        <v>460000</v>
      </c>
      <c r="AA2332" s="13">
        <v>1.077</v>
      </c>
      <c r="AB2332" s="21">
        <f t="shared" si="700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85"/>
        <v>26078226.463097349</v>
      </c>
      <c r="AJ2332" s="19">
        <f t="shared" si="686"/>
        <v>3137870.4427774516</v>
      </c>
      <c r="AK2332" s="20">
        <f t="shared" si="692"/>
        <v>0.12032530077218917</v>
      </c>
      <c r="AL2332" s="17"/>
      <c r="AM2332" s="17"/>
      <c r="AN2332" s="17"/>
      <c r="AO2332" s="17"/>
      <c r="AP2332" s="28" t="str">
        <f t="shared" si="693"/>
        <v>20239</v>
      </c>
      <c r="AQ2332" s="28" t="str">
        <f t="shared" si="694"/>
        <v>20239RMB</v>
      </c>
      <c r="AR2332" s="206" t="str">
        <f t="shared" si="695"/>
        <v>YAMAHA_Mounter</v>
      </c>
      <c r="AS2332" s="22">
        <f t="shared" si="696"/>
        <v>2</v>
      </c>
      <c r="AT2332" s="24" t="str">
        <f t="shared" si="697"/>
        <v>0-3 months</v>
      </c>
      <c r="AU2332" s="22" t="s">
        <v>3750</v>
      </c>
    </row>
    <row r="2333" spans="1:47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699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84"/>
        <v>1.13</v>
      </c>
      <c r="Z2333" s="18">
        <f t="shared" si="698"/>
        <v>460000</v>
      </c>
      <c r="AA2333" s="13">
        <v>1.077</v>
      </c>
      <c r="AB2333" s="21">
        <f t="shared" si="700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85"/>
        <v>26078226.463097349</v>
      </c>
      <c r="AJ2333" s="19">
        <f t="shared" si="686"/>
        <v>3137870.4427774516</v>
      </c>
      <c r="AK2333" s="20">
        <f t="shared" si="692"/>
        <v>0.12032530077218917</v>
      </c>
      <c r="AL2333" s="17"/>
      <c r="AM2333" s="17"/>
      <c r="AN2333" s="17"/>
      <c r="AO2333" s="17"/>
      <c r="AP2333" s="28" t="str">
        <f t="shared" si="693"/>
        <v>20239</v>
      </c>
      <c r="AQ2333" s="28" t="str">
        <f t="shared" si="694"/>
        <v>20239RMB</v>
      </c>
      <c r="AR2333" s="206" t="str">
        <f t="shared" si="695"/>
        <v>YAMAHA_Mounter</v>
      </c>
      <c r="AS2333" s="22">
        <f t="shared" si="696"/>
        <v>2</v>
      </c>
      <c r="AT2333" s="24" t="str">
        <f t="shared" si="697"/>
        <v>0-3 months</v>
      </c>
      <c r="AU2333" s="22" t="s">
        <v>3750</v>
      </c>
    </row>
    <row r="2334" spans="1:47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699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84"/>
        <v>1.13</v>
      </c>
      <c r="Z2334" s="18">
        <f t="shared" si="698"/>
        <v>771800</v>
      </c>
      <c r="AA2334" s="13">
        <v>1.077</v>
      </c>
      <c r="AB2334" s="21">
        <f t="shared" si="700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85"/>
        <v>26078226.463097349</v>
      </c>
      <c r="AJ2334" s="19">
        <f t="shared" si="686"/>
        <v>3137870.4427774516</v>
      </c>
      <c r="AK2334" s="20">
        <f t="shared" si="692"/>
        <v>0.12032530077218917</v>
      </c>
      <c r="AL2334" s="17"/>
      <c r="AM2334" s="17"/>
      <c r="AN2334" s="17"/>
      <c r="AO2334" s="17"/>
      <c r="AP2334" s="28" t="str">
        <f t="shared" si="693"/>
        <v>20239</v>
      </c>
      <c r="AQ2334" s="28" t="str">
        <f t="shared" si="694"/>
        <v>20239RMB</v>
      </c>
      <c r="AR2334" s="206" t="str">
        <f t="shared" si="695"/>
        <v>YAMAHA_Mounter</v>
      </c>
      <c r="AS2334" s="22">
        <f t="shared" si="696"/>
        <v>2</v>
      </c>
      <c r="AT2334" s="24" t="str">
        <f t="shared" si="697"/>
        <v>0-3 months</v>
      </c>
      <c r="AU2334" s="22" t="s">
        <v>3750</v>
      </c>
    </row>
    <row r="2335" spans="1:47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699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84"/>
        <v>1.13</v>
      </c>
      <c r="Z2335" s="18">
        <f t="shared" si="698"/>
        <v>771800</v>
      </c>
      <c r="AA2335" s="13">
        <v>1.077</v>
      </c>
      <c r="AB2335" s="21">
        <f t="shared" si="700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85"/>
        <v>26078226.463097349</v>
      </c>
      <c r="AJ2335" s="19">
        <f t="shared" si="686"/>
        <v>3137870.4427774516</v>
      </c>
      <c r="AK2335" s="20">
        <f t="shared" si="692"/>
        <v>0.12032530077218917</v>
      </c>
      <c r="AL2335" s="17"/>
      <c r="AM2335" s="17"/>
      <c r="AN2335" s="17"/>
      <c r="AO2335" s="17"/>
      <c r="AP2335" s="28" t="str">
        <f t="shared" si="693"/>
        <v>20239</v>
      </c>
      <c r="AQ2335" s="28" t="str">
        <f t="shared" si="694"/>
        <v>20239RMB</v>
      </c>
      <c r="AR2335" s="206" t="str">
        <f t="shared" si="695"/>
        <v>YAMAHA_Mounter</v>
      </c>
      <c r="AS2335" s="22">
        <f t="shared" si="696"/>
        <v>2</v>
      </c>
      <c r="AT2335" s="24" t="str">
        <f t="shared" si="697"/>
        <v>0-3 months</v>
      </c>
      <c r="AU2335" s="22" t="s">
        <v>3750</v>
      </c>
    </row>
    <row r="2336" spans="1:47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699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84"/>
        <v>1.13</v>
      </c>
      <c r="Z2336" s="18">
        <f t="shared" si="698"/>
        <v>771800</v>
      </c>
      <c r="AA2336" s="13">
        <v>1.077</v>
      </c>
      <c r="AB2336" s="21">
        <f t="shared" si="700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85"/>
        <v>26078226.463097349</v>
      </c>
      <c r="AJ2336" s="19">
        <f t="shared" si="686"/>
        <v>3137870.4427774516</v>
      </c>
      <c r="AK2336" s="20">
        <f t="shared" si="692"/>
        <v>0.12032530077218917</v>
      </c>
      <c r="AL2336" s="17"/>
      <c r="AM2336" s="17"/>
      <c r="AN2336" s="17"/>
      <c r="AO2336" s="17"/>
      <c r="AP2336" s="28" t="str">
        <f t="shared" si="693"/>
        <v>20239</v>
      </c>
      <c r="AQ2336" s="28" t="str">
        <f t="shared" si="694"/>
        <v>20239RMB</v>
      </c>
      <c r="AR2336" s="206" t="str">
        <f t="shared" si="695"/>
        <v>YAMAHA_Mounter</v>
      </c>
      <c r="AS2336" s="22">
        <f t="shared" si="696"/>
        <v>2</v>
      </c>
      <c r="AT2336" s="24" t="str">
        <f t="shared" si="697"/>
        <v>0-3 months</v>
      </c>
      <c r="AU2336" s="22" t="s">
        <v>3750</v>
      </c>
    </row>
    <row r="2337" spans="1:47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699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84"/>
        <v>1.13</v>
      </c>
      <c r="Z2337" s="18">
        <f t="shared" si="698"/>
        <v>771800</v>
      </c>
      <c r="AA2337" s="13">
        <v>1.077</v>
      </c>
      <c r="AB2337" s="21">
        <f t="shared" si="700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85"/>
        <v>26078226.463097349</v>
      </c>
      <c r="AJ2337" s="19">
        <f t="shared" si="686"/>
        <v>3137870.4427774516</v>
      </c>
      <c r="AK2337" s="20">
        <f t="shared" si="692"/>
        <v>0.12032530077218917</v>
      </c>
      <c r="AL2337" s="17"/>
      <c r="AM2337" s="17"/>
      <c r="AN2337" s="17"/>
      <c r="AO2337" s="17"/>
      <c r="AP2337" s="28" t="str">
        <f t="shared" si="693"/>
        <v>20239</v>
      </c>
      <c r="AQ2337" s="28" t="str">
        <f t="shared" si="694"/>
        <v>20239RMB</v>
      </c>
      <c r="AR2337" s="206" t="str">
        <f t="shared" si="695"/>
        <v>YAMAHA_Mounter</v>
      </c>
      <c r="AS2337" s="22">
        <f t="shared" si="696"/>
        <v>2</v>
      </c>
      <c r="AT2337" s="24" t="str">
        <f t="shared" si="697"/>
        <v>0-3 months</v>
      </c>
      <c r="AU2337" s="22" t="s">
        <v>3750</v>
      </c>
    </row>
    <row r="2338" spans="1:47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699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84"/>
        <v>1.13</v>
      </c>
      <c r="Z2338" s="18">
        <f t="shared" si="698"/>
        <v>771800</v>
      </c>
      <c r="AA2338" s="13">
        <v>1.077</v>
      </c>
      <c r="AB2338" s="21">
        <f t="shared" si="700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85"/>
        <v>26078226.463097349</v>
      </c>
      <c r="AJ2338" s="19">
        <f t="shared" si="686"/>
        <v>3137870.4427774516</v>
      </c>
      <c r="AK2338" s="20">
        <f t="shared" si="692"/>
        <v>0.12032530077218917</v>
      </c>
      <c r="AL2338" s="17"/>
      <c r="AM2338" s="17"/>
      <c r="AN2338" s="17"/>
      <c r="AO2338" s="17"/>
      <c r="AP2338" s="28" t="str">
        <f t="shared" si="693"/>
        <v>20239</v>
      </c>
      <c r="AQ2338" s="28" t="str">
        <f t="shared" si="694"/>
        <v>20239RMB</v>
      </c>
      <c r="AR2338" s="206" t="str">
        <f t="shared" si="695"/>
        <v>YAMAHA_Mounter</v>
      </c>
      <c r="AS2338" s="22">
        <f t="shared" si="696"/>
        <v>2</v>
      </c>
      <c r="AT2338" s="24" t="str">
        <f t="shared" si="697"/>
        <v>0-3 months</v>
      </c>
      <c r="AU2338" s="22" t="s">
        <v>3750</v>
      </c>
    </row>
    <row r="2339" spans="1:47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699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84"/>
        <v>1.13</v>
      </c>
      <c r="Z2339" s="18">
        <f t="shared" si="698"/>
        <v>771800</v>
      </c>
      <c r="AA2339" s="13">
        <v>1.077</v>
      </c>
      <c r="AB2339" s="21">
        <f t="shared" si="700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85"/>
        <v>26078226.463097349</v>
      </c>
      <c r="AJ2339" s="19">
        <f t="shared" si="686"/>
        <v>3137870.4427774516</v>
      </c>
      <c r="AK2339" s="20">
        <f t="shared" si="692"/>
        <v>0.12032530077218917</v>
      </c>
      <c r="AL2339" s="17"/>
      <c r="AM2339" s="17"/>
      <c r="AN2339" s="17"/>
      <c r="AO2339" s="17"/>
      <c r="AP2339" s="28" t="str">
        <f t="shared" si="693"/>
        <v>20239</v>
      </c>
      <c r="AQ2339" s="28" t="str">
        <f t="shared" si="694"/>
        <v>20239RMB</v>
      </c>
      <c r="AR2339" s="206" t="str">
        <f t="shared" si="695"/>
        <v>YAMAHA_Mounter</v>
      </c>
      <c r="AS2339" s="22">
        <f t="shared" si="696"/>
        <v>2</v>
      </c>
      <c r="AT2339" s="24" t="str">
        <f t="shared" si="697"/>
        <v>0-3 months</v>
      </c>
      <c r="AU2339" s="22" t="s">
        <v>3750</v>
      </c>
    </row>
    <row r="2340" spans="1:47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699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698"/>
        <v>265000</v>
      </c>
      <c r="AA2340" s="13">
        <v>1.095</v>
      </c>
      <c r="AB2340" s="21">
        <f t="shared" si="700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85"/>
        <v>28647263.974455759</v>
      </c>
      <c r="AJ2340" s="19">
        <f t="shared" si="686"/>
        <v>3219855.6912513468</v>
      </c>
      <c r="AK2340" s="20">
        <f t="shared" si="692"/>
        <v>0.11239662168514358</v>
      </c>
      <c r="AL2340" s="17"/>
      <c r="AM2340" s="17"/>
      <c r="AN2340" s="17"/>
      <c r="AO2340" s="17"/>
      <c r="AP2340" s="28" t="str">
        <f t="shared" si="693"/>
        <v>201910</v>
      </c>
      <c r="AQ2340" s="28" t="str">
        <f t="shared" si="694"/>
        <v>201910RMB</v>
      </c>
      <c r="AR2340" s="206" t="str">
        <f t="shared" si="695"/>
        <v>SAKI</v>
      </c>
      <c r="AS2340" s="22">
        <f t="shared" si="696"/>
        <v>3</v>
      </c>
      <c r="AT2340" s="24" t="str">
        <f t="shared" si="697"/>
        <v>0-3 months</v>
      </c>
      <c r="AU2340" s="22" t="s">
        <v>3743</v>
      </c>
    </row>
    <row r="2341" spans="1:47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699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698"/>
        <v>480000</v>
      </c>
      <c r="AA2341" s="13">
        <v>1.2</v>
      </c>
      <c r="AB2341" s="21">
        <f t="shared" si="700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85"/>
        <v>57778307.282035396</v>
      </c>
      <c r="AJ2341" s="19">
        <f t="shared" si="686"/>
        <v>7259860.7225420559</v>
      </c>
      <c r="AK2341" s="20">
        <f t="shared" si="692"/>
        <v>0.12565028406083667</v>
      </c>
      <c r="AL2341" s="17"/>
      <c r="AM2341" s="17"/>
      <c r="AN2341" s="17"/>
      <c r="AO2341" s="17"/>
      <c r="AP2341" s="28" t="str">
        <f t="shared" si="693"/>
        <v>20213</v>
      </c>
      <c r="AQ2341" s="28" t="str">
        <f t="shared" si="694"/>
        <v>20213RMB</v>
      </c>
      <c r="AR2341" s="206" t="str">
        <f t="shared" si="695"/>
        <v>YAMAHA_Mounter</v>
      </c>
      <c r="AS2341" s="22">
        <f t="shared" si="696"/>
        <v>2</v>
      </c>
      <c r="AT2341" s="24" t="str">
        <f t="shared" si="697"/>
        <v>0-3 months</v>
      </c>
      <c r="AU2341" s="22" t="s">
        <v>3240</v>
      </c>
    </row>
    <row r="2342" spans="1:47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699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698"/>
        <v>480000</v>
      </c>
      <c r="AA2342" s="13">
        <v>1.2</v>
      </c>
      <c r="AB2342" s="21">
        <f t="shared" si="700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85"/>
        <v>57778307.282035396</v>
      </c>
      <c r="AJ2342" s="19">
        <f t="shared" si="686"/>
        <v>7259860.7225420559</v>
      </c>
      <c r="AK2342" s="20">
        <f t="shared" si="692"/>
        <v>0.12565028406083667</v>
      </c>
      <c r="AL2342" s="17"/>
      <c r="AM2342" s="17"/>
      <c r="AN2342" s="17"/>
      <c r="AO2342" s="17"/>
      <c r="AP2342" s="28" t="str">
        <f t="shared" si="693"/>
        <v>20213</v>
      </c>
      <c r="AQ2342" s="28" t="str">
        <f t="shared" si="694"/>
        <v>20213RMB</v>
      </c>
      <c r="AR2342" s="206" t="str">
        <f t="shared" si="695"/>
        <v>YAMAHA_Mounter</v>
      </c>
      <c r="AS2342" s="22">
        <f t="shared" si="696"/>
        <v>2</v>
      </c>
      <c r="AT2342" s="24" t="str">
        <f t="shared" si="697"/>
        <v>0-3 months</v>
      </c>
      <c r="AU2342" s="22" t="s">
        <v>3240</v>
      </c>
    </row>
    <row r="2343" spans="1:47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699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698"/>
        <v>480000</v>
      </c>
      <c r="AA2343" s="13">
        <v>1.2</v>
      </c>
      <c r="AB2343" s="21">
        <f t="shared" si="700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85"/>
        <v>57778307.282035396</v>
      </c>
      <c r="AJ2343" s="19">
        <f t="shared" si="686"/>
        <v>7259860.7225420559</v>
      </c>
      <c r="AK2343" s="20">
        <f t="shared" si="692"/>
        <v>0.12565028406083667</v>
      </c>
      <c r="AL2343" s="17"/>
      <c r="AM2343" s="17"/>
      <c r="AN2343" s="17"/>
      <c r="AO2343" s="17"/>
      <c r="AP2343" s="28" t="str">
        <f t="shared" si="693"/>
        <v>20213</v>
      </c>
      <c r="AQ2343" s="28" t="str">
        <f t="shared" si="694"/>
        <v>20213RMB</v>
      </c>
      <c r="AR2343" s="206" t="str">
        <f t="shared" si="695"/>
        <v>YAMAHA_Mounter</v>
      </c>
      <c r="AS2343" s="22">
        <f t="shared" si="696"/>
        <v>2</v>
      </c>
      <c r="AT2343" s="24" t="str">
        <f t="shared" si="697"/>
        <v>0-3 months</v>
      </c>
      <c r="AU2343" s="22" t="s">
        <v>3240</v>
      </c>
    </row>
    <row r="2344" spans="1:47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89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699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698"/>
        <v>480000</v>
      </c>
      <c r="AA2344" s="13">
        <v>1.2</v>
      </c>
      <c r="AB2344" s="21">
        <f t="shared" si="700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85"/>
        <v>499582152.5142017</v>
      </c>
      <c r="AJ2344" s="19">
        <f t="shared" si="686"/>
        <v>59520528.679470733</v>
      </c>
      <c r="AK2344" s="20">
        <f t="shared" si="692"/>
        <v>0.11914062257814291</v>
      </c>
      <c r="AL2344" s="17"/>
      <c r="AM2344" s="17"/>
      <c r="AN2344" s="17"/>
      <c r="AO2344" s="17"/>
      <c r="AP2344" s="28" t="str">
        <f t="shared" si="693"/>
        <v>CancelCANCEL</v>
      </c>
      <c r="AQ2344" s="28" t="str">
        <f t="shared" si="694"/>
        <v>CancelCANCELRMB</v>
      </c>
      <c r="AR2344" s="206" t="str">
        <f t="shared" si="695"/>
        <v>YAMAHA_Mounter</v>
      </c>
      <c r="AS2344" s="22" t="str">
        <f t="shared" si="696"/>
        <v/>
      </c>
      <c r="AT2344" s="24" t="str">
        <f t="shared" si="697"/>
        <v/>
      </c>
      <c r="AU2344" s="22" t="s">
        <v>3240</v>
      </c>
    </row>
    <row r="2345" spans="1:47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699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698"/>
        <v>363000</v>
      </c>
      <c r="AA2345" s="22">
        <v>1.0900000000000001</v>
      </c>
      <c r="AB2345" s="21">
        <f t="shared" si="700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85"/>
        <v>21241742.157380536</v>
      </c>
      <c r="AJ2345" s="27">
        <f t="shared" si="686"/>
        <v>2987081.1613773629</v>
      </c>
      <c r="AK2345" s="28">
        <f t="shared" si="692"/>
        <v>0.14062317201884914</v>
      </c>
      <c r="AL2345" s="24"/>
      <c r="AM2345" s="24"/>
      <c r="AN2345" s="24"/>
      <c r="AO2345" s="24"/>
      <c r="AP2345" s="28" t="str">
        <f t="shared" si="693"/>
        <v>20243</v>
      </c>
      <c r="AQ2345" s="28" t="str">
        <f t="shared" si="694"/>
        <v>20243RMB</v>
      </c>
      <c r="AR2345" s="206" t="str">
        <f t="shared" si="695"/>
        <v>YAMAHA_Mounter</v>
      </c>
      <c r="AS2345" s="22">
        <f t="shared" si="696"/>
        <v>0</v>
      </c>
      <c r="AT2345" s="24" t="str">
        <f t="shared" si="697"/>
        <v>0-3 months</v>
      </c>
      <c r="AU2345" s="22" t="s">
        <v>3240</v>
      </c>
    </row>
    <row r="2346" spans="1:47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699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698"/>
        <v>363000</v>
      </c>
      <c r="AA2346" s="22">
        <v>1.0900000000000001</v>
      </c>
      <c r="AB2346" s="21">
        <f t="shared" si="700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85"/>
        <v>21241742.157380536</v>
      </c>
      <c r="AJ2346" s="27">
        <f t="shared" si="686"/>
        <v>2987081.1613773629</v>
      </c>
      <c r="AK2346" s="28">
        <f t="shared" si="692"/>
        <v>0.14062317201884914</v>
      </c>
      <c r="AL2346" s="24"/>
      <c r="AM2346" s="24"/>
      <c r="AN2346" s="24"/>
      <c r="AO2346" s="24"/>
      <c r="AP2346" s="28" t="str">
        <f t="shared" si="693"/>
        <v>20243</v>
      </c>
      <c r="AQ2346" s="28" t="str">
        <f t="shared" si="694"/>
        <v>20243RMB</v>
      </c>
      <c r="AR2346" s="206" t="str">
        <f t="shared" si="695"/>
        <v>YAMAHA_Mounter</v>
      </c>
      <c r="AS2346" s="22">
        <f t="shared" si="696"/>
        <v>0</v>
      </c>
      <c r="AT2346" s="24" t="str">
        <f t="shared" si="697"/>
        <v>0-3 months</v>
      </c>
      <c r="AU2346" s="22" t="s">
        <v>3240</v>
      </c>
    </row>
    <row r="2347" spans="1:47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89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699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698"/>
        <v>780000</v>
      </c>
      <c r="AA2347" s="13">
        <v>1.175</v>
      </c>
      <c r="AB2347" s="21">
        <f t="shared" si="700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85"/>
        <v>499582152.5142017</v>
      </c>
      <c r="AJ2347" s="19">
        <f t="shared" si="686"/>
        <v>59520528.679470733</v>
      </c>
      <c r="AK2347" s="20">
        <f t="shared" si="692"/>
        <v>0.11914062257814291</v>
      </c>
      <c r="AL2347" s="17"/>
      <c r="AM2347" s="17"/>
      <c r="AN2347" s="17"/>
      <c r="AO2347" s="17"/>
      <c r="AP2347" s="28" t="str">
        <f t="shared" si="693"/>
        <v>CancelCANCEL</v>
      </c>
      <c r="AQ2347" s="28" t="str">
        <f t="shared" si="694"/>
        <v>CancelCANCELRMB</v>
      </c>
      <c r="AR2347" s="206" t="str">
        <f t="shared" si="695"/>
        <v>YAMAHA_Mounter</v>
      </c>
      <c r="AS2347" s="22" t="str">
        <f t="shared" si="696"/>
        <v/>
      </c>
      <c r="AT2347" s="24" t="str">
        <f t="shared" si="697"/>
        <v/>
      </c>
      <c r="AU2347" s="22" t="s">
        <v>3240</v>
      </c>
    </row>
    <row r="2348" spans="1:47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89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699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698"/>
        <v>780000</v>
      </c>
      <c r="AA2348" s="13">
        <v>1.175</v>
      </c>
      <c r="AB2348" s="21">
        <f t="shared" si="700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85"/>
        <v>499582152.5142017</v>
      </c>
      <c r="AJ2348" s="19">
        <f t="shared" si="686"/>
        <v>59520528.679470733</v>
      </c>
      <c r="AK2348" s="20">
        <f t="shared" si="692"/>
        <v>0.11914062257814291</v>
      </c>
      <c r="AL2348" s="17"/>
      <c r="AM2348" s="17"/>
      <c r="AN2348" s="17"/>
      <c r="AO2348" s="17"/>
      <c r="AP2348" s="28" t="str">
        <f t="shared" si="693"/>
        <v>CancelCANCEL</v>
      </c>
      <c r="AQ2348" s="28" t="str">
        <f t="shared" si="694"/>
        <v>CancelCANCELRMB</v>
      </c>
      <c r="AR2348" s="206" t="str">
        <f t="shared" si="695"/>
        <v>YAMAHA_Mounter</v>
      </c>
      <c r="AS2348" s="22" t="str">
        <f t="shared" si="696"/>
        <v/>
      </c>
      <c r="AT2348" s="24" t="str">
        <f t="shared" si="697"/>
        <v/>
      </c>
      <c r="AU2348" s="22" t="s">
        <v>3240</v>
      </c>
    </row>
    <row r="2349" spans="1:47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699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698"/>
        <v>1550000</v>
      </c>
      <c r="AA2349" s="13">
        <v>1.1100000000000001</v>
      </c>
      <c r="AB2349" s="21">
        <f t="shared" si="700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85"/>
        <v>23168285.927433632</v>
      </c>
      <c r="AJ2349" s="19">
        <f t="shared" si="686"/>
        <v>2764878.916878053</v>
      </c>
      <c r="AK2349" s="20">
        <f t="shared" si="692"/>
        <v>0.11933895004309111</v>
      </c>
      <c r="AL2349" s="17"/>
      <c r="AM2349" s="17"/>
      <c r="AN2349" s="17"/>
      <c r="AO2349" s="17"/>
      <c r="AP2349" s="28" t="str">
        <f t="shared" si="693"/>
        <v>20203</v>
      </c>
      <c r="AQ2349" s="28" t="str">
        <f t="shared" si="694"/>
        <v>20203RMB</v>
      </c>
      <c r="AR2349" s="206" t="str">
        <f t="shared" si="695"/>
        <v>YAMAHA_Mounter</v>
      </c>
      <c r="AS2349" s="22">
        <f t="shared" si="696"/>
        <v>3</v>
      </c>
      <c r="AT2349" s="24" t="str">
        <f t="shared" si="697"/>
        <v>0-3 months</v>
      </c>
      <c r="AU2349" s="22" t="s">
        <v>3750</v>
      </c>
    </row>
    <row r="2350" spans="1:47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699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698"/>
        <v>1550000</v>
      </c>
      <c r="AA2350" s="13">
        <v>1.1100000000000001</v>
      </c>
      <c r="AB2350" s="21">
        <f t="shared" si="700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85"/>
        <v>23168285.927433632</v>
      </c>
      <c r="AJ2350" s="19">
        <f t="shared" si="686"/>
        <v>2764878.916878053</v>
      </c>
      <c r="AK2350" s="20">
        <f t="shared" si="692"/>
        <v>0.11933895004309111</v>
      </c>
      <c r="AL2350" s="17"/>
      <c r="AM2350" s="17"/>
      <c r="AN2350" s="17"/>
      <c r="AO2350" s="17"/>
      <c r="AP2350" s="28" t="str">
        <f t="shared" si="693"/>
        <v>20203</v>
      </c>
      <c r="AQ2350" s="28" t="str">
        <f t="shared" si="694"/>
        <v>20203RMB</v>
      </c>
      <c r="AR2350" s="206" t="str">
        <f t="shared" si="695"/>
        <v>YAMAHA_Mounter</v>
      </c>
      <c r="AS2350" s="22">
        <f t="shared" si="696"/>
        <v>3</v>
      </c>
      <c r="AT2350" s="24" t="str">
        <f t="shared" si="697"/>
        <v>0-3 months</v>
      </c>
      <c r="AU2350" s="22" t="s">
        <v>3750</v>
      </c>
    </row>
    <row r="2351" spans="1:47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699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698"/>
        <v>13700000</v>
      </c>
      <c r="AA2351" s="13">
        <v>7.4499999999999997E-2</v>
      </c>
      <c r="AB2351" s="21">
        <f t="shared" si="700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85"/>
        <v>57778307.282035396</v>
      </c>
      <c r="AJ2351" s="19">
        <f t="shared" si="686"/>
        <v>7259860.7225420559</v>
      </c>
      <c r="AK2351" s="20">
        <f t="shared" si="692"/>
        <v>0.12565028406083667</v>
      </c>
      <c r="AL2351" s="17"/>
      <c r="AM2351" s="17"/>
      <c r="AN2351" s="17"/>
      <c r="AO2351" s="17" t="s">
        <v>1657</v>
      </c>
      <c r="AP2351" s="28" t="str">
        <f t="shared" si="693"/>
        <v>20213</v>
      </c>
      <c r="AQ2351" s="28" t="str">
        <f t="shared" si="694"/>
        <v>20213JPY</v>
      </c>
      <c r="AR2351" s="206" t="str">
        <f t="shared" si="695"/>
        <v>YAMAHA_Mounter</v>
      </c>
      <c r="AS2351" s="22">
        <f t="shared" si="696"/>
        <v>2</v>
      </c>
      <c r="AT2351" s="24" t="str">
        <f t="shared" si="697"/>
        <v>0-3 months</v>
      </c>
      <c r="AU2351" s="22" t="s">
        <v>3240</v>
      </c>
    </row>
    <row r="2352" spans="1:47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699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698"/>
        <v>13700000</v>
      </c>
      <c r="AA2352" s="13">
        <v>7.4499999999999997E-2</v>
      </c>
      <c r="AB2352" s="21">
        <f t="shared" si="700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85"/>
        <v>57778307.282035396</v>
      </c>
      <c r="AJ2352" s="19">
        <f t="shared" si="686"/>
        <v>7259860.7225420559</v>
      </c>
      <c r="AK2352" s="20">
        <f t="shared" si="692"/>
        <v>0.12565028406083667</v>
      </c>
      <c r="AL2352" s="17"/>
      <c r="AM2352" s="17"/>
      <c r="AN2352" s="17"/>
      <c r="AO2352" s="17" t="s">
        <v>1657</v>
      </c>
      <c r="AP2352" s="28" t="str">
        <f t="shared" si="693"/>
        <v>20213</v>
      </c>
      <c r="AQ2352" s="28" t="str">
        <f t="shared" si="694"/>
        <v>20213JPY</v>
      </c>
      <c r="AR2352" s="206" t="str">
        <f t="shared" si="695"/>
        <v>YAMAHA_Mounter</v>
      </c>
      <c r="AS2352" s="22">
        <f t="shared" si="696"/>
        <v>2</v>
      </c>
      <c r="AT2352" s="24" t="str">
        <f t="shared" si="697"/>
        <v>0-3 months</v>
      </c>
      <c r="AU2352" s="22" t="s">
        <v>3240</v>
      </c>
    </row>
    <row r="2353" spans="1:47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699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698"/>
        <v>507500</v>
      </c>
      <c r="AA2353" s="13">
        <v>1.095</v>
      </c>
      <c r="AB2353" s="21">
        <f t="shared" si="700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85"/>
        <v>33477255.428389374</v>
      </c>
      <c r="AJ2353" s="19">
        <f t="shared" si="686"/>
        <v>4578663.362915583</v>
      </c>
      <c r="AK2353" s="20">
        <f t="shared" si="692"/>
        <v>0.13676937682988152</v>
      </c>
      <c r="AL2353" s="17"/>
      <c r="AM2353" s="17"/>
      <c r="AN2353" s="17"/>
      <c r="AO2353" s="17"/>
      <c r="AP2353" s="28" t="str">
        <f t="shared" si="693"/>
        <v>20204</v>
      </c>
      <c r="AQ2353" s="28" t="str">
        <f t="shared" si="694"/>
        <v>20204RMB</v>
      </c>
      <c r="AR2353" s="206" t="str">
        <f t="shared" si="695"/>
        <v>YAMAHA_Mounter</v>
      </c>
      <c r="AS2353" s="22">
        <f t="shared" si="696"/>
        <v>0</v>
      </c>
      <c r="AT2353" s="24" t="str">
        <f t="shared" si="697"/>
        <v>0-3 months</v>
      </c>
      <c r="AU2353" s="22" t="s">
        <v>3240</v>
      </c>
    </row>
    <row r="2354" spans="1:47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699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701">IF(W2354="RMB","1.13", "1")</f>
        <v>1.13</v>
      </c>
      <c r="Z2354" s="18">
        <f t="shared" si="698"/>
        <v>1911428.6</v>
      </c>
      <c r="AA2354" s="13">
        <v>1.2</v>
      </c>
      <c r="AB2354" s="21">
        <f t="shared" si="700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85"/>
        <v>47458373.787610628</v>
      </c>
      <c r="AJ2354" s="19">
        <f t="shared" si="686"/>
        <v>7436880.1411522133</v>
      </c>
      <c r="AK2354" s="20">
        <f t="shared" si="692"/>
        <v>0.15670322321692506</v>
      </c>
      <c r="AL2354" s="17"/>
      <c r="AM2354" s="17"/>
      <c r="AN2354" s="17"/>
      <c r="AO2354" s="17"/>
      <c r="AP2354" s="28" t="str">
        <f t="shared" si="693"/>
        <v>20218</v>
      </c>
      <c r="AQ2354" s="28" t="str">
        <f t="shared" si="694"/>
        <v>20218RMB</v>
      </c>
      <c r="AR2354" s="206" t="str">
        <f t="shared" si="695"/>
        <v>YAMAHA_Mounter</v>
      </c>
      <c r="AS2354" s="22">
        <f t="shared" si="696"/>
        <v>3</v>
      </c>
      <c r="AT2354" s="24" t="str">
        <f t="shared" si="697"/>
        <v>0-3 months</v>
      </c>
      <c r="AU2354" s="22" t="s">
        <v>3240</v>
      </c>
    </row>
    <row r="2355" spans="1:47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699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701"/>
        <v>1.13</v>
      </c>
      <c r="Z2355" s="18">
        <f t="shared" si="698"/>
        <v>1911428.6</v>
      </c>
      <c r="AA2355" s="13">
        <v>1.2</v>
      </c>
      <c r="AB2355" s="21">
        <f t="shared" si="700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85"/>
        <v>47458373.787610628</v>
      </c>
      <c r="AJ2355" s="19">
        <f t="shared" si="686"/>
        <v>7436880.1411522133</v>
      </c>
      <c r="AK2355" s="20">
        <f t="shared" si="692"/>
        <v>0.15670322321692506</v>
      </c>
      <c r="AL2355" s="17"/>
      <c r="AM2355" s="17"/>
      <c r="AN2355" s="17"/>
      <c r="AO2355" s="17"/>
      <c r="AP2355" s="28" t="str">
        <f t="shared" si="693"/>
        <v>20218</v>
      </c>
      <c r="AQ2355" s="28" t="str">
        <f t="shared" si="694"/>
        <v>20218RMB</v>
      </c>
      <c r="AR2355" s="206" t="str">
        <f t="shared" si="695"/>
        <v>YAMAHA_Mounter</v>
      </c>
      <c r="AS2355" s="22">
        <f t="shared" si="696"/>
        <v>3</v>
      </c>
      <c r="AT2355" s="24" t="str">
        <f t="shared" si="697"/>
        <v>0-3 months</v>
      </c>
      <c r="AU2355" s="22" t="s">
        <v>3240</v>
      </c>
    </row>
    <row r="2356" spans="1:47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699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701"/>
        <v>1.13</v>
      </c>
      <c r="Z2356" s="18">
        <f t="shared" si="698"/>
        <v>1911428.6</v>
      </c>
      <c r="AA2356" s="13">
        <v>1.2</v>
      </c>
      <c r="AB2356" s="21">
        <f t="shared" si="700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85"/>
        <v>47458373.787610628</v>
      </c>
      <c r="AJ2356" s="19">
        <f t="shared" si="686"/>
        <v>7436880.1411522133</v>
      </c>
      <c r="AK2356" s="20">
        <f t="shared" si="692"/>
        <v>0.15670322321692506</v>
      </c>
      <c r="AL2356" s="17"/>
      <c r="AM2356" s="17"/>
      <c r="AN2356" s="17"/>
      <c r="AO2356" s="17"/>
      <c r="AP2356" s="28" t="str">
        <f t="shared" si="693"/>
        <v>20218</v>
      </c>
      <c r="AQ2356" s="28" t="str">
        <f t="shared" si="694"/>
        <v>20218RMB</v>
      </c>
      <c r="AR2356" s="206" t="str">
        <f t="shared" si="695"/>
        <v>YAMAHA_Mounter</v>
      </c>
      <c r="AS2356" s="22">
        <f t="shared" si="696"/>
        <v>3</v>
      </c>
      <c r="AT2356" s="24" t="str">
        <f t="shared" si="697"/>
        <v>0-3 months</v>
      </c>
      <c r="AU2356" s="22" t="s">
        <v>3240</v>
      </c>
    </row>
    <row r="2357" spans="1:47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699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701"/>
        <v>1.13</v>
      </c>
      <c r="Z2357" s="18">
        <f t="shared" si="698"/>
        <v>1911428.6</v>
      </c>
      <c r="AA2357" s="13">
        <v>1.2</v>
      </c>
      <c r="AB2357" s="21">
        <f t="shared" si="700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85"/>
        <v>47458373.787610628</v>
      </c>
      <c r="AJ2357" s="19">
        <f t="shared" si="686"/>
        <v>7436880.1411522133</v>
      </c>
      <c r="AK2357" s="20">
        <f t="shared" si="692"/>
        <v>0.15670322321692506</v>
      </c>
      <c r="AL2357" s="17"/>
      <c r="AM2357" s="17"/>
      <c r="AN2357" s="17"/>
      <c r="AO2357" s="17"/>
      <c r="AP2357" s="28" t="str">
        <f t="shared" si="693"/>
        <v>20218</v>
      </c>
      <c r="AQ2357" s="28" t="str">
        <f t="shared" si="694"/>
        <v>20218RMB</v>
      </c>
      <c r="AR2357" s="206" t="str">
        <f t="shared" si="695"/>
        <v>YAMAHA_Mounter</v>
      </c>
      <c r="AS2357" s="22">
        <f t="shared" si="696"/>
        <v>3</v>
      </c>
      <c r="AT2357" s="24" t="str">
        <f t="shared" si="697"/>
        <v>0-3 months</v>
      </c>
      <c r="AU2357" s="22" t="s">
        <v>3240</v>
      </c>
    </row>
    <row r="2358" spans="1:47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699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701"/>
        <v>1.13</v>
      </c>
      <c r="Z2358" s="18">
        <f t="shared" si="698"/>
        <v>1911428.6</v>
      </c>
      <c r="AA2358" s="13">
        <v>1.2</v>
      </c>
      <c r="AB2358" s="21">
        <f t="shared" si="700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85"/>
        <v>47458373.787610628</v>
      </c>
      <c r="AJ2358" s="19">
        <f t="shared" si="686"/>
        <v>7436880.1411522133</v>
      </c>
      <c r="AK2358" s="20">
        <f t="shared" si="692"/>
        <v>0.15670322321692506</v>
      </c>
      <c r="AL2358" s="17"/>
      <c r="AM2358" s="17"/>
      <c r="AN2358" s="17"/>
      <c r="AO2358" s="17"/>
      <c r="AP2358" s="28" t="str">
        <f t="shared" si="693"/>
        <v>20218</v>
      </c>
      <c r="AQ2358" s="28" t="str">
        <f t="shared" si="694"/>
        <v>20218RMB</v>
      </c>
      <c r="AR2358" s="206" t="str">
        <f t="shared" si="695"/>
        <v>YAMAHA_Mounter</v>
      </c>
      <c r="AS2358" s="22">
        <f t="shared" si="696"/>
        <v>3</v>
      </c>
      <c r="AT2358" s="24" t="str">
        <f t="shared" si="697"/>
        <v>0-3 months</v>
      </c>
      <c r="AU2358" s="22" t="s">
        <v>3240</v>
      </c>
    </row>
    <row r="2359" spans="1:47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699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701"/>
        <v>1.13</v>
      </c>
      <c r="Z2359" s="18">
        <f t="shared" si="698"/>
        <v>1911428.6</v>
      </c>
      <c r="AA2359" s="13">
        <v>1.2</v>
      </c>
      <c r="AB2359" s="21">
        <f t="shared" si="700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85"/>
        <v>47458373.787610628</v>
      </c>
      <c r="AJ2359" s="19">
        <f t="shared" si="686"/>
        <v>7436880.1411522133</v>
      </c>
      <c r="AK2359" s="20">
        <f t="shared" si="692"/>
        <v>0.15670322321692506</v>
      </c>
      <c r="AL2359" s="17"/>
      <c r="AM2359" s="17"/>
      <c r="AN2359" s="17"/>
      <c r="AO2359" s="17"/>
      <c r="AP2359" s="28" t="str">
        <f t="shared" si="693"/>
        <v>20218</v>
      </c>
      <c r="AQ2359" s="28" t="str">
        <f t="shared" si="694"/>
        <v>20218RMB</v>
      </c>
      <c r="AR2359" s="206" t="str">
        <f t="shared" si="695"/>
        <v>YAMAHA_Mounter</v>
      </c>
      <c r="AS2359" s="22">
        <f t="shared" si="696"/>
        <v>3</v>
      </c>
      <c r="AT2359" s="24" t="str">
        <f t="shared" si="697"/>
        <v>0-3 months</v>
      </c>
      <c r="AU2359" s="22" t="s">
        <v>3240</v>
      </c>
    </row>
    <row r="2360" spans="1:47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699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701"/>
        <v>1.13</v>
      </c>
      <c r="Z2360" s="18">
        <f t="shared" si="698"/>
        <v>1911428.6</v>
      </c>
      <c r="AA2360" s="13">
        <v>1.2</v>
      </c>
      <c r="AB2360" s="21">
        <f t="shared" si="700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85"/>
        <v>15533177.71460177</v>
      </c>
      <c r="AJ2360" s="19">
        <f t="shared" si="686"/>
        <v>1819298.5437526547</v>
      </c>
      <c r="AK2360" s="20">
        <f t="shared" si="692"/>
        <v>0.11712339723265033</v>
      </c>
      <c r="AL2360" s="17"/>
      <c r="AM2360" s="17"/>
      <c r="AN2360" s="17"/>
      <c r="AO2360" s="17"/>
      <c r="AP2360" s="28" t="str">
        <f t="shared" si="693"/>
        <v>202110</v>
      </c>
      <c r="AQ2360" s="28" t="str">
        <f t="shared" si="694"/>
        <v>202110RMB</v>
      </c>
      <c r="AR2360" s="206" t="str">
        <f t="shared" si="695"/>
        <v>YAMAHA_Mounter</v>
      </c>
      <c r="AS2360" s="22">
        <f t="shared" si="696"/>
        <v>5</v>
      </c>
      <c r="AT2360" s="24" t="str">
        <f t="shared" si="697"/>
        <v>4-6 months</v>
      </c>
      <c r="AU2360" s="22" t="s">
        <v>3240</v>
      </c>
    </row>
    <row r="2361" spans="1:47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699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701"/>
        <v>1.13</v>
      </c>
      <c r="Z2361" s="18">
        <f t="shared" si="698"/>
        <v>1716155.3</v>
      </c>
      <c r="AA2361" s="13">
        <v>1.077</v>
      </c>
      <c r="AB2361" s="21">
        <f t="shared" si="700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85"/>
        <v>26078226.463097349</v>
      </c>
      <c r="AJ2361" s="19">
        <f t="shared" si="686"/>
        <v>3137870.4427774516</v>
      </c>
      <c r="AK2361" s="20">
        <f t="shared" si="692"/>
        <v>0.12032530077218917</v>
      </c>
      <c r="AL2361" s="17"/>
      <c r="AM2361" s="17"/>
      <c r="AN2361" s="17"/>
      <c r="AO2361" s="17"/>
      <c r="AP2361" s="28" t="str">
        <f t="shared" si="693"/>
        <v>20239</v>
      </c>
      <c r="AQ2361" s="28" t="str">
        <f t="shared" si="694"/>
        <v>20239RMB</v>
      </c>
      <c r="AR2361" s="206" t="str">
        <f t="shared" si="695"/>
        <v>YAMAHA_Mounter</v>
      </c>
      <c r="AS2361" s="22">
        <f t="shared" si="696"/>
        <v>3</v>
      </c>
      <c r="AT2361" s="24" t="str">
        <f t="shared" si="697"/>
        <v>0-3 months</v>
      </c>
      <c r="AU2361" s="22" t="s">
        <v>3240</v>
      </c>
    </row>
    <row r="2362" spans="1:47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699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701"/>
        <v>1.13</v>
      </c>
      <c r="Z2362" s="18">
        <f t="shared" si="698"/>
        <v>1716155.3</v>
      </c>
      <c r="AA2362" s="13">
        <v>1.077</v>
      </c>
      <c r="AB2362" s="21">
        <f t="shared" si="700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85"/>
        <v>26078226.463097349</v>
      </c>
      <c r="AJ2362" s="19">
        <f t="shared" si="686"/>
        <v>3137870.4427774516</v>
      </c>
      <c r="AK2362" s="20">
        <f t="shared" si="692"/>
        <v>0.12032530077218917</v>
      </c>
      <c r="AL2362" s="17"/>
      <c r="AM2362" s="17"/>
      <c r="AN2362" s="17"/>
      <c r="AO2362" s="17"/>
      <c r="AP2362" s="28" t="str">
        <f t="shared" si="693"/>
        <v>20239</v>
      </c>
      <c r="AQ2362" s="28" t="str">
        <f t="shared" si="694"/>
        <v>20239RMB</v>
      </c>
      <c r="AR2362" s="206" t="str">
        <f t="shared" si="695"/>
        <v>YAMAHA_Mounter</v>
      </c>
      <c r="AS2362" s="22">
        <f t="shared" si="696"/>
        <v>3</v>
      </c>
      <c r="AT2362" s="24" t="str">
        <f t="shared" si="697"/>
        <v>0-3 months</v>
      </c>
      <c r="AU2362" s="22" t="s">
        <v>3240</v>
      </c>
    </row>
    <row r="2363" spans="1:47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699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701"/>
        <v>1.13</v>
      </c>
      <c r="Z2363" s="18">
        <f t="shared" si="698"/>
        <v>1716155.3</v>
      </c>
      <c r="AA2363" s="13">
        <v>1.077</v>
      </c>
      <c r="AB2363" s="21">
        <f t="shared" si="700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85"/>
        <v>26078226.463097349</v>
      </c>
      <c r="AJ2363" s="19">
        <f t="shared" si="686"/>
        <v>3137870.4427774516</v>
      </c>
      <c r="AK2363" s="20">
        <f t="shared" si="692"/>
        <v>0.12032530077218917</v>
      </c>
      <c r="AL2363" s="17"/>
      <c r="AM2363" s="17"/>
      <c r="AN2363" s="17"/>
      <c r="AO2363" s="17"/>
      <c r="AP2363" s="28" t="str">
        <f t="shared" si="693"/>
        <v>20239</v>
      </c>
      <c r="AQ2363" s="28" t="str">
        <f t="shared" si="694"/>
        <v>20239RMB</v>
      </c>
      <c r="AR2363" s="206" t="str">
        <f t="shared" si="695"/>
        <v>YAMAHA_Mounter</v>
      </c>
      <c r="AS2363" s="22">
        <f t="shared" si="696"/>
        <v>3</v>
      </c>
      <c r="AT2363" s="24" t="str">
        <f t="shared" si="697"/>
        <v>0-3 months</v>
      </c>
      <c r="AU2363" s="22" t="s">
        <v>3240</v>
      </c>
    </row>
    <row r="2364" spans="1:47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699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698"/>
        <v>202770000</v>
      </c>
      <c r="AA2364" s="13">
        <v>7.2300000000000003E-2</v>
      </c>
      <c r="AB2364" s="21">
        <f t="shared" si="700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85"/>
        <v>23237072.69172414</v>
      </c>
      <c r="AJ2364" s="19">
        <f t="shared" si="686"/>
        <v>2402195.7372206897</v>
      </c>
      <c r="AK2364" s="20">
        <f t="shared" si="692"/>
        <v>0.10337772614862238</v>
      </c>
      <c r="AL2364" s="17"/>
      <c r="AM2364" s="17"/>
      <c r="AN2364" s="17"/>
      <c r="AO2364" s="17"/>
      <c r="AP2364" s="28" t="str">
        <f t="shared" si="693"/>
        <v>20191</v>
      </c>
      <c r="AQ2364" s="28" t="str">
        <f t="shared" si="694"/>
        <v>20191JPY</v>
      </c>
      <c r="AR2364" s="206" t="str">
        <f t="shared" si="695"/>
        <v>YAMAHA_Mounter</v>
      </c>
      <c r="AS2364" s="22">
        <f t="shared" si="696"/>
        <v>4</v>
      </c>
      <c r="AT2364" s="24" t="str">
        <f t="shared" si="697"/>
        <v>4-6 months</v>
      </c>
      <c r="AU2364" s="22" t="s">
        <v>3240</v>
      </c>
    </row>
    <row r="2365" spans="1:47" s="12" customFormat="1">
      <c r="A2365" s="33" t="str">
        <f t="shared" si="687"/>
        <v>cancel</v>
      </c>
      <c r="B2365" s="152"/>
      <c r="C2365" s="152" t="s">
        <v>185</v>
      </c>
      <c r="D2365" s="33" t="str">
        <f t="shared" si="688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89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699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698"/>
        <v>660000</v>
      </c>
      <c r="AA2365" s="13">
        <v>1.123</v>
      </c>
      <c r="AB2365" s="21">
        <f t="shared" si="700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85"/>
        <v>499582152.5142017</v>
      </c>
      <c r="AJ2365" s="19">
        <f t="shared" si="686"/>
        <v>59520528.679470733</v>
      </c>
      <c r="AK2365" s="20">
        <f t="shared" si="692"/>
        <v>0.11914062257814291</v>
      </c>
      <c r="AL2365" s="17"/>
      <c r="AM2365" s="17"/>
      <c r="AN2365" s="17"/>
      <c r="AO2365" s="17"/>
      <c r="AP2365" s="28" t="str">
        <f t="shared" si="693"/>
        <v>CancelCancel</v>
      </c>
      <c r="AQ2365" s="28" t="str">
        <f t="shared" si="694"/>
        <v>CancelCancelRMB</v>
      </c>
      <c r="AR2365" s="206" t="str">
        <f t="shared" si="695"/>
        <v>YAMAHA_Mounter</v>
      </c>
      <c r="AS2365" s="22" t="str">
        <f t="shared" si="696"/>
        <v/>
      </c>
      <c r="AT2365" s="24" t="str">
        <f t="shared" si="697"/>
        <v/>
      </c>
      <c r="AU2365" s="22" t="s">
        <v>3240</v>
      </c>
    </row>
    <row r="2366" spans="1:47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699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702">IF(W2366="RMB","1.13", "1")</f>
        <v>1.13</v>
      </c>
      <c r="Z2366" s="18">
        <f t="shared" si="698"/>
        <v>977164</v>
      </c>
      <c r="AA2366" s="13">
        <v>1.2</v>
      </c>
      <c r="AB2366" s="21">
        <f t="shared" si="700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85"/>
        <v>57778307.282035396</v>
      </c>
      <c r="AJ2366" s="19">
        <f t="shared" si="686"/>
        <v>7259860.7225420559</v>
      </c>
      <c r="AK2366" s="20">
        <f t="shared" si="692"/>
        <v>0.12565028406083667</v>
      </c>
      <c r="AL2366" s="17"/>
      <c r="AM2366" s="17"/>
      <c r="AN2366" s="17"/>
      <c r="AO2366" s="17"/>
      <c r="AP2366" s="28" t="str">
        <f t="shared" si="693"/>
        <v>20213</v>
      </c>
      <c r="AQ2366" s="28" t="str">
        <f t="shared" si="694"/>
        <v>20213RMB</v>
      </c>
      <c r="AR2366" s="206" t="str">
        <f t="shared" si="695"/>
        <v>YAMAHA_Mounter</v>
      </c>
      <c r="AS2366" s="22">
        <f t="shared" si="696"/>
        <v>1</v>
      </c>
      <c r="AT2366" s="24" t="str">
        <f t="shared" si="697"/>
        <v>0-3 months</v>
      </c>
      <c r="AU2366" s="22" t="s">
        <v>3240</v>
      </c>
    </row>
    <row r="2367" spans="1:47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699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702"/>
        <v>1.13</v>
      </c>
      <c r="Z2367" s="18">
        <f t="shared" si="698"/>
        <v>483600</v>
      </c>
      <c r="AA2367" s="13">
        <v>1.18</v>
      </c>
      <c r="AB2367" s="21">
        <f t="shared" si="700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85"/>
        <v>43684091.636631854</v>
      </c>
      <c r="AJ2367" s="19">
        <f t="shared" si="686"/>
        <v>6483951.8242071122</v>
      </c>
      <c r="AK2367" s="20">
        <f t="shared" si="692"/>
        <v>0.14842821680123736</v>
      </c>
      <c r="AL2367" s="17"/>
      <c r="AM2367" s="17"/>
      <c r="AN2367" s="17"/>
      <c r="AO2367" s="17"/>
      <c r="AP2367" s="28" t="str">
        <f t="shared" si="693"/>
        <v>20214</v>
      </c>
      <c r="AQ2367" s="28" t="str">
        <f t="shared" si="694"/>
        <v>20214RMB</v>
      </c>
      <c r="AR2367" s="206" t="str">
        <f t="shared" si="695"/>
        <v>YAMAHA_Mounter</v>
      </c>
      <c r="AS2367" s="22">
        <f t="shared" si="696"/>
        <v>2</v>
      </c>
      <c r="AT2367" s="24" t="str">
        <f t="shared" si="697"/>
        <v>0-3 months</v>
      </c>
      <c r="AU2367" s="22" t="s">
        <v>3240</v>
      </c>
    </row>
    <row r="2368" spans="1:47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699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702"/>
        <v>1.13</v>
      </c>
      <c r="Z2368" s="18">
        <f t="shared" si="698"/>
        <v>483600</v>
      </c>
      <c r="AA2368" s="13">
        <v>1.18</v>
      </c>
      <c r="AB2368" s="21">
        <f t="shared" si="700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85"/>
        <v>43684091.636631854</v>
      </c>
      <c r="AJ2368" s="19">
        <f t="shared" si="686"/>
        <v>6483951.8242071122</v>
      </c>
      <c r="AK2368" s="20">
        <f t="shared" si="692"/>
        <v>0.14842821680123736</v>
      </c>
      <c r="AL2368" s="17"/>
      <c r="AM2368" s="17"/>
      <c r="AN2368" s="17"/>
      <c r="AO2368" s="17"/>
      <c r="AP2368" s="28" t="str">
        <f t="shared" si="693"/>
        <v>20214</v>
      </c>
      <c r="AQ2368" s="28" t="str">
        <f t="shared" si="694"/>
        <v>20214RMB</v>
      </c>
      <c r="AR2368" s="206" t="str">
        <f t="shared" si="695"/>
        <v>YAMAHA_Mounter</v>
      </c>
      <c r="AS2368" s="22">
        <f t="shared" si="696"/>
        <v>2</v>
      </c>
      <c r="AT2368" s="24" t="str">
        <f t="shared" si="697"/>
        <v>0-3 months</v>
      </c>
      <c r="AU2368" s="22" t="s">
        <v>3240</v>
      </c>
    </row>
    <row r="2369" spans="1:47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699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702"/>
        <v>1.13</v>
      </c>
      <c r="Z2369" s="18">
        <f t="shared" si="698"/>
        <v>483600</v>
      </c>
      <c r="AA2369" s="13">
        <v>1.18</v>
      </c>
      <c r="AB2369" s="21">
        <f t="shared" si="700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85"/>
        <v>43684091.636631854</v>
      </c>
      <c r="AJ2369" s="19">
        <f t="shared" si="686"/>
        <v>6483951.8242071122</v>
      </c>
      <c r="AK2369" s="20">
        <f t="shared" si="692"/>
        <v>0.14842821680123736</v>
      </c>
      <c r="AL2369" s="17"/>
      <c r="AM2369" s="17"/>
      <c r="AN2369" s="17"/>
      <c r="AO2369" s="17"/>
      <c r="AP2369" s="28" t="str">
        <f t="shared" si="693"/>
        <v>20214</v>
      </c>
      <c r="AQ2369" s="28" t="str">
        <f t="shared" si="694"/>
        <v>20214RMB</v>
      </c>
      <c r="AR2369" s="206" t="str">
        <f t="shared" si="695"/>
        <v>YAMAHA_Mounter</v>
      </c>
      <c r="AS2369" s="22">
        <f t="shared" si="696"/>
        <v>2</v>
      </c>
      <c r="AT2369" s="24" t="str">
        <f t="shared" si="697"/>
        <v>0-3 months</v>
      </c>
      <c r="AU2369" s="22" t="s">
        <v>3240</v>
      </c>
    </row>
    <row r="2370" spans="1:47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699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702"/>
        <v>1.13</v>
      </c>
      <c r="Z2370" s="18">
        <f t="shared" si="698"/>
        <v>460000</v>
      </c>
      <c r="AA2370" s="13">
        <v>1.163</v>
      </c>
      <c r="AB2370" s="21">
        <f t="shared" si="700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ref="AI2370:AI2433" si="703">IF(P2370="C66 SERVICE","",SUMIFS(AB:AB,F:F,F2370,G:G,G2370,E:E,E2370))</f>
        <v>35073581.838938057</v>
      </c>
      <c r="AJ2370" s="19">
        <f t="shared" ref="AJ2370:AJ2433" si="704">IF(P2370="C66 SERVICE","",SUMIFS(AC:AC,F:F,F2370,G:G,G2370,E:E,E2370))</f>
        <v>5034113.9728989396</v>
      </c>
      <c r="AK2370" s="20">
        <f t="shared" si="692"/>
        <v>0.14353007902118958</v>
      </c>
      <c r="AL2370" s="17"/>
      <c r="AM2370" s="17"/>
      <c r="AN2370" s="17"/>
      <c r="AO2370" s="17"/>
      <c r="AP2370" s="28" t="str">
        <f t="shared" si="693"/>
        <v>20228</v>
      </c>
      <c r="AQ2370" s="28" t="str">
        <f t="shared" si="694"/>
        <v>20228RMB</v>
      </c>
      <c r="AR2370" s="206" t="str">
        <f t="shared" si="695"/>
        <v>YAMAHA_Mounter</v>
      </c>
      <c r="AS2370" s="22">
        <f t="shared" si="696"/>
        <v>2</v>
      </c>
      <c r="AT2370" s="24" t="str">
        <f t="shared" si="697"/>
        <v>0-3 months</v>
      </c>
      <c r="AU2370" s="22" t="s">
        <v>3240</v>
      </c>
    </row>
    <row r="2371" spans="1:47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699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702"/>
        <v>1.13</v>
      </c>
      <c r="Z2371" s="18">
        <f t="shared" si="698"/>
        <v>550000</v>
      </c>
      <c r="AA2371" s="13">
        <v>1.1299999999999999</v>
      </c>
      <c r="AB2371" s="21">
        <f t="shared" si="700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703"/>
        <v>33543315.897345133</v>
      </c>
      <c r="AJ2371" s="19">
        <f t="shared" si="704"/>
        <v>4706169.3252984071</v>
      </c>
      <c r="AK2371" s="20">
        <f t="shared" si="692"/>
        <v>0.14030125523967318</v>
      </c>
      <c r="AL2371" s="17"/>
      <c r="AM2371" s="17"/>
      <c r="AN2371" s="17"/>
      <c r="AO2371" s="17"/>
      <c r="AP2371" s="28" t="str">
        <f t="shared" si="693"/>
        <v>20233</v>
      </c>
      <c r="AQ2371" s="28" t="str">
        <f t="shared" si="694"/>
        <v>20233RMB</v>
      </c>
      <c r="AR2371" s="206" t="str">
        <f t="shared" si="695"/>
        <v>YAMAHA_Mounter</v>
      </c>
      <c r="AS2371" s="22">
        <f t="shared" si="696"/>
        <v>1</v>
      </c>
      <c r="AT2371" s="24" t="str">
        <f t="shared" si="697"/>
        <v>0-3 months</v>
      </c>
      <c r="AU2371" s="22" t="s">
        <v>3240</v>
      </c>
    </row>
    <row r="2372" spans="1:47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699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702"/>
        <v>1.13</v>
      </c>
      <c r="Z2372" s="18">
        <f t="shared" si="698"/>
        <v>800000</v>
      </c>
      <c r="AA2372" s="13">
        <v>1.1299999999999999</v>
      </c>
      <c r="AB2372" s="21">
        <f t="shared" si="700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703"/>
        <v>33543315.897345133</v>
      </c>
      <c r="AJ2372" s="19">
        <f t="shared" si="704"/>
        <v>4706169.3252984071</v>
      </c>
      <c r="AK2372" s="20">
        <f t="shared" si="692"/>
        <v>0.14030125523967318</v>
      </c>
      <c r="AL2372" s="17"/>
      <c r="AM2372" s="17"/>
      <c r="AN2372" s="17"/>
      <c r="AO2372" s="17"/>
      <c r="AP2372" s="28" t="str">
        <f t="shared" si="693"/>
        <v>20233</v>
      </c>
      <c r="AQ2372" s="28" t="str">
        <f t="shared" si="694"/>
        <v>20233RMB</v>
      </c>
      <c r="AR2372" s="206" t="str">
        <f t="shared" si="695"/>
        <v>YAMAHA_Mounter</v>
      </c>
      <c r="AS2372" s="22">
        <f t="shared" si="696"/>
        <v>1</v>
      </c>
      <c r="AT2372" s="24" t="str">
        <f t="shared" si="697"/>
        <v>0-3 months</v>
      </c>
      <c r="AU2372" s="22" t="s">
        <v>3240</v>
      </c>
    </row>
    <row r="2373" spans="1:47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89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699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698"/>
        <v>430000</v>
      </c>
      <c r="AA2373" s="22">
        <v>1.083</v>
      </c>
      <c r="AB2373" s="21">
        <f t="shared" si="700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703"/>
        <v>499582152.5142017</v>
      </c>
      <c r="AJ2373" s="19">
        <f t="shared" si="704"/>
        <v>59520528.679470733</v>
      </c>
      <c r="AK2373" s="20">
        <f t="shared" si="692"/>
        <v>0.11914062257814291</v>
      </c>
      <c r="AL2373" s="17"/>
      <c r="AM2373" s="17"/>
      <c r="AN2373" s="17"/>
      <c r="AO2373" s="17"/>
      <c r="AP2373" s="28" t="str">
        <f t="shared" si="693"/>
        <v>CancelCancel</v>
      </c>
      <c r="AQ2373" s="28" t="str">
        <f t="shared" si="694"/>
        <v>CancelCancelRMB</v>
      </c>
      <c r="AR2373" s="206" t="str">
        <f t="shared" si="695"/>
        <v>YAMAHA_Mounter</v>
      </c>
      <c r="AS2373" s="22" t="str">
        <f t="shared" si="696"/>
        <v/>
      </c>
      <c r="AT2373" s="24" t="str">
        <f t="shared" si="697"/>
        <v/>
      </c>
      <c r="AU2373" s="22" t="s">
        <v>3240</v>
      </c>
    </row>
    <row r="2374" spans="1:47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699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708">IF(W2374="RMB","1.13", "1")</f>
        <v>1.13</v>
      </c>
      <c r="Z2374" s="18">
        <f t="shared" si="698"/>
        <v>500000</v>
      </c>
      <c r="AA2374" s="13">
        <v>1.18</v>
      </c>
      <c r="AB2374" s="21">
        <f t="shared" si="700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si="703"/>
        <v>43684091.636631854</v>
      </c>
      <c r="AJ2374" s="19">
        <f t="shared" si="704"/>
        <v>6483951.8242071122</v>
      </c>
      <c r="AK2374" s="20">
        <f t="shared" ref="AK2374:AK2437" si="711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2">IF(F2374="","",F2374&amp;G2374)</f>
        <v>20214</v>
      </c>
      <c r="AQ2374" s="28" t="str">
        <f t="shared" ref="AQ2374:AQ2437" si="713">IF(W2374="","",F2374&amp;G2374&amp;W2374)</f>
        <v>20214RMB</v>
      </c>
      <c r="AR2374" s="206" t="str">
        <f t="shared" ref="AR2374:AR2437" si="714">IFERROR(IF(AND(M2374="YAMAHA", R2374="C28"), "YAMAHA_Non_Mounter", IF(AND(M2374="YAMAHA", R2374="C49"), "YAMAHA_Mounter", M2374)),"")</f>
        <v>YAMAHA_Mounter</v>
      </c>
      <c r="AS2374" s="22">
        <f t="shared" ref="AS2374:AS2437" si="715">IFERROR(IF(OR(G2374="TBA", G2374=""), "", DATEDIF(DATE(B2374, C2374, 1), DATE(F2374, G2374, 1), "M")),"")</f>
        <v>0</v>
      </c>
      <c r="AT2374" s="24" t="str">
        <f t="shared" ref="AT2374:AT2437" si="716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707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699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708"/>
        <v>1.13</v>
      </c>
      <c r="Z2375" s="18">
        <f t="shared" si="698"/>
        <v>500000</v>
      </c>
      <c r="AA2375" s="13">
        <v>1.175</v>
      </c>
      <c r="AB2375" s="21">
        <f t="shared" si="700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03"/>
        <v>499582152.5142017</v>
      </c>
      <c r="AJ2375" s="19">
        <f t="shared" si="704"/>
        <v>59520528.679470733</v>
      </c>
      <c r="AK2375" s="20">
        <f t="shared" si="711"/>
        <v>0.11914062257814291</v>
      </c>
      <c r="AL2375" s="17"/>
      <c r="AM2375" s="17"/>
      <c r="AN2375" s="17"/>
      <c r="AO2375" s="17"/>
      <c r="AP2375" s="28" t="str">
        <f t="shared" si="712"/>
        <v>CancelCancel</v>
      </c>
      <c r="AQ2375" s="28" t="str">
        <f t="shared" si="713"/>
        <v>CancelCancelRMB</v>
      </c>
      <c r="AR2375" s="206" t="str">
        <f t="shared" si="714"/>
        <v>YAMAHA_Mounter</v>
      </c>
      <c r="AS2375" s="22" t="str">
        <f t="shared" si="715"/>
        <v/>
      </c>
      <c r="AT2375" s="24" t="str">
        <f t="shared" si="716"/>
        <v/>
      </c>
      <c r="AU2375" s="22" t="s">
        <v>3240</v>
      </c>
    </row>
    <row r="2376" spans="1:47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707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699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708"/>
        <v>1.13</v>
      </c>
      <c r="Z2376" s="18">
        <f t="shared" si="698"/>
        <v>500000</v>
      </c>
      <c r="AA2376" s="13">
        <v>1.175</v>
      </c>
      <c r="AB2376" s="21">
        <f t="shared" si="700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03"/>
        <v>499582152.5142017</v>
      </c>
      <c r="AJ2376" s="19">
        <f t="shared" si="704"/>
        <v>59520528.679470733</v>
      </c>
      <c r="AK2376" s="20">
        <f t="shared" si="711"/>
        <v>0.11914062257814291</v>
      </c>
      <c r="AL2376" s="17"/>
      <c r="AM2376" s="17"/>
      <c r="AN2376" s="17"/>
      <c r="AO2376" s="17"/>
      <c r="AP2376" s="28" t="str">
        <f t="shared" si="712"/>
        <v>CancelCancel</v>
      </c>
      <c r="AQ2376" s="28" t="str">
        <f t="shared" si="713"/>
        <v>CancelCancelRMB</v>
      </c>
      <c r="AR2376" s="206" t="str">
        <f t="shared" si="714"/>
        <v>YAMAHA_Mounter</v>
      </c>
      <c r="AS2376" s="22" t="str">
        <f t="shared" si="715"/>
        <v/>
      </c>
      <c r="AT2376" s="24" t="str">
        <f t="shared" si="716"/>
        <v/>
      </c>
      <c r="AU2376" s="22" t="s">
        <v>3240</v>
      </c>
    </row>
    <row r="2377" spans="1:47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699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708"/>
        <v>1.13</v>
      </c>
      <c r="Z2377" s="18">
        <f t="shared" si="698"/>
        <v>900000</v>
      </c>
      <c r="AA2377" s="13">
        <v>1.2</v>
      </c>
      <c r="AB2377" s="21">
        <f t="shared" si="700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03"/>
        <v>57778307.282035396</v>
      </c>
      <c r="AJ2377" s="19">
        <f t="shared" si="704"/>
        <v>7259860.7225420559</v>
      </c>
      <c r="AK2377" s="20">
        <f t="shared" si="711"/>
        <v>0.12565028406083667</v>
      </c>
      <c r="AL2377" s="17"/>
      <c r="AM2377" s="17"/>
      <c r="AN2377" s="17"/>
      <c r="AO2377" s="17"/>
      <c r="AP2377" s="28" t="str">
        <f t="shared" si="712"/>
        <v>20213</v>
      </c>
      <c r="AQ2377" s="28" t="str">
        <f t="shared" si="713"/>
        <v>20213RMB</v>
      </c>
      <c r="AR2377" s="206" t="str">
        <f t="shared" si="714"/>
        <v>YAMAHA_Mounter</v>
      </c>
      <c r="AS2377" s="22">
        <f t="shared" si="715"/>
        <v>2</v>
      </c>
      <c r="AT2377" s="24" t="str">
        <f t="shared" si="716"/>
        <v>0-3 months</v>
      </c>
      <c r="AU2377" s="22" t="s">
        <v>3240</v>
      </c>
    </row>
    <row r="2378" spans="1:47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699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708"/>
        <v>1.13</v>
      </c>
      <c r="Z2378" s="18">
        <f t="shared" ref="Z2378:Z2441" si="717">IF(X2378="","",X2378*MAX(O2378,N2378))</f>
        <v>900000</v>
      </c>
      <c r="AA2378" s="13">
        <v>1.2</v>
      </c>
      <c r="AB2378" s="21">
        <f t="shared" si="700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03"/>
        <v>57778307.282035396</v>
      </c>
      <c r="AJ2378" s="19">
        <f t="shared" si="704"/>
        <v>7259860.7225420559</v>
      </c>
      <c r="AK2378" s="20">
        <f t="shared" si="711"/>
        <v>0.12565028406083667</v>
      </c>
      <c r="AL2378" s="17"/>
      <c r="AM2378" s="17"/>
      <c r="AN2378" s="17"/>
      <c r="AO2378" s="17"/>
      <c r="AP2378" s="28" t="str">
        <f t="shared" si="712"/>
        <v>20213</v>
      </c>
      <c r="AQ2378" s="28" t="str">
        <f t="shared" si="713"/>
        <v>20213RMB</v>
      </c>
      <c r="AR2378" s="206" t="str">
        <f t="shared" si="714"/>
        <v>YAMAHA_Mounter</v>
      </c>
      <c r="AS2378" s="22">
        <f t="shared" si="715"/>
        <v>2</v>
      </c>
      <c r="AT2378" s="24" t="str">
        <f t="shared" si="716"/>
        <v>0-3 months</v>
      </c>
      <c r="AU2378" s="22" t="s">
        <v>3240</v>
      </c>
    </row>
    <row r="2379" spans="1:47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699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708"/>
        <v>1.13</v>
      </c>
      <c r="Z2379" s="18">
        <f t="shared" si="717"/>
        <v>705000</v>
      </c>
      <c r="AA2379" s="13">
        <v>1.2</v>
      </c>
      <c r="AB2379" s="21">
        <f t="shared" si="700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03"/>
        <v>57778307.282035396</v>
      </c>
      <c r="AJ2379" s="19">
        <f t="shared" si="704"/>
        <v>7259860.7225420559</v>
      </c>
      <c r="AK2379" s="20">
        <f t="shared" si="711"/>
        <v>0.12565028406083667</v>
      </c>
      <c r="AL2379" s="17"/>
      <c r="AM2379" s="17"/>
      <c r="AN2379" s="17"/>
      <c r="AO2379" s="17"/>
      <c r="AP2379" s="28" t="str">
        <f t="shared" si="712"/>
        <v>20213</v>
      </c>
      <c r="AQ2379" s="28" t="str">
        <f t="shared" si="713"/>
        <v>20213RMB</v>
      </c>
      <c r="AR2379" s="206" t="str">
        <f t="shared" si="714"/>
        <v>YAMAHA_Mounter</v>
      </c>
      <c r="AS2379" s="22">
        <f t="shared" si="715"/>
        <v>2</v>
      </c>
      <c r="AT2379" s="24" t="str">
        <f t="shared" si="716"/>
        <v>0-3 months</v>
      </c>
      <c r="AU2379" s="22" t="s">
        <v>3240</v>
      </c>
    </row>
    <row r="2380" spans="1:47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699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708"/>
        <v>1.13</v>
      </c>
      <c r="Z2380" s="18">
        <f t="shared" si="717"/>
        <v>705000</v>
      </c>
      <c r="AA2380" s="13">
        <v>1.2</v>
      </c>
      <c r="AB2380" s="21">
        <f t="shared" si="700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03"/>
        <v>57778307.282035396</v>
      </c>
      <c r="AJ2380" s="19">
        <f t="shared" si="704"/>
        <v>7259860.7225420559</v>
      </c>
      <c r="AK2380" s="20">
        <f t="shared" si="711"/>
        <v>0.12565028406083667</v>
      </c>
      <c r="AL2380" s="17"/>
      <c r="AM2380" s="17"/>
      <c r="AN2380" s="17"/>
      <c r="AO2380" s="17"/>
      <c r="AP2380" s="28" t="str">
        <f t="shared" si="712"/>
        <v>20213</v>
      </c>
      <c r="AQ2380" s="28" t="str">
        <f t="shared" si="713"/>
        <v>20213RMB</v>
      </c>
      <c r="AR2380" s="206" t="str">
        <f t="shared" si="714"/>
        <v>YAMAHA_Mounter</v>
      </c>
      <c r="AS2380" s="22">
        <f t="shared" si="715"/>
        <v>2</v>
      </c>
      <c r="AT2380" s="24" t="str">
        <f t="shared" si="716"/>
        <v>0-3 months</v>
      </c>
      <c r="AU2380" s="22" t="s">
        <v>3240</v>
      </c>
    </row>
    <row r="2381" spans="1:47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699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717"/>
        <v>825000</v>
      </c>
      <c r="AA2381" s="13">
        <v>1.135</v>
      </c>
      <c r="AB2381" s="21">
        <f t="shared" si="700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03"/>
        <v>31296887.037898075</v>
      </c>
      <c r="AJ2381" s="19">
        <f t="shared" si="704"/>
        <v>3588873.9502021763</v>
      </c>
      <c r="AK2381" s="20">
        <f t="shared" si="711"/>
        <v>0.11467191436184473</v>
      </c>
      <c r="AL2381" s="17"/>
      <c r="AM2381" s="17"/>
      <c r="AN2381" s="17"/>
      <c r="AO2381" s="17"/>
      <c r="AP2381" s="28" t="str">
        <f t="shared" si="712"/>
        <v>20196</v>
      </c>
      <c r="AQ2381" s="28" t="str">
        <f t="shared" si="713"/>
        <v>20196RMB</v>
      </c>
      <c r="AR2381" s="206" t="str">
        <f t="shared" si="714"/>
        <v>YAMAHA_Mounter</v>
      </c>
      <c r="AS2381" s="22">
        <f t="shared" si="715"/>
        <v>1</v>
      </c>
      <c r="AT2381" s="24" t="str">
        <f t="shared" si="716"/>
        <v>0-3 months</v>
      </c>
      <c r="AU2381" s="22" t="s">
        <v>3240</v>
      </c>
    </row>
    <row r="2382" spans="1:47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699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717"/>
        <v>780000</v>
      </c>
      <c r="AA2382" s="13">
        <v>1.135</v>
      </c>
      <c r="AB2382" s="21">
        <f t="shared" si="700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03"/>
        <v>31296887.037898075</v>
      </c>
      <c r="AJ2382" s="19">
        <f t="shared" si="704"/>
        <v>3588873.9502021763</v>
      </c>
      <c r="AK2382" s="20">
        <f t="shared" si="711"/>
        <v>0.11467191436184473</v>
      </c>
      <c r="AL2382" s="17"/>
      <c r="AM2382" s="17"/>
      <c r="AN2382" s="17"/>
      <c r="AO2382" s="17"/>
      <c r="AP2382" s="28" t="str">
        <f t="shared" si="712"/>
        <v>20196</v>
      </c>
      <c r="AQ2382" s="28" t="str">
        <f t="shared" si="713"/>
        <v>20196RMB</v>
      </c>
      <c r="AR2382" s="206" t="str">
        <f t="shared" si="714"/>
        <v>YAMAHA_Mounter</v>
      </c>
      <c r="AS2382" s="22">
        <f t="shared" si="715"/>
        <v>1</v>
      </c>
      <c r="AT2382" s="24" t="str">
        <f t="shared" si="716"/>
        <v>0-3 months</v>
      </c>
      <c r="AU2382" s="22" t="s">
        <v>3240</v>
      </c>
    </row>
    <row r="2383" spans="1:47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699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717"/>
        <v>539000</v>
      </c>
      <c r="AA2383" s="13">
        <v>1.1850000000000001</v>
      </c>
      <c r="AB2383" s="21">
        <f t="shared" si="700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03"/>
        <v>45803245.025628321</v>
      </c>
      <c r="AJ2383" s="19">
        <f t="shared" si="704"/>
        <v>5664636.2584379362</v>
      </c>
      <c r="AK2383" s="20">
        <f t="shared" si="711"/>
        <v>0.12367325186825515</v>
      </c>
      <c r="AL2383" s="17"/>
      <c r="AM2383" s="17"/>
      <c r="AN2383" s="17"/>
      <c r="AO2383" s="17"/>
      <c r="AP2383" s="28" t="str">
        <f t="shared" si="712"/>
        <v>20211</v>
      </c>
      <c r="AQ2383" s="28" t="str">
        <f t="shared" si="713"/>
        <v>20211RMB</v>
      </c>
      <c r="AR2383" s="206" t="str">
        <f t="shared" si="714"/>
        <v>YAMAHA_Mounter</v>
      </c>
      <c r="AS2383" s="22">
        <f t="shared" si="715"/>
        <v>2</v>
      </c>
      <c r="AT2383" s="24" t="str">
        <f t="shared" si="716"/>
        <v>0-3 months</v>
      </c>
      <c r="AU2383" s="22" t="s">
        <v>3240</v>
      </c>
    </row>
    <row r="2384" spans="1:47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699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717"/>
        <v>510000</v>
      </c>
      <c r="AA2384" s="13">
        <v>1.23</v>
      </c>
      <c r="AB2384" s="21">
        <f t="shared" si="700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03"/>
        <v>24398045.86045352</v>
      </c>
      <c r="AJ2384" s="19">
        <f t="shared" si="704"/>
        <v>3478417.4064663448</v>
      </c>
      <c r="AK2384" s="20">
        <f t="shared" si="711"/>
        <v>0.14256950849102498</v>
      </c>
      <c r="AL2384" s="17"/>
      <c r="AM2384" s="17"/>
      <c r="AN2384" s="17"/>
      <c r="AO2384" s="17" t="s">
        <v>474</v>
      </c>
      <c r="AP2384" s="28" t="str">
        <f t="shared" si="712"/>
        <v>20186</v>
      </c>
      <c r="AQ2384" s="28" t="str">
        <f t="shared" si="713"/>
        <v>20186RMB</v>
      </c>
      <c r="AR2384" s="206" t="str">
        <f t="shared" si="714"/>
        <v>YAMAHA_Mounter</v>
      </c>
      <c r="AS2384" s="22">
        <f t="shared" si="715"/>
        <v>1</v>
      </c>
      <c r="AT2384" s="24" t="str">
        <f t="shared" si="716"/>
        <v>0-3 months</v>
      </c>
      <c r="AU2384" s="22" t="s">
        <v>3240</v>
      </c>
    </row>
    <row r="2385" spans="1:47" s="12" customFormat="1">
      <c r="A2385" s="33" t="str">
        <f t="shared" si="705"/>
        <v>cancel</v>
      </c>
      <c r="B2385" s="152"/>
      <c r="C2385" s="152" t="s">
        <v>185</v>
      </c>
      <c r="D2385" s="33" t="str">
        <f t="shared" si="706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707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699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717"/>
        <v>500000</v>
      </c>
      <c r="AA2385" s="13">
        <v>1.18</v>
      </c>
      <c r="AB2385" s="21">
        <f t="shared" si="700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03"/>
        <v>499582152.5142017</v>
      </c>
      <c r="AJ2385" s="19">
        <f t="shared" si="704"/>
        <v>59520528.679470733</v>
      </c>
      <c r="AK2385" s="20">
        <f t="shared" si="711"/>
        <v>0.11914062257814291</v>
      </c>
      <c r="AL2385" s="17"/>
      <c r="AM2385" s="17"/>
      <c r="AN2385" s="17"/>
      <c r="AO2385" s="17"/>
      <c r="AP2385" s="28" t="str">
        <f t="shared" si="712"/>
        <v>CancelCancel</v>
      </c>
      <c r="AQ2385" s="28" t="str">
        <f t="shared" si="713"/>
        <v>CancelCancelRMB</v>
      </c>
      <c r="AR2385" s="206" t="str">
        <f t="shared" si="714"/>
        <v>YAMAHA_Mounter</v>
      </c>
      <c r="AS2385" s="22" t="str">
        <f t="shared" si="715"/>
        <v/>
      </c>
      <c r="AT2385" s="24" t="str">
        <f t="shared" si="716"/>
        <v/>
      </c>
      <c r="AU2385" s="22" t="s">
        <v>3240</v>
      </c>
    </row>
    <row r="2386" spans="1:47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699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717"/>
        <v>1630000</v>
      </c>
      <c r="AA2386" s="13">
        <v>1.1499999999999999</v>
      </c>
      <c r="AB2386" s="21">
        <f t="shared" si="700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03"/>
        <v>26492741.106427077</v>
      </c>
      <c r="AJ2386" s="19">
        <f t="shared" si="704"/>
        <v>3348032.1325698122</v>
      </c>
      <c r="AK2386" s="20">
        <f t="shared" si="711"/>
        <v>0.12637545201985867</v>
      </c>
      <c r="AL2386" s="17"/>
      <c r="AM2386" s="17"/>
      <c r="AN2386" s="17"/>
      <c r="AO2386" s="17"/>
      <c r="AP2386" s="28" t="str">
        <f t="shared" si="712"/>
        <v>20189</v>
      </c>
      <c r="AQ2386" s="28" t="str">
        <f t="shared" si="713"/>
        <v>20189RMB</v>
      </c>
      <c r="AR2386" s="206" t="str">
        <f t="shared" si="714"/>
        <v>YAMAHA_Mounter</v>
      </c>
      <c r="AS2386" s="22">
        <f t="shared" si="715"/>
        <v>3</v>
      </c>
      <c r="AT2386" s="24" t="str">
        <f t="shared" si="716"/>
        <v>0-3 months</v>
      </c>
      <c r="AU2386" s="22" t="s">
        <v>3240</v>
      </c>
    </row>
    <row r="2387" spans="1:47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699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717"/>
        <v>620000</v>
      </c>
      <c r="AA2387" s="13">
        <v>1.095</v>
      </c>
      <c r="AB2387" s="21">
        <f t="shared" si="700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03"/>
        <v>33477255.428389374</v>
      </c>
      <c r="AJ2387" s="19">
        <f t="shared" si="704"/>
        <v>4578663.362915583</v>
      </c>
      <c r="AK2387" s="20">
        <f t="shared" si="711"/>
        <v>0.13676937682988152</v>
      </c>
      <c r="AL2387" s="17"/>
      <c r="AM2387" s="17"/>
      <c r="AN2387" s="17"/>
      <c r="AO2387" s="17"/>
      <c r="AP2387" s="28" t="str">
        <f t="shared" si="712"/>
        <v>20204</v>
      </c>
      <c r="AQ2387" s="28" t="str">
        <f t="shared" si="713"/>
        <v>20204RMB</v>
      </c>
      <c r="AR2387" s="206" t="str">
        <f t="shared" si="714"/>
        <v>YAMAHA_Mounter</v>
      </c>
      <c r="AS2387" s="22">
        <f t="shared" si="715"/>
        <v>1</v>
      </c>
      <c r="AT2387" s="24" t="str">
        <f t="shared" si="716"/>
        <v>0-3 months</v>
      </c>
      <c r="AU2387" s="22" t="s">
        <v>3240</v>
      </c>
    </row>
    <row r="2388" spans="1:47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699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717"/>
        <v>607171</v>
      </c>
      <c r="AA2388" s="13">
        <v>1.175</v>
      </c>
      <c r="AB2388" s="21">
        <f t="shared" si="700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03"/>
        <v>35682787.057522126</v>
      </c>
      <c r="AJ2388" s="19">
        <f t="shared" si="704"/>
        <v>5833368.3789623892</v>
      </c>
      <c r="AK2388" s="20">
        <f t="shared" si="711"/>
        <v>0.16347849649632912</v>
      </c>
      <c r="AL2388" s="17"/>
      <c r="AM2388" s="17"/>
      <c r="AN2388" s="17"/>
      <c r="AO2388" s="17"/>
      <c r="AP2388" s="28" t="str">
        <f t="shared" si="712"/>
        <v>20226</v>
      </c>
      <c r="AQ2388" s="28" t="str">
        <f t="shared" si="713"/>
        <v>20226RMB</v>
      </c>
      <c r="AR2388" s="206" t="str">
        <f t="shared" si="714"/>
        <v>YAMAHA_Mounter</v>
      </c>
      <c r="AS2388" s="22">
        <f t="shared" si="715"/>
        <v>7</v>
      </c>
      <c r="AT2388" s="24" t="str">
        <f t="shared" si="716"/>
        <v>&gt; 6 months</v>
      </c>
      <c r="AU2388" s="22" t="s">
        <v>3240</v>
      </c>
    </row>
    <row r="2389" spans="1:47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699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717"/>
        <v>607171</v>
      </c>
      <c r="AA2389" s="13">
        <v>1.175</v>
      </c>
      <c r="AB2389" s="21">
        <f t="shared" si="700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03"/>
        <v>35682787.057522126</v>
      </c>
      <c r="AJ2389" s="19">
        <f t="shared" si="704"/>
        <v>5833368.3789623892</v>
      </c>
      <c r="AK2389" s="20">
        <f t="shared" si="711"/>
        <v>0.16347849649632912</v>
      </c>
      <c r="AL2389" s="17"/>
      <c r="AM2389" s="17"/>
      <c r="AN2389" s="17"/>
      <c r="AO2389" s="17"/>
      <c r="AP2389" s="28" t="str">
        <f t="shared" si="712"/>
        <v>20226</v>
      </c>
      <c r="AQ2389" s="28" t="str">
        <f t="shared" si="713"/>
        <v>20226RMB</v>
      </c>
      <c r="AR2389" s="206" t="str">
        <f t="shared" si="714"/>
        <v>YAMAHA_Mounter</v>
      </c>
      <c r="AS2389" s="22">
        <f t="shared" si="715"/>
        <v>7</v>
      </c>
      <c r="AT2389" s="24" t="str">
        <f t="shared" si="716"/>
        <v>&gt; 6 months</v>
      </c>
      <c r="AU2389" s="22" t="s">
        <v>3240</v>
      </c>
    </row>
    <row r="2390" spans="1:47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718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717"/>
        <v>12800000</v>
      </c>
      <c r="AA2390" s="13">
        <v>5.8700000000000002E-2</v>
      </c>
      <c r="AB2390" s="21">
        <f t="shared" ref="AB2390:AB2453" si="719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03"/>
        <v>36480247.665929198</v>
      </c>
      <c r="AJ2390" s="19">
        <f t="shared" si="704"/>
        <v>5330996.6372757526</v>
      </c>
      <c r="AK2390" s="20">
        <f t="shared" si="711"/>
        <v>0.14613378412599562</v>
      </c>
      <c r="AL2390" s="17"/>
      <c r="AM2390" s="17"/>
      <c r="AN2390" s="17"/>
      <c r="AO2390" s="17"/>
      <c r="AP2390" s="28" t="str">
        <f t="shared" si="712"/>
        <v>20227</v>
      </c>
      <c r="AQ2390" s="28" t="str">
        <f t="shared" si="713"/>
        <v>20227JPY</v>
      </c>
      <c r="AR2390" s="206" t="str">
        <f t="shared" si="714"/>
        <v>YAMAHA_Mounter</v>
      </c>
      <c r="AS2390" s="22">
        <f t="shared" si="715"/>
        <v>3</v>
      </c>
      <c r="AT2390" s="24" t="str">
        <f t="shared" si="716"/>
        <v>0-3 months</v>
      </c>
      <c r="AU2390" s="22" t="s">
        <v>3745</v>
      </c>
    </row>
    <row r="2391" spans="1:47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718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717"/>
        <v>12000000</v>
      </c>
      <c r="AA2391" s="22">
        <v>5.6300000000000003E-2</v>
      </c>
      <c r="AB2391" s="21">
        <f t="shared" si="719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03"/>
        <v>23146578.081415929</v>
      </c>
      <c r="AJ2391" s="27">
        <f t="shared" si="704"/>
        <v>2745231.3889985834</v>
      </c>
      <c r="AK2391" s="28">
        <f t="shared" si="711"/>
        <v>0.11860204041143742</v>
      </c>
      <c r="AL2391" s="24"/>
      <c r="AM2391" s="24"/>
      <c r="AN2391" s="24"/>
      <c r="AO2391" s="24"/>
      <c r="AP2391" s="28" t="str">
        <f t="shared" si="712"/>
        <v>20241</v>
      </c>
      <c r="AQ2391" s="28" t="str">
        <f t="shared" si="713"/>
        <v>20241JPY</v>
      </c>
      <c r="AR2391" s="206" t="str">
        <f t="shared" si="714"/>
        <v>YAMAHA_Mounter</v>
      </c>
      <c r="AS2391" s="22">
        <f t="shared" si="715"/>
        <v>0</v>
      </c>
      <c r="AT2391" s="24" t="str">
        <f t="shared" si="716"/>
        <v>0-3 months</v>
      </c>
      <c r="AU2391" s="22" t="s">
        <v>3745</v>
      </c>
    </row>
    <row r="2392" spans="1:47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718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717"/>
        <v>17580000</v>
      </c>
      <c r="AA2392" s="13">
        <v>7.22E-2</v>
      </c>
      <c r="AB2392" s="21">
        <f t="shared" si="719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03"/>
        <v>29946107.503386207</v>
      </c>
      <c r="AJ2392" s="19">
        <f t="shared" si="704"/>
        <v>3987206.4954923098</v>
      </c>
      <c r="AK2392" s="20">
        <f t="shared" si="711"/>
        <v>0.13314606898547499</v>
      </c>
      <c r="AL2392" s="17"/>
      <c r="AM2392" s="17"/>
      <c r="AN2392" s="17"/>
      <c r="AO2392" s="17"/>
      <c r="AP2392" s="28" t="str">
        <f t="shared" si="712"/>
        <v>20187</v>
      </c>
      <c r="AQ2392" s="28" t="str">
        <f t="shared" si="713"/>
        <v>20187JPY</v>
      </c>
      <c r="AR2392" s="206" t="str">
        <f t="shared" si="714"/>
        <v>YAMAHA_Mounter</v>
      </c>
      <c r="AS2392" s="22">
        <f t="shared" si="715"/>
        <v>3</v>
      </c>
      <c r="AT2392" s="24" t="str">
        <f t="shared" si="716"/>
        <v>0-3 months</v>
      </c>
      <c r="AU2392" s="22" t="s">
        <v>3744</v>
      </c>
    </row>
    <row r="2393" spans="1:47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718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717"/>
        <v>21176000</v>
      </c>
      <c r="AA2393" s="13">
        <v>7.22E-2</v>
      </c>
      <c r="AB2393" s="21">
        <f t="shared" si="719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03"/>
        <v>29946107.503386207</v>
      </c>
      <c r="AJ2393" s="19">
        <f t="shared" si="704"/>
        <v>3987206.4954923098</v>
      </c>
      <c r="AK2393" s="20">
        <f t="shared" si="711"/>
        <v>0.13314606898547499</v>
      </c>
      <c r="AL2393" s="17"/>
      <c r="AM2393" s="17"/>
      <c r="AN2393" s="17"/>
      <c r="AO2393" s="17"/>
      <c r="AP2393" s="28" t="str">
        <f t="shared" si="712"/>
        <v>20187</v>
      </c>
      <c r="AQ2393" s="28" t="str">
        <f t="shared" si="713"/>
        <v>20187JPY</v>
      </c>
      <c r="AR2393" s="206" t="str">
        <f t="shared" si="714"/>
        <v>YAMAHA_Mounter</v>
      </c>
      <c r="AS2393" s="22">
        <f t="shared" si="715"/>
        <v>8</v>
      </c>
      <c r="AT2393" s="24" t="str">
        <f t="shared" si="716"/>
        <v>&gt; 6 months</v>
      </c>
      <c r="AU2393" s="22" t="s">
        <v>3745</v>
      </c>
    </row>
    <row r="2394" spans="1:47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718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717"/>
        <v>31764000</v>
      </c>
      <c r="AA2394" s="13">
        <v>7.0300000000000001E-2</v>
      </c>
      <c r="AB2394" s="21">
        <f t="shared" si="719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03"/>
        <v>13250187.062905986</v>
      </c>
      <c r="AJ2394" s="19">
        <f t="shared" si="704"/>
        <v>1545643.7555487182</v>
      </c>
      <c r="AK2394" s="20">
        <f t="shared" si="711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2"/>
        <v>20183</v>
      </c>
      <c r="AQ2394" s="28" t="str">
        <f t="shared" si="713"/>
        <v>20183JPY</v>
      </c>
      <c r="AR2394" s="206" t="str">
        <f t="shared" si="714"/>
        <v>YAMAHA_Mounter</v>
      </c>
      <c r="AS2394" s="22">
        <f t="shared" si="715"/>
        <v>4</v>
      </c>
      <c r="AT2394" s="24" t="str">
        <f t="shared" si="716"/>
        <v>4-6 months</v>
      </c>
      <c r="AU2394" s="22">
        <v>0</v>
      </c>
    </row>
    <row r="2395" spans="1:47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718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717"/>
        <v>7000000</v>
      </c>
      <c r="AA2395" s="13">
        <v>7.3499999999999996E-2</v>
      </c>
      <c r="AB2395" s="21">
        <f t="shared" si="719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03"/>
        <v>26147030.909862842</v>
      </c>
      <c r="AJ2395" s="19">
        <f t="shared" si="704"/>
        <v>2743862.8630715334</v>
      </c>
      <c r="AK2395" s="20">
        <f t="shared" si="711"/>
        <v>0.10493974908778378</v>
      </c>
      <c r="AL2395" s="17"/>
      <c r="AM2395" s="17"/>
      <c r="AN2395" s="17"/>
      <c r="AO2395" s="17"/>
      <c r="AP2395" s="28" t="str">
        <f t="shared" si="712"/>
        <v>201911</v>
      </c>
      <c r="AQ2395" s="28" t="str">
        <f t="shared" si="713"/>
        <v>201911JPY</v>
      </c>
      <c r="AR2395" s="206" t="str">
        <f t="shared" si="714"/>
        <v>YAMAHA_Mounter</v>
      </c>
      <c r="AS2395" s="22">
        <f t="shared" si="715"/>
        <v>0</v>
      </c>
      <c r="AT2395" s="24" t="str">
        <f t="shared" si="716"/>
        <v>0-3 months</v>
      </c>
      <c r="AU2395" s="22" t="s">
        <v>3745</v>
      </c>
    </row>
    <row r="2396" spans="1:47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718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717"/>
        <v>7000000</v>
      </c>
      <c r="AA2396" s="13">
        <v>7.3499999999999996E-2</v>
      </c>
      <c r="AB2396" s="21">
        <f t="shared" si="719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03"/>
        <v>26147030.909862842</v>
      </c>
      <c r="AJ2396" s="19">
        <f t="shared" si="704"/>
        <v>2743862.8630715334</v>
      </c>
      <c r="AK2396" s="20">
        <f t="shared" si="711"/>
        <v>0.10493974908778378</v>
      </c>
      <c r="AL2396" s="17"/>
      <c r="AM2396" s="17"/>
      <c r="AN2396" s="17"/>
      <c r="AO2396" s="17"/>
      <c r="AP2396" s="28" t="str">
        <f t="shared" si="712"/>
        <v>201911</v>
      </c>
      <c r="AQ2396" s="28" t="str">
        <f t="shared" si="713"/>
        <v>201911JPY</v>
      </c>
      <c r="AR2396" s="206" t="str">
        <f t="shared" si="714"/>
        <v>YAMAHA_Mounter</v>
      </c>
      <c r="AS2396" s="22">
        <f t="shared" si="715"/>
        <v>0</v>
      </c>
      <c r="AT2396" s="24" t="str">
        <f t="shared" si="716"/>
        <v>0-3 months</v>
      </c>
      <c r="AU2396" s="22" t="s">
        <v>3745</v>
      </c>
    </row>
    <row r="2397" spans="1:47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718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720">IF(W2397="RMB","1.13", "1")</f>
        <v>1</v>
      </c>
      <c r="Z2397" s="18">
        <f t="shared" si="717"/>
        <v>13500000</v>
      </c>
      <c r="AA2397" s="13">
        <v>6.25E-2</v>
      </c>
      <c r="AB2397" s="21">
        <f t="shared" si="719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03"/>
        <v>35682787.057522126</v>
      </c>
      <c r="AJ2397" s="19">
        <f t="shared" si="704"/>
        <v>5833368.3789623892</v>
      </c>
      <c r="AK2397" s="20">
        <f t="shared" si="711"/>
        <v>0.16347849649632912</v>
      </c>
      <c r="AL2397" s="17"/>
      <c r="AM2397" s="17"/>
      <c r="AN2397" s="17"/>
      <c r="AO2397" s="17"/>
      <c r="AP2397" s="28" t="str">
        <f t="shared" si="712"/>
        <v>20226</v>
      </c>
      <c r="AQ2397" s="28" t="str">
        <f t="shared" si="713"/>
        <v>20226JPY</v>
      </c>
      <c r="AR2397" s="206" t="str">
        <f t="shared" si="714"/>
        <v>YAMAHA_Mounter</v>
      </c>
      <c r="AS2397" s="22">
        <f t="shared" si="715"/>
        <v>3</v>
      </c>
      <c r="AT2397" s="24" t="str">
        <f t="shared" si="716"/>
        <v>0-3 months</v>
      </c>
      <c r="AU2397" s="22" t="s">
        <v>3744</v>
      </c>
    </row>
    <row r="2398" spans="1:47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718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720"/>
        <v>1</v>
      </c>
      <c r="Z2398" s="18">
        <f t="shared" si="717"/>
        <v>10500000</v>
      </c>
      <c r="AA2398" s="13">
        <v>6.25E-2</v>
      </c>
      <c r="AB2398" s="21">
        <f t="shared" si="719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03"/>
        <v>35682787.057522126</v>
      </c>
      <c r="AJ2398" s="19">
        <f t="shared" si="704"/>
        <v>5833368.3789623892</v>
      </c>
      <c r="AK2398" s="20">
        <f t="shared" si="711"/>
        <v>0.16347849649632912</v>
      </c>
      <c r="AL2398" s="17"/>
      <c r="AM2398" s="17"/>
      <c r="AN2398" s="17"/>
      <c r="AO2398" s="17"/>
      <c r="AP2398" s="28" t="str">
        <f t="shared" si="712"/>
        <v>20226</v>
      </c>
      <c r="AQ2398" s="28" t="str">
        <f t="shared" si="713"/>
        <v>20226JPY</v>
      </c>
      <c r="AR2398" s="206" t="str">
        <f t="shared" si="714"/>
        <v>YAMAHA_Mounter</v>
      </c>
      <c r="AS2398" s="22">
        <f t="shared" si="715"/>
        <v>3</v>
      </c>
      <c r="AT2398" s="24" t="str">
        <f t="shared" si="716"/>
        <v>0-3 months</v>
      </c>
      <c r="AU2398" s="22" t="s">
        <v>3744</v>
      </c>
    </row>
    <row r="2399" spans="1:47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718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720"/>
        <v>1</v>
      </c>
      <c r="Z2399" s="18">
        <f t="shared" si="717"/>
        <v>10500000</v>
      </c>
      <c r="AA2399" s="13">
        <v>6.25E-2</v>
      </c>
      <c r="AB2399" s="21">
        <f t="shared" si="719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03"/>
        <v>35682787.057522126</v>
      </c>
      <c r="AJ2399" s="19">
        <f t="shared" si="704"/>
        <v>5833368.3789623892</v>
      </c>
      <c r="AK2399" s="20">
        <f t="shared" si="711"/>
        <v>0.16347849649632912</v>
      </c>
      <c r="AL2399" s="17"/>
      <c r="AM2399" s="17"/>
      <c r="AN2399" s="17"/>
      <c r="AO2399" s="17"/>
      <c r="AP2399" s="28" t="str">
        <f t="shared" si="712"/>
        <v>20226</v>
      </c>
      <c r="AQ2399" s="28" t="str">
        <f t="shared" si="713"/>
        <v>20226JPY</v>
      </c>
      <c r="AR2399" s="206" t="str">
        <f t="shared" si="714"/>
        <v>YAMAHA_Mounter</v>
      </c>
      <c r="AS2399" s="22">
        <f t="shared" si="715"/>
        <v>3</v>
      </c>
      <c r="AT2399" s="24" t="str">
        <f t="shared" si="716"/>
        <v>0-3 months</v>
      </c>
      <c r="AU2399" s="22" t="s">
        <v>3744</v>
      </c>
    </row>
    <row r="2400" spans="1:47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718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720"/>
        <v>1</v>
      </c>
      <c r="Z2400" s="18">
        <f t="shared" si="717"/>
        <v>8350000</v>
      </c>
      <c r="AA2400" s="13">
        <v>7.2800000000000004E-2</v>
      </c>
      <c r="AB2400" s="21">
        <f t="shared" si="719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03"/>
        <v>63006605.696460173</v>
      </c>
      <c r="AJ2400" s="19">
        <f t="shared" si="704"/>
        <v>8897485.660753984</v>
      </c>
      <c r="AK2400" s="20">
        <f t="shared" si="711"/>
        <v>0.141215124388995</v>
      </c>
      <c r="AL2400" s="17"/>
      <c r="AM2400" s="17"/>
      <c r="AN2400" s="17"/>
      <c r="AO2400" s="17"/>
      <c r="AP2400" s="28" t="str">
        <f t="shared" si="712"/>
        <v>20215</v>
      </c>
      <c r="AQ2400" s="28" t="str">
        <f t="shared" si="713"/>
        <v>20215JPY</v>
      </c>
      <c r="AR2400" s="206" t="str">
        <f t="shared" si="714"/>
        <v>YAMAHA_Mounter</v>
      </c>
      <c r="AS2400" s="22">
        <f t="shared" si="715"/>
        <v>2</v>
      </c>
      <c r="AT2400" s="24" t="str">
        <f t="shared" si="716"/>
        <v>0-3 months</v>
      </c>
      <c r="AU2400" s="22" t="s">
        <v>3744</v>
      </c>
    </row>
    <row r="2401" spans="1:47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718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720"/>
        <v>1.13</v>
      </c>
      <c r="Z2401" s="18">
        <f t="shared" si="717"/>
        <v>1250000</v>
      </c>
      <c r="AA2401" s="13">
        <v>1.2150000000000001</v>
      </c>
      <c r="AB2401" s="21">
        <f t="shared" si="719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03"/>
        <v>25380121.402654871</v>
      </c>
      <c r="AJ2401" s="19">
        <f t="shared" si="704"/>
        <v>3850343.1237796471</v>
      </c>
      <c r="AK2401" s="20">
        <f t="shared" si="711"/>
        <v>0.1517070412191521</v>
      </c>
      <c r="AL2401" s="17"/>
      <c r="AM2401" s="17"/>
      <c r="AN2401" s="17"/>
      <c r="AO2401" s="17"/>
      <c r="AP2401" s="28" t="str">
        <f t="shared" si="712"/>
        <v>202112</v>
      </c>
      <c r="AQ2401" s="28" t="str">
        <f t="shared" si="713"/>
        <v>202112RMB</v>
      </c>
      <c r="AR2401" s="206" t="str">
        <f t="shared" si="714"/>
        <v>YAMAHA_Mounter</v>
      </c>
      <c r="AS2401" s="22">
        <f t="shared" si="715"/>
        <v>0</v>
      </c>
      <c r="AT2401" s="24" t="str">
        <f t="shared" si="716"/>
        <v>0-3 months</v>
      </c>
      <c r="AU2401" s="22" t="s">
        <v>3750</v>
      </c>
    </row>
    <row r="2402" spans="1:47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718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720"/>
        <v>1</v>
      </c>
      <c r="Z2402" s="18">
        <f t="shared" si="717"/>
        <v>8350000</v>
      </c>
      <c r="AA2402" s="13">
        <v>5.8700000000000002E-2</v>
      </c>
      <c r="AB2402" s="21">
        <f t="shared" si="719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03"/>
        <v>36480247.665929198</v>
      </c>
      <c r="AJ2402" s="19">
        <f t="shared" si="704"/>
        <v>5330996.6372757526</v>
      </c>
      <c r="AK2402" s="20">
        <f t="shared" si="711"/>
        <v>0.14613378412599562</v>
      </c>
      <c r="AL2402" s="17"/>
      <c r="AM2402" s="17"/>
      <c r="AN2402" s="17"/>
      <c r="AO2402" s="17"/>
      <c r="AP2402" s="28" t="str">
        <f t="shared" si="712"/>
        <v>20227</v>
      </c>
      <c r="AQ2402" s="28" t="str">
        <f t="shared" si="713"/>
        <v>20227JPY</v>
      </c>
      <c r="AR2402" s="206" t="str">
        <f t="shared" si="714"/>
        <v>YAMAHA_Mounter</v>
      </c>
      <c r="AS2402" s="22">
        <f t="shared" si="715"/>
        <v>16</v>
      </c>
      <c r="AT2402" s="24" t="str">
        <f t="shared" si="716"/>
        <v>&gt; 6 months</v>
      </c>
      <c r="AU2402" s="22" t="s">
        <v>3744</v>
      </c>
    </row>
    <row r="2403" spans="1:47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718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717"/>
        <v>15000000</v>
      </c>
      <c r="AA2403" s="13">
        <v>5.3400000000000003E-2</v>
      </c>
      <c r="AB2403" s="21">
        <f t="shared" si="719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03"/>
        <v>5219988.5752212387</v>
      </c>
      <c r="AJ2403" s="19">
        <f t="shared" si="704"/>
        <v>631627.0013460177</v>
      </c>
      <c r="AK2403" s="20">
        <f t="shared" si="711"/>
        <v>0.12100160608478869</v>
      </c>
      <c r="AL2403" s="17"/>
      <c r="AM2403" s="17"/>
      <c r="AN2403" s="17"/>
      <c r="AO2403" s="17"/>
      <c r="AP2403" s="28" t="str">
        <f t="shared" si="712"/>
        <v>202310</v>
      </c>
      <c r="AQ2403" s="28" t="str">
        <f t="shared" si="713"/>
        <v>202310JPY</v>
      </c>
      <c r="AR2403" s="206" t="str">
        <f t="shared" si="714"/>
        <v>YAMAHA_Mounter</v>
      </c>
      <c r="AS2403" s="22">
        <f t="shared" si="715"/>
        <v>0</v>
      </c>
      <c r="AT2403" s="24" t="str">
        <f t="shared" si="716"/>
        <v>0-3 months</v>
      </c>
      <c r="AU2403" s="22" t="s">
        <v>3744</v>
      </c>
    </row>
    <row r="2404" spans="1:47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718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717"/>
        <v>7250000</v>
      </c>
      <c r="AA2404" s="22">
        <v>4.9500000000000002E-2</v>
      </c>
      <c r="AB2404" s="197">
        <f t="shared" si="719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03"/>
        <v>25458266.694690265</v>
      </c>
      <c r="AJ2404" s="200">
        <f t="shared" si="704"/>
        <v>4116526.778578762</v>
      </c>
      <c r="AK2404" s="201">
        <f t="shared" si="711"/>
        <v>0.16169705612508689</v>
      </c>
      <c r="AL2404" s="24"/>
      <c r="AM2404" s="24"/>
      <c r="AN2404" s="24"/>
      <c r="AO2404" s="24"/>
      <c r="AP2404" s="105" t="str">
        <f t="shared" si="712"/>
        <v>20247</v>
      </c>
      <c r="AQ2404" s="28" t="str">
        <f t="shared" si="713"/>
        <v>20247JPY</v>
      </c>
      <c r="AR2404" s="206" t="str">
        <f t="shared" si="714"/>
        <v>YAMAHA_Mounter</v>
      </c>
      <c r="AS2404" s="22">
        <f t="shared" si="715"/>
        <v>2</v>
      </c>
      <c r="AT2404" s="24" t="str">
        <f t="shared" si="716"/>
        <v>0-3 months</v>
      </c>
      <c r="AU2404" s="22" t="s">
        <v>3745</v>
      </c>
    </row>
    <row r="2405" spans="1:47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718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717"/>
        <v>9330000</v>
      </c>
      <c r="AA2405" s="13">
        <v>7.3599999999999999E-2</v>
      </c>
      <c r="AB2405" s="21">
        <f t="shared" si="719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03"/>
        <v>24398045.86045352</v>
      </c>
      <c r="AJ2405" s="19">
        <f t="shared" si="704"/>
        <v>3478417.4064663448</v>
      </c>
      <c r="AK2405" s="20">
        <f t="shared" si="711"/>
        <v>0.14256950849102498</v>
      </c>
      <c r="AL2405" s="17"/>
      <c r="AM2405" s="17"/>
      <c r="AN2405" s="17"/>
      <c r="AO2405" s="17"/>
      <c r="AP2405" s="28" t="str">
        <f t="shared" si="712"/>
        <v>20186</v>
      </c>
      <c r="AQ2405" s="28" t="str">
        <f t="shared" si="713"/>
        <v>20186JPY</v>
      </c>
      <c r="AR2405" s="206" t="str">
        <f t="shared" si="714"/>
        <v>YAMAHA_Mounter</v>
      </c>
      <c r="AS2405" s="22">
        <f t="shared" si="715"/>
        <v>2</v>
      </c>
      <c r="AT2405" s="24" t="str">
        <f t="shared" si="716"/>
        <v>0-3 months</v>
      </c>
      <c r="AU2405" s="22" t="s">
        <v>3744</v>
      </c>
    </row>
    <row r="2406" spans="1:47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718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717"/>
        <v>78997</v>
      </c>
      <c r="AA2406" s="13">
        <v>7.8</v>
      </c>
      <c r="AB2406" s="21">
        <f t="shared" si="719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03"/>
        <v>44078731.611185849</v>
      </c>
      <c r="AJ2406" s="19">
        <f t="shared" si="704"/>
        <v>5508173.2163771465</v>
      </c>
      <c r="AK2406" s="20">
        <f t="shared" si="711"/>
        <v>0.12496215328889679</v>
      </c>
      <c r="AL2406" s="17"/>
      <c r="AM2406" s="17"/>
      <c r="AN2406" s="17"/>
      <c r="AO2406" s="17"/>
      <c r="AP2406" s="28" t="str">
        <f t="shared" si="712"/>
        <v>202011</v>
      </c>
      <c r="AQ2406" s="28" t="str">
        <f t="shared" si="713"/>
        <v>202011USD</v>
      </c>
      <c r="AR2406" s="206" t="str">
        <f t="shared" si="714"/>
        <v>YAMAHA_Mounter</v>
      </c>
      <c r="AS2406" s="22">
        <f t="shared" si="715"/>
        <v>3</v>
      </c>
      <c r="AT2406" s="24" t="str">
        <f t="shared" si="716"/>
        <v>0-3 months</v>
      </c>
      <c r="AU2406" s="22" t="s">
        <v>3745</v>
      </c>
    </row>
    <row r="2407" spans="1:47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718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717"/>
        <v>78997</v>
      </c>
      <c r="AA2407" s="13">
        <v>7.8</v>
      </c>
      <c r="AB2407" s="21">
        <f t="shared" si="719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03"/>
        <v>57778307.282035396</v>
      </c>
      <c r="AJ2407" s="19">
        <f t="shared" si="704"/>
        <v>7259860.7225420559</v>
      </c>
      <c r="AK2407" s="20">
        <f t="shared" si="711"/>
        <v>0.12565028406083667</v>
      </c>
      <c r="AL2407" s="17"/>
      <c r="AM2407" s="17"/>
      <c r="AN2407" s="17"/>
      <c r="AO2407" s="17"/>
      <c r="AP2407" s="28" t="str">
        <f t="shared" si="712"/>
        <v>20213</v>
      </c>
      <c r="AQ2407" s="28" t="str">
        <f t="shared" si="713"/>
        <v>20213USD</v>
      </c>
      <c r="AR2407" s="206" t="str">
        <f t="shared" si="714"/>
        <v>YAMAHA_Mounter</v>
      </c>
      <c r="AS2407" s="22">
        <f t="shared" si="715"/>
        <v>3</v>
      </c>
      <c r="AT2407" s="24" t="str">
        <f t="shared" si="716"/>
        <v>0-3 months</v>
      </c>
      <c r="AU2407" s="22" t="s">
        <v>3745</v>
      </c>
    </row>
    <row r="2408" spans="1:47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718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717"/>
        <v>60000</v>
      </c>
      <c r="AA2408" s="13">
        <v>7.8</v>
      </c>
      <c r="AB2408" s="21">
        <f t="shared" si="719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03"/>
        <v>10271727.486725664</v>
      </c>
      <c r="AJ2408" s="19">
        <f t="shared" si="704"/>
        <v>1227228.7260761063</v>
      </c>
      <c r="AK2408" s="20">
        <f t="shared" si="711"/>
        <v>0.11947637120066472</v>
      </c>
      <c r="AL2408" s="17"/>
      <c r="AM2408" s="17"/>
      <c r="AN2408" s="17"/>
      <c r="AO2408" s="17"/>
      <c r="AP2408" s="28" t="str">
        <f t="shared" si="712"/>
        <v>202312</v>
      </c>
      <c r="AQ2408" s="28" t="str">
        <f t="shared" si="713"/>
        <v>202312USD</v>
      </c>
      <c r="AR2408" s="206" t="str">
        <f t="shared" si="714"/>
        <v>YAMAHA_Mounter</v>
      </c>
      <c r="AS2408" s="22">
        <f t="shared" si="715"/>
        <v>4</v>
      </c>
      <c r="AT2408" s="24" t="str">
        <f t="shared" si="716"/>
        <v>4-6 months</v>
      </c>
      <c r="AU2408" s="22" t="s">
        <v>3745</v>
      </c>
    </row>
    <row r="2409" spans="1:47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718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717"/>
        <v>60000</v>
      </c>
      <c r="AA2409" s="13">
        <v>7.8</v>
      </c>
      <c r="AB2409" s="21">
        <f t="shared" si="719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03"/>
        <v>10271727.486725664</v>
      </c>
      <c r="AJ2409" s="19">
        <f t="shared" si="704"/>
        <v>1227228.7260761063</v>
      </c>
      <c r="AK2409" s="20">
        <f t="shared" si="711"/>
        <v>0.11947637120066472</v>
      </c>
      <c r="AL2409" s="17"/>
      <c r="AM2409" s="17"/>
      <c r="AN2409" s="17"/>
      <c r="AO2409" s="17"/>
      <c r="AP2409" s="28" t="str">
        <f t="shared" si="712"/>
        <v>202312</v>
      </c>
      <c r="AQ2409" s="28" t="str">
        <f t="shared" si="713"/>
        <v>202312USD</v>
      </c>
      <c r="AR2409" s="206" t="str">
        <f t="shared" si="714"/>
        <v>YAMAHA_Mounter</v>
      </c>
      <c r="AS2409" s="22">
        <f t="shared" si="715"/>
        <v>4</v>
      </c>
      <c r="AT2409" s="24" t="str">
        <f t="shared" si="716"/>
        <v>4-6 months</v>
      </c>
      <c r="AU2409" s="22" t="s">
        <v>3745</v>
      </c>
    </row>
    <row r="2410" spans="1:47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718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717"/>
        <v>58000</v>
      </c>
      <c r="AA2410" s="13">
        <v>7.8</v>
      </c>
      <c r="AB2410" s="21">
        <f t="shared" si="719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03"/>
        <v>23146578.081415929</v>
      </c>
      <c r="AJ2410" s="19">
        <f t="shared" si="704"/>
        <v>2745231.3889985834</v>
      </c>
      <c r="AK2410" s="20">
        <f t="shared" si="711"/>
        <v>0.11860204041143742</v>
      </c>
      <c r="AL2410" s="17"/>
      <c r="AM2410" s="17"/>
      <c r="AN2410" s="17"/>
      <c r="AO2410" s="17"/>
      <c r="AP2410" s="28" t="str">
        <f t="shared" si="712"/>
        <v>20241</v>
      </c>
      <c r="AQ2410" s="28" t="str">
        <f t="shared" si="713"/>
        <v>20241USD</v>
      </c>
      <c r="AR2410" s="206" t="str">
        <f t="shared" si="714"/>
        <v>YAMAHA_Mounter</v>
      </c>
      <c r="AS2410" s="22">
        <f t="shared" si="715"/>
        <v>2</v>
      </c>
      <c r="AT2410" s="24" t="str">
        <f t="shared" si="716"/>
        <v>0-3 months</v>
      </c>
      <c r="AU2410" s="22" t="s">
        <v>3240</v>
      </c>
    </row>
    <row r="2411" spans="1:47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718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717"/>
        <v>58000</v>
      </c>
      <c r="AA2411" s="13">
        <v>7.8</v>
      </c>
      <c r="AB2411" s="21">
        <f t="shared" si="719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03"/>
        <v>23146578.081415929</v>
      </c>
      <c r="AJ2411" s="19">
        <f t="shared" si="704"/>
        <v>2745231.3889985834</v>
      </c>
      <c r="AK2411" s="20">
        <f t="shared" si="711"/>
        <v>0.11860204041143742</v>
      </c>
      <c r="AL2411" s="17"/>
      <c r="AM2411" s="17"/>
      <c r="AN2411" s="17"/>
      <c r="AO2411" s="17"/>
      <c r="AP2411" s="28" t="str">
        <f t="shared" si="712"/>
        <v>20241</v>
      </c>
      <c r="AQ2411" s="28" t="str">
        <f t="shared" si="713"/>
        <v>20241USD</v>
      </c>
      <c r="AR2411" s="206" t="str">
        <f t="shared" si="714"/>
        <v>YAMAHA_Mounter</v>
      </c>
      <c r="AS2411" s="22">
        <f t="shared" si="715"/>
        <v>2</v>
      </c>
      <c r="AT2411" s="24" t="str">
        <f t="shared" si="716"/>
        <v>0-3 months</v>
      </c>
      <c r="AU2411" s="22" t="s">
        <v>3240</v>
      </c>
    </row>
    <row r="2412" spans="1:47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718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717"/>
        <v>58000</v>
      </c>
      <c r="AA2412" s="13">
        <v>7.8</v>
      </c>
      <c r="AB2412" s="21">
        <f t="shared" si="719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03"/>
        <v>26078226.463097349</v>
      </c>
      <c r="AJ2412" s="19">
        <f t="shared" si="704"/>
        <v>3137870.4427774516</v>
      </c>
      <c r="AK2412" s="20">
        <f t="shared" si="711"/>
        <v>0.12032530077218917</v>
      </c>
      <c r="AL2412" s="17"/>
      <c r="AM2412" s="17"/>
      <c r="AN2412" s="17"/>
      <c r="AO2412" s="17"/>
      <c r="AP2412" s="28" t="str">
        <f t="shared" si="712"/>
        <v>20239</v>
      </c>
      <c r="AQ2412" s="28" t="str">
        <f t="shared" si="713"/>
        <v>20239USD</v>
      </c>
      <c r="AR2412" s="206" t="str">
        <f t="shared" si="714"/>
        <v>YAMAHA_Mounter</v>
      </c>
      <c r="AS2412" s="22">
        <f t="shared" si="715"/>
        <v>3</v>
      </c>
      <c r="AT2412" s="24" t="str">
        <f t="shared" si="716"/>
        <v>0-3 months</v>
      </c>
      <c r="AU2412" s="22" t="s">
        <v>3745</v>
      </c>
    </row>
    <row r="2413" spans="1:47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718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721">IF(W2413="","",IF(W2413="RMB","1.13", "1"))</f>
        <v>1</v>
      </c>
      <c r="Z2413" s="18">
        <f t="shared" si="717"/>
        <v>58000</v>
      </c>
      <c r="AA2413" s="13">
        <v>7.8</v>
      </c>
      <c r="AB2413" s="21">
        <f t="shared" si="719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03"/>
        <v>10524262.405309737</v>
      </c>
      <c r="AJ2413" s="19">
        <f t="shared" si="704"/>
        <v>1479050.9527127435</v>
      </c>
      <c r="AK2413" s="20">
        <f t="shared" si="711"/>
        <v>0.14053725532028996</v>
      </c>
      <c r="AL2413" s="17"/>
      <c r="AM2413" s="17"/>
      <c r="AN2413" s="17"/>
      <c r="AO2413" s="17"/>
      <c r="AP2413" s="28" t="str">
        <f t="shared" si="712"/>
        <v>20242</v>
      </c>
      <c r="AQ2413" s="28" t="str">
        <f t="shared" si="713"/>
        <v>20242USD</v>
      </c>
      <c r="AR2413" s="206" t="str">
        <f t="shared" si="714"/>
        <v>YAMAHA_Mounter</v>
      </c>
      <c r="AS2413" s="22">
        <f t="shared" si="715"/>
        <v>2</v>
      </c>
      <c r="AT2413" s="24" t="str">
        <f t="shared" si="716"/>
        <v>0-3 months</v>
      </c>
      <c r="AU2413" s="22" t="s">
        <v>3240</v>
      </c>
    </row>
    <row r="2414" spans="1:47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718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721"/>
        <v>1</v>
      </c>
      <c r="Z2414" s="18">
        <f t="shared" si="717"/>
        <v>58000</v>
      </c>
      <c r="AA2414" s="13">
        <v>7.8</v>
      </c>
      <c r="AB2414" s="21">
        <f t="shared" si="719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03"/>
        <v>10524262.405309737</v>
      </c>
      <c r="AJ2414" s="19">
        <f t="shared" si="704"/>
        <v>1479050.9527127435</v>
      </c>
      <c r="AK2414" s="20">
        <f t="shared" si="711"/>
        <v>0.14053725532028996</v>
      </c>
      <c r="AL2414" s="17"/>
      <c r="AM2414" s="17"/>
      <c r="AN2414" s="17"/>
      <c r="AO2414" s="17"/>
      <c r="AP2414" s="28" t="str">
        <f t="shared" si="712"/>
        <v>20242</v>
      </c>
      <c r="AQ2414" s="28" t="str">
        <f t="shared" si="713"/>
        <v>20242USD</v>
      </c>
      <c r="AR2414" s="206" t="str">
        <f t="shared" si="714"/>
        <v>YAMAHA_Mounter</v>
      </c>
      <c r="AS2414" s="22">
        <f t="shared" si="715"/>
        <v>2</v>
      </c>
      <c r="AT2414" s="24" t="str">
        <f t="shared" si="716"/>
        <v>0-3 months</v>
      </c>
      <c r="AU2414" s="22" t="s">
        <v>3240</v>
      </c>
    </row>
    <row r="2415" spans="1:47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718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721"/>
        <v>1</v>
      </c>
      <c r="Z2415" s="18">
        <f t="shared" si="717"/>
        <v>68800</v>
      </c>
      <c r="AA2415" s="22">
        <v>7.8</v>
      </c>
      <c r="AB2415" s="21">
        <f t="shared" si="719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03"/>
        <v>21241742.157380536</v>
      </c>
      <c r="AJ2415" s="27">
        <f t="shared" si="704"/>
        <v>2987081.1613773629</v>
      </c>
      <c r="AK2415" s="28">
        <f t="shared" si="711"/>
        <v>0.14062317201884914</v>
      </c>
      <c r="AL2415" s="24"/>
      <c r="AM2415" s="24"/>
      <c r="AN2415" s="24"/>
      <c r="AO2415" s="24"/>
      <c r="AP2415" s="28" t="str">
        <f t="shared" si="712"/>
        <v>20243</v>
      </c>
      <c r="AQ2415" s="28" t="str">
        <f t="shared" si="713"/>
        <v>20243USD</v>
      </c>
      <c r="AR2415" s="206" t="str">
        <f t="shared" si="714"/>
        <v>YAMAHA_Mounter</v>
      </c>
      <c r="AS2415" s="22">
        <f t="shared" si="715"/>
        <v>1</v>
      </c>
      <c r="AT2415" s="24" t="str">
        <f t="shared" si="716"/>
        <v>0-3 months</v>
      </c>
      <c r="AU2415" s="22" t="s">
        <v>3745</v>
      </c>
    </row>
    <row r="2416" spans="1:47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718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721"/>
        <v>1</v>
      </c>
      <c r="Z2416" s="18">
        <f t="shared" si="717"/>
        <v>68800</v>
      </c>
      <c r="AA2416" s="22">
        <v>7.8</v>
      </c>
      <c r="AB2416" s="21">
        <f t="shared" si="719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03"/>
        <v>21241742.157380536</v>
      </c>
      <c r="AJ2416" s="27">
        <f t="shared" si="704"/>
        <v>2987081.1613773629</v>
      </c>
      <c r="AK2416" s="28">
        <f t="shared" si="711"/>
        <v>0.14062317201884914</v>
      </c>
      <c r="AL2416" s="24"/>
      <c r="AM2416" s="24"/>
      <c r="AN2416" s="24"/>
      <c r="AO2416" s="24"/>
      <c r="AP2416" s="28" t="str">
        <f t="shared" si="712"/>
        <v>20243</v>
      </c>
      <c r="AQ2416" s="28" t="str">
        <f t="shared" si="713"/>
        <v>20243USD</v>
      </c>
      <c r="AR2416" s="206" t="str">
        <f t="shared" si="714"/>
        <v>YAMAHA_Mounter</v>
      </c>
      <c r="AS2416" s="22">
        <f t="shared" si="715"/>
        <v>1</v>
      </c>
      <c r="AT2416" s="24" t="str">
        <f t="shared" si="716"/>
        <v>0-3 months</v>
      </c>
      <c r="AU2416" s="22" t="s">
        <v>3745</v>
      </c>
    </row>
    <row r="2417" spans="1:47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718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721"/>
        <v>1</v>
      </c>
      <c r="Z2417" s="18">
        <f t="shared" si="717"/>
        <v>68800</v>
      </c>
      <c r="AA2417" s="22">
        <v>7.8</v>
      </c>
      <c r="AB2417" s="21">
        <f t="shared" si="719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03"/>
        <v>21241742.157380536</v>
      </c>
      <c r="AJ2417" s="27">
        <f t="shared" si="704"/>
        <v>2987081.1613773629</v>
      </c>
      <c r="AK2417" s="28">
        <f t="shared" si="711"/>
        <v>0.14062317201884914</v>
      </c>
      <c r="AL2417" s="24"/>
      <c r="AM2417" s="24"/>
      <c r="AN2417" s="24"/>
      <c r="AO2417" s="24"/>
      <c r="AP2417" s="28" t="str">
        <f t="shared" si="712"/>
        <v>20243</v>
      </c>
      <c r="AQ2417" s="28" t="str">
        <f t="shared" si="713"/>
        <v>20243USD</v>
      </c>
      <c r="AR2417" s="206" t="str">
        <f t="shared" si="714"/>
        <v>YAMAHA_Mounter</v>
      </c>
      <c r="AS2417" s="22">
        <f t="shared" si="715"/>
        <v>1</v>
      </c>
      <c r="AT2417" s="24" t="str">
        <f t="shared" si="716"/>
        <v>0-3 months</v>
      </c>
      <c r="AU2417" s="22" t="s">
        <v>3745</v>
      </c>
    </row>
    <row r="2418" spans="1:47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718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721"/>
        <v>1</v>
      </c>
      <c r="Z2418" s="196">
        <f t="shared" si="717"/>
        <v>12066000</v>
      </c>
      <c r="AA2418" s="22">
        <v>4.9500000000000002E-2</v>
      </c>
      <c r="AB2418" s="197">
        <f t="shared" si="719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03"/>
        <v>25458266.694690265</v>
      </c>
      <c r="AJ2418" s="200">
        <f t="shared" si="704"/>
        <v>4116526.778578762</v>
      </c>
      <c r="AK2418" s="201">
        <f t="shared" si="711"/>
        <v>0.16169705612508689</v>
      </c>
      <c r="AL2418" s="24"/>
      <c r="AM2418" s="24"/>
      <c r="AN2418" s="24"/>
      <c r="AO2418" s="24"/>
      <c r="AP2418" s="105" t="str">
        <f t="shared" si="712"/>
        <v>20247</v>
      </c>
      <c r="AQ2418" s="28" t="str">
        <f t="shared" si="713"/>
        <v>20247JPY</v>
      </c>
      <c r="AR2418" s="206" t="str">
        <f t="shared" si="714"/>
        <v>YAMAHA_Mounter</v>
      </c>
      <c r="AS2418" s="22">
        <f t="shared" si="715"/>
        <v>2</v>
      </c>
      <c r="AT2418" s="24" t="str">
        <f t="shared" si="716"/>
        <v>0-3 months</v>
      </c>
      <c r="AU2418" s="22" t="s">
        <v>3745</v>
      </c>
    </row>
    <row r="2419" spans="1:47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718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721"/>
        <v>1</v>
      </c>
      <c r="Z2419" s="196">
        <f t="shared" si="717"/>
        <v>15000000</v>
      </c>
      <c r="AA2419" s="22">
        <v>4.9500000000000002E-2</v>
      </c>
      <c r="AB2419" s="197">
        <f t="shared" si="719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03"/>
        <v>25458266.694690265</v>
      </c>
      <c r="AJ2419" s="200">
        <f t="shared" si="704"/>
        <v>4116526.778578762</v>
      </c>
      <c r="AK2419" s="201">
        <f t="shared" si="711"/>
        <v>0.16169705612508689</v>
      </c>
      <c r="AL2419" s="24"/>
      <c r="AM2419" s="24"/>
      <c r="AN2419" s="24"/>
      <c r="AO2419" s="24"/>
      <c r="AP2419" s="105" t="str">
        <f t="shared" si="712"/>
        <v>20247</v>
      </c>
      <c r="AQ2419" s="28" t="str">
        <f t="shared" si="713"/>
        <v>20247JPY</v>
      </c>
      <c r="AR2419" s="206" t="str">
        <f t="shared" si="714"/>
        <v>YAMAHA_Mounter</v>
      </c>
      <c r="AS2419" s="22">
        <f t="shared" si="715"/>
        <v>1</v>
      </c>
      <c r="AT2419" s="24" t="str">
        <f t="shared" si="716"/>
        <v>0-3 months</v>
      </c>
      <c r="AU2419" s="22" t="s">
        <v>3744</v>
      </c>
    </row>
    <row r="2420" spans="1:47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718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717"/>
        <v>670000</v>
      </c>
      <c r="AA2420" s="13">
        <v>1.22</v>
      </c>
      <c r="AB2420" s="21">
        <f t="shared" si="719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03"/>
        <v>28726768.133805312</v>
      </c>
      <c r="AJ2420" s="19">
        <f t="shared" si="704"/>
        <v>3853638.1988864429</v>
      </c>
      <c r="AK2420" s="20">
        <f t="shared" si="711"/>
        <v>0.1341479898099476</v>
      </c>
      <c r="AL2420" s="17"/>
      <c r="AM2420" s="17"/>
      <c r="AN2420" s="17"/>
      <c r="AO2420" s="17"/>
      <c r="AP2420" s="28" t="str">
        <f t="shared" si="712"/>
        <v>20223</v>
      </c>
      <c r="AQ2420" s="28" t="str">
        <f t="shared" si="713"/>
        <v>20223RMB</v>
      </c>
      <c r="AR2420" s="206" t="str">
        <f t="shared" si="714"/>
        <v>YAMAHA_Mounter</v>
      </c>
      <c r="AS2420" s="22">
        <f t="shared" si="715"/>
        <v>5</v>
      </c>
      <c r="AT2420" s="24" t="str">
        <f t="shared" si="716"/>
        <v>4-6 months</v>
      </c>
      <c r="AU2420" s="22" t="s">
        <v>3750</v>
      </c>
    </row>
    <row r="2421" spans="1:47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718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717"/>
        <v>1080000</v>
      </c>
      <c r="AA2421" s="13">
        <v>1.23</v>
      </c>
      <c r="AB2421" s="21">
        <f t="shared" si="719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03"/>
        <v>34109166.105589926</v>
      </c>
      <c r="AJ2421" s="19">
        <f t="shared" si="704"/>
        <v>4642032.7199573703</v>
      </c>
      <c r="AK2421" s="20">
        <f t="shared" si="711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2"/>
        <v>20185</v>
      </c>
      <c r="AQ2421" s="28" t="str">
        <f t="shared" si="713"/>
        <v>20185RMB</v>
      </c>
      <c r="AR2421" s="206" t="str">
        <f t="shared" si="714"/>
        <v>HELLER</v>
      </c>
      <c r="AS2421" s="22">
        <f t="shared" si="715"/>
        <v>3</v>
      </c>
      <c r="AT2421" s="24" t="str">
        <f t="shared" si="716"/>
        <v>0-3 months</v>
      </c>
      <c r="AU2421" s="22" t="s">
        <v>3743</v>
      </c>
    </row>
    <row r="2422" spans="1:47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718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717"/>
        <v>13000000</v>
      </c>
      <c r="AA2422" s="13">
        <v>7.3499999999999996E-2</v>
      </c>
      <c r="AB2422" s="21">
        <f t="shared" si="719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03"/>
        <v>21386017.707964607</v>
      </c>
      <c r="AJ2422" s="19">
        <f t="shared" si="704"/>
        <v>2238764.3265707968</v>
      </c>
      <c r="AK2422" s="20">
        <f t="shared" si="711"/>
        <v>0.10468355339185161</v>
      </c>
      <c r="AL2422" s="17"/>
      <c r="AM2422" s="17"/>
      <c r="AN2422" s="17"/>
      <c r="AO2422" s="17"/>
      <c r="AP2422" s="28" t="str">
        <f t="shared" si="712"/>
        <v>20198</v>
      </c>
      <c r="AQ2422" s="28" t="str">
        <f t="shared" si="713"/>
        <v>20198JPY</v>
      </c>
      <c r="AR2422" s="206" t="str">
        <f t="shared" si="714"/>
        <v>YAMAHA_Mounter</v>
      </c>
      <c r="AS2422" s="22">
        <f t="shared" si="715"/>
        <v>3</v>
      </c>
      <c r="AT2422" s="24" t="str">
        <f t="shared" si="716"/>
        <v>0-3 months</v>
      </c>
      <c r="AU2422" s="22" t="s">
        <v>3744</v>
      </c>
    </row>
    <row r="2423" spans="1:47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718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717"/>
        <v>20000000</v>
      </c>
      <c r="AA2423" s="13">
        <v>7.3499999999999996E-2</v>
      </c>
      <c r="AB2423" s="21">
        <f t="shared" si="719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03"/>
        <v>21386017.707964607</v>
      </c>
      <c r="AJ2423" s="19">
        <f t="shared" si="704"/>
        <v>2238764.3265707968</v>
      </c>
      <c r="AK2423" s="20">
        <f t="shared" si="711"/>
        <v>0.10468355339185161</v>
      </c>
      <c r="AL2423" s="17"/>
      <c r="AM2423" s="17"/>
      <c r="AN2423" s="17"/>
      <c r="AO2423" s="17"/>
      <c r="AP2423" s="28" t="str">
        <f t="shared" si="712"/>
        <v>20198</v>
      </c>
      <c r="AQ2423" s="28" t="str">
        <f t="shared" si="713"/>
        <v>20198JPY</v>
      </c>
      <c r="AR2423" s="206" t="str">
        <f t="shared" si="714"/>
        <v>YAMAHA_Mounter</v>
      </c>
      <c r="AS2423" s="22">
        <f t="shared" si="715"/>
        <v>3</v>
      </c>
      <c r="AT2423" s="24" t="str">
        <f t="shared" si="716"/>
        <v>0-3 months</v>
      </c>
      <c r="AU2423" s="22" t="s">
        <v>3744</v>
      </c>
    </row>
    <row r="2424" spans="1:47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718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717"/>
        <v>11200000</v>
      </c>
      <c r="AA2424" s="13">
        <v>7.5200000000000003E-2</v>
      </c>
      <c r="AB2424" s="21">
        <f t="shared" si="719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03"/>
        <v>37599388.802345134</v>
      </c>
      <c r="AJ2424" s="19">
        <f t="shared" si="704"/>
        <v>4866784.3630338367</v>
      </c>
      <c r="AK2424" s="20">
        <f t="shared" si="711"/>
        <v>0.12943785838163113</v>
      </c>
      <c r="AL2424" s="17"/>
      <c r="AM2424" s="17"/>
      <c r="AN2424" s="17"/>
      <c r="AO2424" s="17"/>
      <c r="AP2424" s="28" t="str">
        <f t="shared" si="712"/>
        <v>20199</v>
      </c>
      <c r="AQ2424" s="28" t="str">
        <f t="shared" si="713"/>
        <v>20199JPY</v>
      </c>
      <c r="AR2424" s="206" t="str">
        <f t="shared" si="714"/>
        <v>YAMAHA_Mounter</v>
      </c>
      <c r="AS2424" s="22">
        <f t="shared" si="715"/>
        <v>4</v>
      </c>
      <c r="AT2424" s="24" t="str">
        <f t="shared" si="716"/>
        <v>4-6 months</v>
      </c>
      <c r="AU2424" s="22" t="s">
        <v>3744</v>
      </c>
    </row>
    <row r="2425" spans="1:47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718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717"/>
        <v>508000</v>
      </c>
      <c r="AA2425" s="13">
        <v>1.23</v>
      </c>
      <c r="AB2425" s="21">
        <f t="shared" si="719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03"/>
        <v>29288201.603076916</v>
      </c>
      <c r="AJ2425" s="19">
        <f t="shared" si="704"/>
        <v>3870159.1769246152</v>
      </c>
      <c r="AK2425" s="20">
        <f t="shared" si="711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712"/>
        <v>20184</v>
      </c>
      <c r="AQ2425" s="28" t="str">
        <f t="shared" si="713"/>
        <v>20184RMB</v>
      </c>
      <c r="AR2425" s="206" t="str">
        <f t="shared" si="714"/>
        <v>YAMAHA_Mounter</v>
      </c>
      <c r="AS2425" s="22">
        <f t="shared" si="715"/>
        <v>0</v>
      </c>
      <c r="AT2425" s="24" t="str">
        <f t="shared" si="716"/>
        <v>0-3 months</v>
      </c>
      <c r="AU2425" s="22" t="s">
        <v>3240</v>
      </c>
    </row>
    <row r="2426" spans="1:47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718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717"/>
        <v>515000</v>
      </c>
      <c r="AA2426" s="13">
        <v>1.095</v>
      </c>
      <c r="AB2426" s="21">
        <f t="shared" si="719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03"/>
        <v>28647263.974455759</v>
      </c>
      <c r="AJ2426" s="19">
        <f t="shared" si="704"/>
        <v>3219855.6912513468</v>
      </c>
      <c r="AK2426" s="20">
        <f t="shared" si="711"/>
        <v>0.11239662168514358</v>
      </c>
      <c r="AL2426" s="17"/>
      <c r="AM2426" s="17"/>
      <c r="AN2426" s="17"/>
      <c r="AO2426" s="17"/>
      <c r="AP2426" s="28" t="str">
        <f t="shared" si="712"/>
        <v>201910</v>
      </c>
      <c r="AQ2426" s="28" t="str">
        <f t="shared" si="713"/>
        <v>201910RMB</v>
      </c>
      <c r="AR2426" s="206" t="str">
        <f t="shared" si="714"/>
        <v>YAMAHA_Mounter</v>
      </c>
      <c r="AS2426" s="22">
        <f t="shared" si="715"/>
        <v>1</v>
      </c>
      <c r="AT2426" s="24" t="str">
        <f t="shared" si="716"/>
        <v>0-3 months</v>
      </c>
      <c r="AU2426" s="22" t="s">
        <v>3240</v>
      </c>
    </row>
    <row r="2427" spans="1:47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718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717"/>
        <v>11022500</v>
      </c>
      <c r="AA2427" s="13">
        <v>7.3999999999999996E-2</v>
      </c>
      <c r="AB2427" s="21">
        <f t="shared" si="719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03"/>
        <v>34015877.71150443</v>
      </c>
      <c r="AJ2427" s="19">
        <f t="shared" si="704"/>
        <v>4446292.375441948</v>
      </c>
      <c r="AK2427" s="20">
        <f t="shared" si="711"/>
        <v>0.13071226364205143</v>
      </c>
      <c r="AL2427" s="17"/>
      <c r="AM2427" s="17"/>
      <c r="AN2427" s="17"/>
      <c r="AO2427" s="17"/>
      <c r="AP2427" s="28" t="str">
        <f t="shared" si="712"/>
        <v>20197</v>
      </c>
      <c r="AQ2427" s="28" t="str">
        <f t="shared" si="713"/>
        <v>20197JPY</v>
      </c>
      <c r="AR2427" s="206" t="str">
        <f t="shared" si="714"/>
        <v>YAMAHA_Mounter</v>
      </c>
      <c r="AS2427" s="22">
        <f t="shared" si="715"/>
        <v>1</v>
      </c>
      <c r="AT2427" s="24" t="str">
        <f t="shared" si="716"/>
        <v>0-3 months</v>
      </c>
      <c r="AU2427" s="22" t="s">
        <v>3745</v>
      </c>
    </row>
    <row r="2428" spans="1:47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718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717"/>
        <v>9000000</v>
      </c>
      <c r="AA2428" s="13">
        <v>7.3999999999999996E-2</v>
      </c>
      <c r="AB2428" s="21">
        <f t="shared" si="719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03"/>
        <v>34015877.71150443</v>
      </c>
      <c r="AJ2428" s="19">
        <f t="shared" si="704"/>
        <v>4446292.375441948</v>
      </c>
      <c r="AK2428" s="20">
        <f t="shared" si="711"/>
        <v>0.13071226364205143</v>
      </c>
      <c r="AL2428" s="17"/>
      <c r="AM2428" s="17"/>
      <c r="AN2428" s="17"/>
      <c r="AO2428" s="17"/>
      <c r="AP2428" s="28" t="str">
        <f t="shared" si="712"/>
        <v>20197</v>
      </c>
      <c r="AQ2428" s="28" t="str">
        <f t="shared" si="713"/>
        <v>20197JPY</v>
      </c>
      <c r="AR2428" s="206" t="str">
        <f t="shared" si="714"/>
        <v>YAMAHA_Mounter</v>
      </c>
      <c r="AS2428" s="22">
        <f t="shared" si="715"/>
        <v>1</v>
      </c>
      <c r="AT2428" s="24" t="str">
        <f t="shared" si="716"/>
        <v>0-3 months</v>
      </c>
      <c r="AU2428" s="22" t="s">
        <v>3745</v>
      </c>
    </row>
    <row r="2429" spans="1:47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718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717"/>
        <v>9000000</v>
      </c>
      <c r="AA2429" s="13">
        <v>7.3999999999999996E-2</v>
      </c>
      <c r="AB2429" s="21">
        <f t="shared" si="719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03"/>
        <v>34015877.71150443</v>
      </c>
      <c r="AJ2429" s="19">
        <f t="shared" si="704"/>
        <v>4446292.375441948</v>
      </c>
      <c r="AK2429" s="20">
        <f t="shared" si="711"/>
        <v>0.13071226364205143</v>
      </c>
      <c r="AL2429" s="17"/>
      <c r="AM2429" s="17"/>
      <c r="AN2429" s="17"/>
      <c r="AO2429" s="17"/>
      <c r="AP2429" s="28" t="str">
        <f t="shared" si="712"/>
        <v>20197</v>
      </c>
      <c r="AQ2429" s="28" t="str">
        <f t="shared" si="713"/>
        <v>20197JPY</v>
      </c>
      <c r="AR2429" s="206" t="str">
        <f t="shared" si="714"/>
        <v>YAMAHA_Mounter</v>
      </c>
      <c r="AS2429" s="22">
        <f t="shared" si="715"/>
        <v>1</v>
      </c>
      <c r="AT2429" s="24" t="str">
        <f t="shared" si="716"/>
        <v>0-3 months</v>
      </c>
      <c r="AU2429" s="22" t="s">
        <v>3745</v>
      </c>
    </row>
    <row r="2430" spans="1:47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718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717"/>
        <v>9000000</v>
      </c>
      <c r="AA2430" s="13">
        <v>7.3999999999999996E-2</v>
      </c>
      <c r="AB2430" s="21">
        <f t="shared" si="719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03"/>
        <v>34015877.71150443</v>
      </c>
      <c r="AJ2430" s="19">
        <f t="shared" si="704"/>
        <v>4446292.375441948</v>
      </c>
      <c r="AK2430" s="20">
        <f t="shared" si="711"/>
        <v>0.13071226364205143</v>
      </c>
      <c r="AL2430" s="17"/>
      <c r="AM2430" s="17"/>
      <c r="AN2430" s="17"/>
      <c r="AO2430" s="17"/>
      <c r="AP2430" s="28" t="str">
        <f t="shared" si="712"/>
        <v>20197</v>
      </c>
      <c r="AQ2430" s="28" t="str">
        <f t="shared" si="713"/>
        <v>20197JPY</v>
      </c>
      <c r="AR2430" s="206" t="str">
        <f t="shared" si="714"/>
        <v>YAMAHA_Mounter</v>
      </c>
      <c r="AS2430" s="22">
        <f t="shared" si="715"/>
        <v>1</v>
      </c>
      <c r="AT2430" s="24" t="str">
        <f t="shared" si="716"/>
        <v>0-3 months</v>
      </c>
      <c r="AU2430" s="22" t="s">
        <v>3745</v>
      </c>
    </row>
    <row r="2431" spans="1:47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718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717"/>
        <v>11022500</v>
      </c>
      <c r="AA2431" s="13">
        <v>7.3999999999999996E-2</v>
      </c>
      <c r="AB2431" s="21">
        <f t="shared" si="719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03"/>
        <v>34015877.71150443</v>
      </c>
      <c r="AJ2431" s="19">
        <f t="shared" si="704"/>
        <v>4446292.375441948</v>
      </c>
      <c r="AK2431" s="20">
        <f t="shared" si="711"/>
        <v>0.13071226364205143</v>
      </c>
      <c r="AL2431" s="17"/>
      <c r="AM2431" s="17"/>
      <c r="AN2431" s="17"/>
      <c r="AO2431" s="17"/>
      <c r="AP2431" s="28" t="str">
        <f t="shared" si="712"/>
        <v>20197</v>
      </c>
      <c r="AQ2431" s="28" t="str">
        <f t="shared" si="713"/>
        <v>20197JPY</v>
      </c>
      <c r="AR2431" s="206" t="str">
        <f t="shared" si="714"/>
        <v>YAMAHA_Mounter</v>
      </c>
      <c r="AS2431" s="22">
        <f t="shared" si="715"/>
        <v>1</v>
      </c>
      <c r="AT2431" s="24" t="str">
        <f t="shared" si="716"/>
        <v>0-3 months</v>
      </c>
      <c r="AU2431" s="22" t="s">
        <v>3745</v>
      </c>
    </row>
    <row r="2432" spans="1:47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718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717"/>
        <v>15100000</v>
      </c>
      <c r="AA2432" s="13">
        <v>7.3599999999999999E-2</v>
      </c>
      <c r="AB2432" s="21">
        <f t="shared" si="719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03"/>
        <v>33477255.428389374</v>
      </c>
      <c r="AJ2432" s="19">
        <f t="shared" si="704"/>
        <v>4578663.362915583</v>
      </c>
      <c r="AK2432" s="20">
        <f t="shared" si="711"/>
        <v>0.13676937682988152</v>
      </c>
      <c r="AL2432" s="17"/>
      <c r="AM2432" s="17"/>
      <c r="AN2432" s="17"/>
      <c r="AO2432" s="17"/>
      <c r="AP2432" s="28" t="str">
        <f t="shared" si="712"/>
        <v>20204</v>
      </c>
      <c r="AQ2432" s="28" t="str">
        <f t="shared" si="713"/>
        <v>20204JPY</v>
      </c>
      <c r="AR2432" s="206" t="str">
        <f t="shared" si="714"/>
        <v>YAMAHA_Mounter</v>
      </c>
      <c r="AS2432" s="22">
        <f t="shared" si="715"/>
        <v>1</v>
      </c>
      <c r="AT2432" s="24" t="str">
        <f t="shared" si="716"/>
        <v>0-3 months</v>
      </c>
      <c r="AU2432" s="22" t="s">
        <v>3745</v>
      </c>
    </row>
    <row r="2433" spans="1:47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718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717"/>
        <v>21400000</v>
      </c>
      <c r="AA2433" s="13">
        <v>7.3400000000000007E-2</v>
      </c>
      <c r="AB2433" s="21">
        <f t="shared" si="719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03"/>
        <v>35384300.169380538</v>
      </c>
      <c r="AJ2433" s="19">
        <f t="shared" si="704"/>
        <v>5044538.8896988509</v>
      </c>
      <c r="AK2433" s="20">
        <f t="shared" si="711"/>
        <v>0.14256432557804533</v>
      </c>
      <c r="AL2433" s="17"/>
      <c r="AM2433" s="17"/>
      <c r="AN2433" s="17"/>
      <c r="AO2433" s="17"/>
      <c r="AP2433" s="28" t="str">
        <f t="shared" si="712"/>
        <v>20207</v>
      </c>
      <c r="AQ2433" s="28" t="str">
        <f t="shared" si="713"/>
        <v>20207JPY</v>
      </c>
      <c r="AR2433" s="206" t="str">
        <f t="shared" si="714"/>
        <v>YAMAHA_Mounter</v>
      </c>
      <c r="AS2433" s="22">
        <f t="shared" si="715"/>
        <v>0</v>
      </c>
      <c r="AT2433" s="24" t="str">
        <f t="shared" si="716"/>
        <v>0-3 months</v>
      </c>
      <c r="AU2433" s="22" t="s">
        <v>3745</v>
      </c>
    </row>
    <row r="2434" spans="1:47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718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717"/>
        <v>13000000</v>
      </c>
      <c r="AA2434" s="13">
        <v>7.4899999999999994E-2</v>
      </c>
      <c r="AB2434" s="21">
        <f t="shared" si="719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ref="AI2434:AI2497" si="722">IF(P2434="C66 SERVICE","",SUMIFS(AB:AB,F:F,F2434,G:G,G2434,E:E,E2434))</f>
        <v>47907808.356810622</v>
      </c>
      <c r="AJ2434" s="19">
        <f t="shared" ref="AJ2434:AJ2497" si="723">IF(P2434="C66 SERVICE","",SUMIFS(AC:AC,F:F,F2434,G:G,G2434,E:E,E2434))</f>
        <v>6027384.8806384448</v>
      </c>
      <c r="AK2434" s="20">
        <f t="shared" si="711"/>
        <v>0.12581216063459488</v>
      </c>
      <c r="AL2434" s="17"/>
      <c r="AM2434" s="17"/>
      <c r="AN2434" s="17"/>
      <c r="AO2434" s="17"/>
      <c r="AP2434" s="28" t="str">
        <f t="shared" si="712"/>
        <v>20209</v>
      </c>
      <c r="AQ2434" s="28" t="str">
        <f t="shared" si="713"/>
        <v>20209JPY</v>
      </c>
      <c r="AR2434" s="206" t="str">
        <f t="shared" si="714"/>
        <v>YAMAHA_Mounter</v>
      </c>
      <c r="AS2434" s="22">
        <f t="shared" si="715"/>
        <v>2</v>
      </c>
      <c r="AT2434" s="24" t="str">
        <f t="shared" si="716"/>
        <v>0-3 months</v>
      </c>
      <c r="AU2434" s="22" t="s">
        <v>3240</v>
      </c>
    </row>
    <row r="2435" spans="1:47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718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717"/>
        <v>13000000</v>
      </c>
      <c r="AA2435" s="13">
        <v>7.4899999999999994E-2</v>
      </c>
      <c r="AB2435" s="21">
        <f t="shared" si="719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22"/>
        <v>47907808.356810622</v>
      </c>
      <c r="AJ2435" s="19">
        <f t="shared" si="723"/>
        <v>6027384.8806384448</v>
      </c>
      <c r="AK2435" s="20">
        <f t="shared" si="711"/>
        <v>0.12581216063459488</v>
      </c>
      <c r="AL2435" s="17"/>
      <c r="AM2435" s="17"/>
      <c r="AN2435" s="17"/>
      <c r="AO2435" s="17"/>
      <c r="AP2435" s="28" t="str">
        <f t="shared" si="712"/>
        <v>20209</v>
      </c>
      <c r="AQ2435" s="28" t="str">
        <f t="shared" si="713"/>
        <v>20209JPY</v>
      </c>
      <c r="AR2435" s="206" t="str">
        <f t="shared" si="714"/>
        <v>YAMAHA_Mounter</v>
      </c>
      <c r="AS2435" s="22">
        <f t="shared" si="715"/>
        <v>2</v>
      </c>
      <c r="AT2435" s="24" t="str">
        <f t="shared" si="716"/>
        <v>0-3 months</v>
      </c>
      <c r="AU2435" s="22" t="s">
        <v>3240</v>
      </c>
    </row>
    <row r="2436" spans="1:47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718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717"/>
        <v>9240000</v>
      </c>
      <c r="AA2436" s="13">
        <v>7.4899999999999994E-2</v>
      </c>
      <c r="AB2436" s="21">
        <f t="shared" si="719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22"/>
        <v>47907808.356810622</v>
      </c>
      <c r="AJ2436" s="19">
        <f t="shared" si="723"/>
        <v>6027384.8806384448</v>
      </c>
      <c r="AK2436" s="20">
        <f t="shared" si="711"/>
        <v>0.12581216063459488</v>
      </c>
      <c r="AL2436" s="17"/>
      <c r="AM2436" s="17"/>
      <c r="AN2436" s="17"/>
      <c r="AO2436" s="17"/>
      <c r="AP2436" s="28" t="str">
        <f t="shared" si="712"/>
        <v>20209</v>
      </c>
      <c r="AQ2436" s="28" t="str">
        <f t="shared" si="713"/>
        <v>20209JPY</v>
      </c>
      <c r="AR2436" s="206" t="str">
        <f t="shared" si="714"/>
        <v>YAMAHA_Mounter</v>
      </c>
      <c r="AS2436" s="22">
        <f t="shared" si="715"/>
        <v>2</v>
      </c>
      <c r="AT2436" s="24" t="str">
        <f t="shared" si="716"/>
        <v>0-3 months</v>
      </c>
      <c r="AU2436" s="22" t="s">
        <v>3240</v>
      </c>
    </row>
    <row r="2437" spans="1:47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718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717"/>
        <v>9240000</v>
      </c>
      <c r="AA2437" s="13">
        <v>7.4899999999999994E-2</v>
      </c>
      <c r="AB2437" s="21">
        <f t="shared" si="719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22"/>
        <v>47907808.356810622</v>
      </c>
      <c r="AJ2437" s="19">
        <f t="shared" si="723"/>
        <v>6027384.8806384448</v>
      </c>
      <c r="AK2437" s="20">
        <f t="shared" si="711"/>
        <v>0.12581216063459488</v>
      </c>
      <c r="AL2437" s="17"/>
      <c r="AM2437" s="17"/>
      <c r="AN2437" s="17"/>
      <c r="AO2437" s="17"/>
      <c r="AP2437" s="28" t="str">
        <f t="shared" si="712"/>
        <v>20209</v>
      </c>
      <c r="AQ2437" s="28" t="str">
        <f t="shared" si="713"/>
        <v>20209JPY</v>
      </c>
      <c r="AR2437" s="206" t="str">
        <f t="shared" si="714"/>
        <v>YAMAHA_Mounter</v>
      </c>
      <c r="AS2437" s="22">
        <f t="shared" si="715"/>
        <v>2</v>
      </c>
      <c r="AT2437" s="24" t="str">
        <f t="shared" si="716"/>
        <v>0-3 months</v>
      </c>
      <c r="AU2437" s="22" t="s">
        <v>3240</v>
      </c>
    </row>
    <row r="2438" spans="1:47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718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727">IF(W2438="RMB","1.13", "1")</f>
        <v>1</v>
      </c>
      <c r="Z2438" s="18">
        <f t="shared" si="717"/>
        <v>14760000</v>
      </c>
      <c r="AA2438" s="13">
        <v>7.6799999999999993E-2</v>
      </c>
      <c r="AB2438" s="21">
        <f t="shared" si="719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si="722"/>
        <v>45803245.025628321</v>
      </c>
      <c r="AJ2438" s="19">
        <f t="shared" si="723"/>
        <v>5664636.2584379362</v>
      </c>
      <c r="AK2438" s="20">
        <f t="shared" ref="AK2438:AK2501" si="730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1">IF(F2438="","",F2438&amp;G2438)</f>
        <v>20211</v>
      </c>
      <c r="AQ2438" s="28" t="str">
        <f t="shared" ref="AQ2438:AQ2501" si="732">IF(W2438="","",F2438&amp;G2438&amp;W2438)</f>
        <v>20211JPY</v>
      </c>
      <c r="AR2438" s="206" t="str">
        <f t="shared" ref="AR2438:AR2501" si="733">IFERROR(IF(AND(M2438="YAMAHA", R2438="C28"), "YAMAHA_Non_Mounter", IF(AND(M2438="YAMAHA", R2438="C49"), "YAMAHA_Mounter", M2438)),"")</f>
        <v>YAMAHA_Mounter</v>
      </c>
      <c r="AS2438" s="22">
        <f t="shared" ref="AS2438:AS2501" si="734">IFERROR(IF(OR(G2438="TBA", G2438=""), "", DATEDIF(DATE(B2438, C2438, 1), DATE(F2438, G2438, 1), "M")),"")</f>
        <v>2</v>
      </c>
      <c r="AT2438" s="24" t="str">
        <f t="shared" ref="AT2438:AT2501" si="735">IF(ISNUMBER(AS2438), IF(AS2438&gt;=0, IF(AS2438&lt;=3, "0-3 months", IF(AS2438&lt;=6, "4-6 months", "&gt; 6 months"))), "")</f>
        <v>0-3 months</v>
      </c>
      <c r="AU2438" s="22" t="s">
        <v>3745</v>
      </c>
    </row>
    <row r="2439" spans="1:47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718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727"/>
        <v>1</v>
      </c>
      <c r="Z2439" s="18">
        <f t="shared" si="717"/>
        <v>8250000</v>
      </c>
      <c r="AA2439" s="13">
        <v>7.6799999999999993E-2</v>
      </c>
      <c r="AB2439" s="21">
        <f t="shared" si="719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22"/>
        <v>45803245.025628321</v>
      </c>
      <c r="AJ2439" s="19">
        <f t="shared" si="723"/>
        <v>5664636.2584379362</v>
      </c>
      <c r="AK2439" s="20">
        <f t="shared" si="730"/>
        <v>0.12367325186825515</v>
      </c>
      <c r="AL2439" s="17"/>
      <c r="AM2439" s="17"/>
      <c r="AN2439" s="17"/>
      <c r="AO2439" s="17"/>
      <c r="AP2439" s="28" t="str">
        <f t="shared" si="731"/>
        <v>20211</v>
      </c>
      <c r="AQ2439" s="28" t="str">
        <f t="shared" si="732"/>
        <v>20211JPY</v>
      </c>
      <c r="AR2439" s="206" t="str">
        <f t="shared" si="733"/>
        <v>YAMAHA_Mounter</v>
      </c>
      <c r="AS2439" s="22">
        <f t="shared" si="734"/>
        <v>2</v>
      </c>
      <c r="AT2439" s="24" t="str">
        <f t="shared" si="735"/>
        <v>0-3 months</v>
      </c>
      <c r="AU2439" s="22" t="s">
        <v>3745</v>
      </c>
    </row>
    <row r="2440" spans="1:47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718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727"/>
        <v>1</v>
      </c>
      <c r="Z2440" s="18">
        <f t="shared" si="717"/>
        <v>8250000</v>
      </c>
      <c r="AA2440" s="13">
        <v>7.6799999999999993E-2</v>
      </c>
      <c r="AB2440" s="21">
        <f t="shared" si="719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22"/>
        <v>45803245.025628321</v>
      </c>
      <c r="AJ2440" s="19">
        <f t="shared" si="723"/>
        <v>5664636.2584379362</v>
      </c>
      <c r="AK2440" s="20">
        <f t="shared" si="730"/>
        <v>0.12367325186825515</v>
      </c>
      <c r="AL2440" s="17"/>
      <c r="AM2440" s="17"/>
      <c r="AN2440" s="17"/>
      <c r="AO2440" s="17"/>
      <c r="AP2440" s="28" t="str">
        <f t="shared" si="731"/>
        <v>20211</v>
      </c>
      <c r="AQ2440" s="28" t="str">
        <f t="shared" si="732"/>
        <v>20211JPY</v>
      </c>
      <c r="AR2440" s="206" t="str">
        <f t="shared" si="733"/>
        <v>YAMAHA_Mounter</v>
      </c>
      <c r="AS2440" s="22">
        <f t="shared" si="734"/>
        <v>2</v>
      </c>
      <c r="AT2440" s="24" t="str">
        <f t="shared" si="735"/>
        <v>0-3 months</v>
      </c>
      <c r="AU2440" s="22" t="s">
        <v>3745</v>
      </c>
    </row>
    <row r="2441" spans="1:47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718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727"/>
        <v>1</v>
      </c>
      <c r="Z2441" s="18">
        <f t="shared" si="717"/>
        <v>14760000</v>
      </c>
      <c r="AA2441" s="13">
        <v>7.6799999999999993E-2</v>
      </c>
      <c r="AB2441" s="21">
        <f t="shared" si="719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22"/>
        <v>45803245.025628321</v>
      </c>
      <c r="AJ2441" s="19">
        <f t="shared" si="723"/>
        <v>5664636.2584379362</v>
      </c>
      <c r="AK2441" s="20">
        <f t="shared" si="730"/>
        <v>0.12367325186825515</v>
      </c>
      <c r="AL2441" s="17"/>
      <c r="AM2441" s="17"/>
      <c r="AN2441" s="17"/>
      <c r="AO2441" s="17" t="s">
        <v>1523</v>
      </c>
      <c r="AP2441" s="28" t="str">
        <f t="shared" si="731"/>
        <v>20211</v>
      </c>
      <c r="AQ2441" s="28" t="str">
        <f t="shared" si="732"/>
        <v>20211JPY</v>
      </c>
      <c r="AR2441" s="206" t="str">
        <f t="shared" si="733"/>
        <v>YAMAHA_Mounter</v>
      </c>
      <c r="AS2441" s="22">
        <f t="shared" si="734"/>
        <v>2</v>
      </c>
      <c r="AT2441" s="24" t="str">
        <f t="shared" si="735"/>
        <v>0-3 months</v>
      </c>
      <c r="AU2441" s="22" t="s">
        <v>3745</v>
      </c>
    </row>
    <row r="2442" spans="1:47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718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727"/>
        <v>1</v>
      </c>
      <c r="Z2442" s="18">
        <f t="shared" ref="Z2442:Z2505" si="736">IF(X2442="","",X2442*MAX(O2442,N2442))</f>
        <v>14760000</v>
      </c>
      <c r="AA2442" s="13">
        <v>7.6799999999999993E-2</v>
      </c>
      <c r="AB2442" s="21">
        <f t="shared" si="719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22"/>
        <v>45803245.025628321</v>
      </c>
      <c r="AJ2442" s="19">
        <f t="shared" si="723"/>
        <v>5664636.2584379362</v>
      </c>
      <c r="AK2442" s="20">
        <f t="shared" si="730"/>
        <v>0.12367325186825515</v>
      </c>
      <c r="AL2442" s="17"/>
      <c r="AM2442" s="17"/>
      <c r="AN2442" s="17"/>
      <c r="AO2442" s="17" t="s">
        <v>1523</v>
      </c>
      <c r="AP2442" s="28" t="str">
        <f t="shared" si="731"/>
        <v>20211</v>
      </c>
      <c r="AQ2442" s="28" t="str">
        <f t="shared" si="732"/>
        <v>20211JPY</v>
      </c>
      <c r="AR2442" s="206" t="str">
        <f t="shared" si="733"/>
        <v>YAMAHA_Mounter</v>
      </c>
      <c r="AS2442" s="22">
        <f t="shared" si="734"/>
        <v>2</v>
      </c>
      <c r="AT2442" s="24" t="str">
        <f t="shared" si="735"/>
        <v>0-3 months</v>
      </c>
      <c r="AU2442" s="22" t="s">
        <v>3745</v>
      </c>
    </row>
    <row r="2443" spans="1:47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718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727"/>
        <v>1</v>
      </c>
      <c r="Z2443" s="18">
        <f t="shared" si="736"/>
        <v>8250000</v>
      </c>
      <c r="AA2443" s="13">
        <v>7.6799999999999993E-2</v>
      </c>
      <c r="AB2443" s="21">
        <f t="shared" si="719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22"/>
        <v>45803245.025628321</v>
      </c>
      <c r="AJ2443" s="19">
        <f t="shared" si="723"/>
        <v>5664636.2584379362</v>
      </c>
      <c r="AK2443" s="20">
        <f t="shared" si="730"/>
        <v>0.12367325186825515</v>
      </c>
      <c r="AL2443" s="17"/>
      <c r="AM2443" s="17"/>
      <c r="AN2443" s="17"/>
      <c r="AO2443" s="17" t="s">
        <v>1512</v>
      </c>
      <c r="AP2443" s="28" t="str">
        <f t="shared" si="731"/>
        <v>20211</v>
      </c>
      <c r="AQ2443" s="28" t="str">
        <f t="shared" si="732"/>
        <v>20211JPY</v>
      </c>
      <c r="AR2443" s="206" t="str">
        <f t="shared" si="733"/>
        <v>YAMAHA_Mounter</v>
      </c>
      <c r="AS2443" s="22">
        <f t="shared" si="734"/>
        <v>2</v>
      </c>
      <c r="AT2443" s="24" t="str">
        <f t="shared" si="735"/>
        <v>0-3 months</v>
      </c>
      <c r="AU2443" s="22" t="s">
        <v>3745</v>
      </c>
    </row>
    <row r="2444" spans="1:47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718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727"/>
        <v>1</v>
      </c>
      <c r="Z2444" s="18">
        <f t="shared" si="736"/>
        <v>8250000</v>
      </c>
      <c r="AA2444" s="13">
        <v>7.6799999999999993E-2</v>
      </c>
      <c r="AB2444" s="21">
        <f t="shared" si="719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22"/>
        <v>45803245.025628321</v>
      </c>
      <c r="AJ2444" s="19">
        <f t="shared" si="723"/>
        <v>5664636.2584379362</v>
      </c>
      <c r="AK2444" s="20">
        <f t="shared" si="730"/>
        <v>0.12367325186825515</v>
      </c>
      <c r="AL2444" s="17"/>
      <c r="AM2444" s="17"/>
      <c r="AN2444" s="17"/>
      <c r="AO2444" s="17" t="s">
        <v>1512</v>
      </c>
      <c r="AP2444" s="28" t="str">
        <f t="shared" si="731"/>
        <v>20211</v>
      </c>
      <c r="AQ2444" s="28" t="str">
        <f t="shared" si="732"/>
        <v>20211JPY</v>
      </c>
      <c r="AR2444" s="206" t="str">
        <f t="shared" si="733"/>
        <v>YAMAHA_Mounter</v>
      </c>
      <c r="AS2444" s="22">
        <f t="shared" si="734"/>
        <v>2</v>
      </c>
      <c r="AT2444" s="24" t="str">
        <f t="shared" si="735"/>
        <v>0-3 months</v>
      </c>
      <c r="AU2444" s="22" t="s">
        <v>3745</v>
      </c>
    </row>
    <row r="2445" spans="1:47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718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727"/>
        <v>1</v>
      </c>
      <c r="Z2445" s="18">
        <f t="shared" si="736"/>
        <v>11500000</v>
      </c>
      <c r="AA2445" s="13">
        <v>7.4499999999999997E-2</v>
      </c>
      <c r="AB2445" s="21">
        <f t="shared" si="719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22"/>
        <v>57778307.282035396</v>
      </c>
      <c r="AJ2445" s="19">
        <f t="shared" si="723"/>
        <v>7259860.7225420559</v>
      </c>
      <c r="AK2445" s="20">
        <f t="shared" si="730"/>
        <v>0.12565028406083667</v>
      </c>
      <c r="AL2445" s="17"/>
      <c r="AM2445" s="17"/>
      <c r="AN2445" s="17"/>
      <c r="AO2445" s="17"/>
      <c r="AP2445" s="28" t="str">
        <f t="shared" si="731"/>
        <v>20213</v>
      </c>
      <c r="AQ2445" s="28" t="str">
        <f t="shared" si="732"/>
        <v>20213JPY</v>
      </c>
      <c r="AR2445" s="206" t="str">
        <f t="shared" si="733"/>
        <v>YAMAHA_Mounter</v>
      </c>
      <c r="AS2445" s="22">
        <f t="shared" si="734"/>
        <v>3</v>
      </c>
      <c r="AT2445" s="24" t="str">
        <f t="shared" si="735"/>
        <v>0-3 months</v>
      </c>
      <c r="AU2445" s="22" t="s">
        <v>3745</v>
      </c>
    </row>
    <row r="2446" spans="1:47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718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727"/>
        <v>1</v>
      </c>
      <c r="Z2446" s="18">
        <f t="shared" si="736"/>
        <v>14500000</v>
      </c>
      <c r="AA2446" s="13">
        <v>7.2099999999999997E-2</v>
      </c>
      <c r="AB2446" s="21">
        <f t="shared" si="719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22"/>
        <v>54700260.692079648</v>
      </c>
      <c r="AJ2446" s="19">
        <f t="shared" si="723"/>
        <v>7482899.5749188727</v>
      </c>
      <c r="AK2446" s="20">
        <f t="shared" si="730"/>
        <v>0.13679824337660537</v>
      </c>
      <c r="AL2446" s="17"/>
      <c r="AM2446" s="17"/>
      <c r="AN2446" s="17"/>
      <c r="AO2446" s="17"/>
      <c r="AP2446" s="28" t="str">
        <f t="shared" si="731"/>
        <v>20216</v>
      </c>
      <c r="AQ2446" s="28" t="str">
        <f t="shared" si="732"/>
        <v>20216JPY</v>
      </c>
      <c r="AR2446" s="206" t="str">
        <f t="shared" si="733"/>
        <v>YAMAHA_Mounter</v>
      </c>
      <c r="AS2446" s="22">
        <f t="shared" si="734"/>
        <v>3</v>
      </c>
      <c r="AT2446" s="24" t="str">
        <f t="shared" si="735"/>
        <v>0-3 months</v>
      </c>
      <c r="AU2446" s="22" t="s">
        <v>3745</v>
      </c>
    </row>
    <row r="2447" spans="1:47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718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727"/>
        <v>1</v>
      </c>
      <c r="Z2447" s="18">
        <f t="shared" si="736"/>
        <v>14500000</v>
      </c>
      <c r="AA2447" s="13">
        <v>7.2099999999999997E-2</v>
      </c>
      <c r="AB2447" s="21">
        <f t="shared" si="719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22"/>
        <v>54700260.692079648</v>
      </c>
      <c r="AJ2447" s="19">
        <f t="shared" si="723"/>
        <v>7482899.5749188727</v>
      </c>
      <c r="AK2447" s="20">
        <f t="shared" si="730"/>
        <v>0.13679824337660537</v>
      </c>
      <c r="AL2447" s="17"/>
      <c r="AM2447" s="17"/>
      <c r="AN2447" s="17"/>
      <c r="AO2447" s="17"/>
      <c r="AP2447" s="28" t="str">
        <f t="shared" si="731"/>
        <v>20216</v>
      </c>
      <c r="AQ2447" s="28" t="str">
        <f t="shared" si="732"/>
        <v>20216JPY</v>
      </c>
      <c r="AR2447" s="206" t="str">
        <f t="shared" si="733"/>
        <v>YAMAHA_Mounter</v>
      </c>
      <c r="AS2447" s="22">
        <f t="shared" si="734"/>
        <v>3</v>
      </c>
      <c r="AT2447" s="24" t="str">
        <f t="shared" si="735"/>
        <v>0-3 months</v>
      </c>
      <c r="AU2447" s="22" t="s">
        <v>3745</v>
      </c>
    </row>
    <row r="2448" spans="1:47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718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727"/>
        <v>1</v>
      </c>
      <c r="Z2448" s="18">
        <f t="shared" si="736"/>
        <v>7340000</v>
      </c>
      <c r="AA2448" s="13">
        <v>7.2099999999999997E-2</v>
      </c>
      <c r="AB2448" s="21">
        <f t="shared" si="719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22"/>
        <v>54700260.692079648</v>
      </c>
      <c r="AJ2448" s="19">
        <f t="shared" si="723"/>
        <v>7482899.5749188727</v>
      </c>
      <c r="AK2448" s="20">
        <f t="shared" si="730"/>
        <v>0.13679824337660537</v>
      </c>
      <c r="AL2448" s="17"/>
      <c r="AM2448" s="17"/>
      <c r="AN2448" s="17"/>
      <c r="AO2448" s="17"/>
      <c r="AP2448" s="28" t="str">
        <f t="shared" si="731"/>
        <v>20216</v>
      </c>
      <c r="AQ2448" s="28" t="str">
        <f t="shared" si="732"/>
        <v>20216JPY</v>
      </c>
      <c r="AR2448" s="206" t="str">
        <f t="shared" si="733"/>
        <v>YAMAHA_Mounter</v>
      </c>
      <c r="AS2448" s="22">
        <f t="shared" si="734"/>
        <v>3</v>
      </c>
      <c r="AT2448" s="24" t="str">
        <f t="shared" si="735"/>
        <v>0-3 months</v>
      </c>
      <c r="AU2448" s="22" t="s">
        <v>3745</v>
      </c>
    </row>
    <row r="2449" spans="1:47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718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727"/>
        <v>1</v>
      </c>
      <c r="Z2449" s="18">
        <f t="shared" si="736"/>
        <v>7340000</v>
      </c>
      <c r="AA2449" s="13">
        <v>7.17E-2</v>
      </c>
      <c r="AB2449" s="21">
        <f t="shared" si="719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22"/>
        <v>41443303.53761062</v>
      </c>
      <c r="AJ2449" s="19">
        <f t="shared" si="723"/>
        <v>6194988.76643031</v>
      </c>
      <c r="AK2449" s="20">
        <f t="shared" si="730"/>
        <v>0.1494810557466355</v>
      </c>
      <c r="AL2449" s="17"/>
      <c r="AM2449" s="17"/>
      <c r="AN2449" s="17"/>
      <c r="AO2449" s="17"/>
      <c r="AP2449" s="28" t="str">
        <f t="shared" si="731"/>
        <v>20217</v>
      </c>
      <c r="AQ2449" s="28" t="str">
        <f t="shared" si="732"/>
        <v>20217JPY</v>
      </c>
      <c r="AR2449" s="206" t="str">
        <f t="shared" si="733"/>
        <v>YAMAHA_Mounter</v>
      </c>
      <c r="AS2449" s="22">
        <f t="shared" si="734"/>
        <v>4</v>
      </c>
      <c r="AT2449" s="24" t="str">
        <f t="shared" si="735"/>
        <v>4-6 months</v>
      </c>
      <c r="AU2449" s="22" t="s">
        <v>3745</v>
      </c>
    </row>
    <row r="2450" spans="1:47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718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727"/>
        <v>1</v>
      </c>
      <c r="Z2450" s="18">
        <f t="shared" si="736"/>
        <v>14500000</v>
      </c>
      <c r="AA2450" s="13">
        <v>7.17E-2</v>
      </c>
      <c r="AB2450" s="21">
        <f t="shared" si="719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22"/>
        <v>41443303.53761062</v>
      </c>
      <c r="AJ2450" s="19">
        <f t="shared" si="723"/>
        <v>6194988.76643031</v>
      </c>
      <c r="AK2450" s="20">
        <f t="shared" si="730"/>
        <v>0.1494810557466355</v>
      </c>
      <c r="AL2450" s="17"/>
      <c r="AM2450" s="17"/>
      <c r="AN2450" s="17"/>
      <c r="AO2450" s="17"/>
      <c r="AP2450" s="28" t="str">
        <f t="shared" si="731"/>
        <v>20217</v>
      </c>
      <c r="AQ2450" s="28" t="str">
        <f t="shared" si="732"/>
        <v>20217JPY</v>
      </c>
      <c r="AR2450" s="206" t="str">
        <f t="shared" si="733"/>
        <v>YAMAHA_Mounter</v>
      </c>
      <c r="AS2450" s="22">
        <f t="shared" si="734"/>
        <v>4</v>
      </c>
      <c r="AT2450" s="24" t="str">
        <f t="shared" si="735"/>
        <v>4-6 months</v>
      </c>
      <c r="AU2450" s="22" t="s">
        <v>3745</v>
      </c>
    </row>
    <row r="2451" spans="1:47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718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727"/>
        <v>1</v>
      </c>
      <c r="Z2451" s="18">
        <f t="shared" si="736"/>
        <v>14500000</v>
      </c>
      <c r="AA2451" s="13">
        <v>7.17E-2</v>
      </c>
      <c r="AB2451" s="21">
        <f t="shared" si="719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22"/>
        <v>41443303.53761062</v>
      </c>
      <c r="AJ2451" s="19">
        <f t="shared" si="723"/>
        <v>6194988.76643031</v>
      </c>
      <c r="AK2451" s="20">
        <f t="shared" si="730"/>
        <v>0.1494810557466355</v>
      </c>
      <c r="AL2451" s="17"/>
      <c r="AM2451" s="17"/>
      <c r="AN2451" s="17"/>
      <c r="AO2451" s="17"/>
      <c r="AP2451" s="28" t="str">
        <f t="shared" si="731"/>
        <v>20217</v>
      </c>
      <c r="AQ2451" s="28" t="str">
        <f t="shared" si="732"/>
        <v>20217JPY</v>
      </c>
      <c r="AR2451" s="206" t="str">
        <f t="shared" si="733"/>
        <v>YAMAHA_Mounter</v>
      </c>
      <c r="AS2451" s="22">
        <f t="shared" si="734"/>
        <v>4</v>
      </c>
      <c r="AT2451" s="24" t="str">
        <f t="shared" si="735"/>
        <v>4-6 months</v>
      </c>
      <c r="AU2451" s="22" t="s">
        <v>3745</v>
      </c>
    </row>
    <row r="2452" spans="1:47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718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727"/>
        <v>1</v>
      </c>
      <c r="Z2452" s="18">
        <f t="shared" si="736"/>
        <v>14500000</v>
      </c>
      <c r="AA2452" s="13">
        <v>7.17E-2</v>
      </c>
      <c r="AB2452" s="21">
        <f t="shared" si="719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22"/>
        <v>41443303.53761062</v>
      </c>
      <c r="AJ2452" s="19">
        <f t="shared" si="723"/>
        <v>6194988.76643031</v>
      </c>
      <c r="AK2452" s="20">
        <f t="shared" si="730"/>
        <v>0.1494810557466355</v>
      </c>
      <c r="AL2452" s="17"/>
      <c r="AM2452" s="17"/>
      <c r="AN2452" s="17"/>
      <c r="AO2452" s="17"/>
      <c r="AP2452" s="28" t="str">
        <f t="shared" si="731"/>
        <v>20217</v>
      </c>
      <c r="AQ2452" s="28" t="str">
        <f t="shared" si="732"/>
        <v>20217JPY</v>
      </c>
      <c r="AR2452" s="206" t="str">
        <f t="shared" si="733"/>
        <v>YAMAHA_Mounter</v>
      </c>
      <c r="AS2452" s="22">
        <f t="shared" si="734"/>
        <v>4</v>
      </c>
      <c r="AT2452" s="24" t="str">
        <f t="shared" si="735"/>
        <v>4-6 months</v>
      </c>
      <c r="AU2452" s="22" t="s">
        <v>3745</v>
      </c>
    </row>
    <row r="2453" spans="1:47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718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727"/>
        <v>1</v>
      </c>
      <c r="Z2453" s="18">
        <f t="shared" si="736"/>
        <v>14500000</v>
      </c>
      <c r="AA2453" s="13">
        <v>7.17E-2</v>
      </c>
      <c r="AB2453" s="21">
        <f t="shared" si="719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22"/>
        <v>41443303.53761062</v>
      </c>
      <c r="AJ2453" s="19">
        <f t="shared" si="723"/>
        <v>6194988.76643031</v>
      </c>
      <c r="AK2453" s="20">
        <f t="shared" si="730"/>
        <v>0.1494810557466355</v>
      </c>
      <c r="AL2453" s="17"/>
      <c r="AM2453" s="17"/>
      <c r="AN2453" s="17"/>
      <c r="AO2453" s="17"/>
      <c r="AP2453" s="28" t="str">
        <f t="shared" si="731"/>
        <v>20217</v>
      </c>
      <c r="AQ2453" s="28" t="str">
        <f t="shared" si="732"/>
        <v>20217JPY</v>
      </c>
      <c r="AR2453" s="206" t="str">
        <f t="shared" si="733"/>
        <v>YAMAHA_Mounter</v>
      </c>
      <c r="AS2453" s="22">
        <f t="shared" si="734"/>
        <v>4</v>
      </c>
      <c r="AT2453" s="24" t="str">
        <f t="shared" si="735"/>
        <v>4-6 months</v>
      </c>
      <c r="AU2453" s="22" t="s">
        <v>3745</v>
      </c>
    </row>
    <row r="2454" spans="1:47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737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727"/>
        <v>1.13</v>
      </c>
      <c r="Z2454" s="18">
        <f t="shared" si="736"/>
        <v>15300</v>
      </c>
      <c r="AA2454" s="13">
        <v>1.155</v>
      </c>
      <c r="AB2454" s="21">
        <f t="shared" ref="AB2454:AB2517" si="738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22"/>
        <v>44078731.611185849</v>
      </c>
      <c r="AJ2454" s="19">
        <f t="shared" si="723"/>
        <v>5508173.2163771465</v>
      </c>
      <c r="AK2454" s="20">
        <f t="shared" si="730"/>
        <v>0.12496215328889679</v>
      </c>
      <c r="AL2454" s="17"/>
      <c r="AM2454" s="17"/>
      <c r="AN2454" s="17"/>
      <c r="AO2454" s="17"/>
      <c r="AP2454" s="28" t="str">
        <f t="shared" si="731"/>
        <v>202011</v>
      </c>
      <c r="AQ2454" s="28" t="str">
        <f t="shared" si="732"/>
        <v>202011RMB</v>
      </c>
      <c r="AR2454" s="206" t="str">
        <f t="shared" si="733"/>
        <v>YAMAHA_Mounter</v>
      </c>
      <c r="AS2454" s="22">
        <f t="shared" si="734"/>
        <v>0</v>
      </c>
      <c r="AT2454" s="24" t="str">
        <f t="shared" si="735"/>
        <v>0-3 months</v>
      </c>
      <c r="AU2454" s="22" t="s">
        <v>3240</v>
      </c>
    </row>
    <row r="2455" spans="1:47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737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727"/>
        <v>1.13</v>
      </c>
      <c r="Z2455" s="18">
        <f t="shared" si="736"/>
        <v>122999.99799999999</v>
      </c>
      <c r="AA2455" s="13">
        <v>1.175</v>
      </c>
      <c r="AB2455" s="21">
        <f t="shared" si="738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22"/>
        <v>48763143.537654862</v>
      </c>
      <c r="AJ2455" s="19">
        <f t="shared" si="723"/>
        <v>5924029.9702154724</v>
      </c>
      <c r="AK2455" s="20">
        <f t="shared" si="730"/>
        <v>0.1214858095774925</v>
      </c>
      <c r="AL2455" s="17"/>
      <c r="AM2455" s="17"/>
      <c r="AN2455" s="17"/>
      <c r="AO2455" s="17"/>
      <c r="AP2455" s="28" t="str">
        <f t="shared" si="731"/>
        <v>202012</v>
      </c>
      <c r="AQ2455" s="28" t="str">
        <f t="shared" si="732"/>
        <v>202012RMB</v>
      </c>
      <c r="AR2455" s="206" t="str">
        <f t="shared" si="733"/>
        <v>YAMAHA_Mounter</v>
      </c>
      <c r="AS2455" s="22">
        <f t="shared" si="734"/>
        <v>1</v>
      </c>
      <c r="AT2455" s="24" t="str">
        <f t="shared" si="735"/>
        <v>0-3 months</v>
      </c>
      <c r="AU2455" s="22" t="s">
        <v>3240</v>
      </c>
    </row>
    <row r="2456" spans="1:47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726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737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727"/>
        <v>1.13</v>
      </c>
      <c r="Z2456" s="18">
        <f t="shared" si="736"/>
        <v>630000</v>
      </c>
      <c r="AA2456" s="13">
        <v>1.175</v>
      </c>
      <c r="AB2456" s="21">
        <f t="shared" si="738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22"/>
        <v>499582152.5142017</v>
      </c>
      <c r="AJ2456" s="19">
        <f t="shared" si="723"/>
        <v>59520528.679470733</v>
      </c>
      <c r="AK2456" s="20">
        <f t="shared" si="730"/>
        <v>0.11914062257814291</v>
      </c>
      <c r="AL2456" s="17"/>
      <c r="AM2456" s="17"/>
      <c r="AN2456" s="17"/>
      <c r="AO2456" s="17"/>
      <c r="AP2456" s="28" t="str">
        <f t="shared" si="731"/>
        <v>CancelCANCEL</v>
      </c>
      <c r="AQ2456" s="28" t="str">
        <f t="shared" si="732"/>
        <v>CancelCANCELRMB</v>
      </c>
      <c r="AR2456" s="206" t="str">
        <f t="shared" si="733"/>
        <v>YAMAHA_Mounter</v>
      </c>
      <c r="AS2456" s="22" t="str">
        <f t="shared" si="734"/>
        <v/>
      </c>
      <c r="AT2456" s="24" t="str">
        <f t="shared" si="735"/>
        <v/>
      </c>
      <c r="AU2456" s="22" t="s">
        <v>3240</v>
      </c>
    </row>
    <row r="2457" spans="1:47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737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736"/>
        <v>636550</v>
      </c>
      <c r="AA2457" s="13">
        <v>1.105</v>
      </c>
      <c r="AB2457" s="21">
        <f t="shared" si="738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22"/>
        <v>37969334.083628319</v>
      </c>
      <c r="AJ2457" s="19">
        <f t="shared" si="723"/>
        <v>5097226.4551657084</v>
      </c>
      <c r="AK2457" s="20">
        <f t="shared" si="730"/>
        <v>0.13424587441904964</v>
      </c>
      <c r="AL2457" s="17"/>
      <c r="AM2457" s="17"/>
      <c r="AN2457" s="17"/>
      <c r="AO2457" s="17"/>
      <c r="AP2457" s="28" t="str">
        <f t="shared" si="731"/>
        <v>20208</v>
      </c>
      <c r="AQ2457" s="28" t="str">
        <f t="shared" si="732"/>
        <v>20208RMB</v>
      </c>
      <c r="AR2457" s="206" t="str">
        <f t="shared" si="733"/>
        <v>YAMAHA_Mounter</v>
      </c>
      <c r="AS2457" s="22">
        <f t="shared" si="734"/>
        <v>3</v>
      </c>
      <c r="AT2457" s="24" t="str">
        <f t="shared" si="735"/>
        <v>0-3 months</v>
      </c>
      <c r="AU2457" s="22" t="s">
        <v>3240</v>
      </c>
    </row>
    <row r="2458" spans="1:47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737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736"/>
        <v>10100</v>
      </c>
      <c r="AA2458" s="13">
        <v>1.1299999999999999</v>
      </c>
      <c r="AB2458" s="21">
        <f t="shared" si="738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22"/>
        <v>47907808.356810622</v>
      </c>
      <c r="AJ2458" s="19">
        <f t="shared" si="723"/>
        <v>6027384.8806384448</v>
      </c>
      <c r="AK2458" s="20">
        <f t="shared" si="730"/>
        <v>0.12581216063459488</v>
      </c>
      <c r="AL2458" s="17"/>
      <c r="AM2458" s="17"/>
      <c r="AN2458" s="17"/>
      <c r="AO2458" s="17"/>
      <c r="AP2458" s="28" t="str">
        <f t="shared" si="731"/>
        <v>20209</v>
      </c>
      <c r="AQ2458" s="28" t="str">
        <f t="shared" si="732"/>
        <v>20209RMB</v>
      </c>
      <c r="AR2458" s="206" t="str">
        <f t="shared" si="733"/>
        <v>YAMAHA_Mounter</v>
      </c>
      <c r="AS2458" s="22">
        <f t="shared" si="734"/>
        <v>1</v>
      </c>
      <c r="AT2458" s="24" t="str">
        <f t="shared" si="735"/>
        <v>0-3 months</v>
      </c>
      <c r="AU2458" s="22" t="s">
        <v>3240</v>
      </c>
    </row>
    <row r="2459" spans="1:47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737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736"/>
        <v>4960</v>
      </c>
      <c r="AA2459" s="13">
        <v>1.1299999999999999</v>
      </c>
      <c r="AB2459" s="21">
        <f t="shared" si="738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22"/>
        <v>47907808.356810622</v>
      </c>
      <c r="AJ2459" s="19">
        <f t="shared" si="723"/>
        <v>6027384.8806384448</v>
      </c>
      <c r="AK2459" s="20">
        <f t="shared" si="730"/>
        <v>0.12581216063459488</v>
      </c>
      <c r="AL2459" s="17"/>
      <c r="AM2459" s="17"/>
      <c r="AN2459" s="17"/>
      <c r="AO2459" s="17"/>
      <c r="AP2459" s="28" t="str">
        <f t="shared" si="731"/>
        <v>20209</v>
      </c>
      <c r="AQ2459" s="28" t="str">
        <f t="shared" si="732"/>
        <v>20209RMB</v>
      </c>
      <c r="AR2459" s="206" t="str">
        <f t="shared" si="733"/>
        <v>LOCAL SUPPLIER</v>
      </c>
      <c r="AS2459" s="22">
        <f t="shared" si="734"/>
        <v>1</v>
      </c>
      <c r="AT2459" s="24" t="str">
        <f t="shared" si="735"/>
        <v>0-3 months</v>
      </c>
      <c r="AU2459" s="22" t="s">
        <v>3240</v>
      </c>
    </row>
    <row r="2460" spans="1:47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737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736"/>
        <v>1663450</v>
      </c>
      <c r="AA2460" s="13">
        <v>1.105</v>
      </c>
      <c r="AB2460" s="21">
        <f t="shared" si="738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22"/>
        <v>37969334.083628319</v>
      </c>
      <c r="AJ2460" s="19">
        <f t="shared" si="723"/>
        <v>5097226.4551657084</v>
      </c>
      <c r="AK2460" s="20">
        <f t="shared" si="730"/>
        <v>0.13424587441904964</v>
      </c>
      <c r="AL2460" s="17"/>
      <c r="AM2460" s="17"/>
      <c r="AN2460" s="17"/>
      <c r="AO2460" s="17"/>
      <c r="AP2460" s="28" t="str">
        <f t="shared" si="731"/>
        <v>20208</v>
      </c>
      <c r="AQ2460" s="28" t="str">
        <f t="shared" si="732"/>
        <v>20208RMB</v>
      </c>
      <c r="AR2460" s="206" t="str">
        <f t="shared" si="733"/>
        <v>HELLER</v>
      </c>
      <c r="AS2460" s="22">
        <f t="shared" si="734"/>
        <v>3</v>
      </c>
      <c r="AT2460" s="24" t="str">
        <f t="shared" si="735"/>
        <v>0-3 months</v>
      </c>
      <c r="AU2460" s="22" t="s">
        <v>3240</v>
      </c>
    </row>
    <row r="2461" spans="1:47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737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736"/>
        <v>490000</v>
      </c>
      <c r="AA2461" s="13">
        <v>1.1299999999999999</v>
      </c>
      <c r="AB2461" s="21">
        <f t="shared" si="738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22"/>
        <v>33543315.897345133</v>
      </c>
      <c r="AJ2461" s="19">
        <f t="shared" si="723"/>
        <v>4706169.3252984071</v>
      </c>
      <c r="AK2461" s="20">
        <f t="shared" si="730"/>
        <v>0.14030125523967318</v>
      </c>
      <c r="AL2461" s="17"/>
      <c r="AM2461" s="17"/>
      <c r="AN2461" s="17"/>
      <c r="AO2461" s="17"/>
      <c r="AP2461" s="28" t="str">
        <f t="shared" si="731"/>
        <v>20233</v>
      </c>
      <c r="AQ2461" s="28" t="str">
        <f t="shared" si="732"/>
        <v>20233RMB</v>
      </c>
      <c r="AR2461" s="206" t="str">
        <f t="shared" si="733"/>
        <v>YAMAHA_Mounter</v>
      </c>
      <c r="AS2461" s="22">
        <f t="shared" si="734"/>
        <v>0</v>
      </c>
      <c r="AT2461" s="24" t="str">
        <f t="shared" si="735"/>
        <v>0-3 months</v>
      </c>
      <c r="AU2461" s="22" t="s">
        <v>3240</v>
      </c>
    </row>
    <row r="2462" spans="1:47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737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736"/>
        <v>15000000</v>
      </c>
      <c r="AA2462" s="22">
        <v>4.9500000000000002E-2</v>
      </c>
      <c r="AB2462" s="197">
        <f t="shared" si="738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22"/>
        <v>25458266.694690265</v>
      </c>
      <c r="AJ2462" s="200">
        <f t="shared" si="723"/>
        <v>4116526.778578762</v>
      </c>
      <c r="AK2462" s="201">
        <f t="shared" si="730"/>
        <v>0.16169705612508689</v>
      </c>
      <c r="AL2462" s="24"/>
      <c r="AM2462" s="24"/>
      <c r="AN2462" s="24"/>
      <c r="AO2462" s="24"/>
      <c r="AP2462" s="105" t="str">
        <f t="shared" si="731"/>
        <v>20247</v>
      </c>
      <c r="AQ2462" s="28" t="str">
        <f t="shared" si="732"/>
        <v>20247JPY</v>
      </c>
      <c r="AR2462" s="206" t="str">
        <f t="shared" si="733"/>
        <v>YAMAHA_Mounter</v>
      </c>
      <c r="AS2462" s="22">
        <f t="shared" si="734"/>
        <v>1</v>
      </c>
      <c r="AT2462" s="24" t="str">
        <f t="shared" si="735"/>
        <v>0-3 months</v>
      </c>
      <c r="AU2462" s="22" t="s">
        <v>3744</v>
      </c>
    </row>
    <row r="2463" spans="1:47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737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736"/>
        <v>763500</v>
      </c>
      <c r="AA2463" s="13">
        <v>1.125</v>
      </c>
      <c r="AB2463" s="21">
        <f t="shared" si="738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22"/>
        <v>29840797.698275864</v>
      </c>
      <c r="AJ2463" s="19">
        <f t="shared" si="723"/>
        <v>3940167.6555448272</v>
      </c>
      <c r="AK2463" s="20">
        <f t="shared" si="730"/>
        <v>0.13203962224416277</v>
      </c>
      <c r="AL2463" s="17"/>
      <c r="AM2463" s="17"/>
      <c r="AN2463" s="17"/>
      <c r="AO2463" s="17"/>
      <c r="AP2463" s="28" t="str">
        <f t="shared" si="731"/>
        <v>201812</v>
      </c>
      <c r="AQ2463" s="28" t="str">
        <f t="shared" si="732"/>
        <v>201812RMB</v>
      </c>
      <c r="AR2463" s="206" t="str">
        <f t="shared" si="733"/>
        <v>YAMAHA_Mounter</v>
      </c>
      <c r="AS2463" s="22">
        <f t="shared" si="734"/>
        <v>2</v>
      </c>
      <c r="AT2463" s="24" t="str">
        <f t="shared" si="735"/>
        <v>0-3 months</v>
      </c>
      <c r="AU2463" s="22" t="s">
        <v>3240</v>
      </c>
    </row>
    <row r="2464" spans="1:47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737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736"/>
        <v>1120652</v>
      </c>
      <c r="AA2464" s="13">
        <v>1.095</v>
      </c>
      <c r="AB2464" s="21">
        <f t="shared" si="738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22"/>
        <v>28065694.408805311</v>
      </c>
      <c r="AJ2464" s="19">
        <f t="shared" si="723"/>
        <v>4157433.2906989697</v>
      </c>
      <c r="AK2464" s="20">
        <f t="shared" si="730"/>
        <v>0.14813220831602228</v>
      </c>
      <c r="AL2464" s="17"/>
      <c r="AM2464" s="17"/>
      <c r="AN2464" s="17"/>
      <c r="AO2464" s="17"/>
      <c r="AP2464" s="28" t="str">
        <f t="shared" si="731"/>
        <v>20205</v>
      </c>
      <c r="AQ2464" s="28" t="str">
        <f t="shared" si="732"/>
        <v>20205RMB</v>
      </c>
      <c r="AR2464" s="206" t="str">
        <f t="shared" si="733"/>
        <v>YAMAHA_Mounter</v>
      </c>
      <c r="AS2464" s="22">
        <f t="shared" si="734"/>
        <v>0</v>
      </c>
      <c r="AT2464" s="24" t="str">
        <f t="shared" si="735"/>
        <v>0-3 months</v>
      </c>
      <c r="AU2464" s="22" t="s">
        <v>3240</v>
      </c>
    </row>
    <row r="2465" spans="1:47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737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736"/>
        <v>1155000</v>
      </c>
      <c r="AA2465" s="13">
        <v>1.2150000000000001</v>
      </c>
      <c r="AB2465" s="21">
        <f t="shared" si="738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22"/>
        <v>25380121.402654871</v>
      </c>
      <c r="AJ2465" s="19">
        <f t="shared" si="723"/>
        <v>3850343.1237796471</v>
      </c>
      <c r="AK2465" s="20">
        <f t="shared" si="730"/>
        <v>0.1517070412191521</v>
      </c>
      <c r="AL2465" s="17"/>
      <c r="AM2465" s="17"/>
      <c r="AN2465" s="17"/>
      <c r="AO2465" s="17"/>
      <c r="AP2465" s="28" t="str">
        <f t="shared" si="731"/>
        <v>202112</v>
      </c>
      <c r="AQ2465" s="28" t="str">
        <f t="shared" si="732"/>
        <v>202112RMB</v>
      </c>
      <c r="AR2465" s="206" t="str">
        <f t="shared" si="733"/>
        <v>YAMAHA_Mounter</v>
      </c>
      <c r="AS2465" s="22">
        <f t="shared" si="734"/>
        <v>1</v>
      </c>
      <c r="AT2465" s="24" t="str">
        <f t="shared" si="735"/>
        <v>0-3 months</v>
      </c>
      <c r="AU2465" s="22" t="s">
        <v>3240</v>
      </c>
    </row>
    <row r="2466" spans="1:47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737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736"/>
        <v>1155000</v>
      </c>
      <c r="AA2466" s="13">
        <v>1.22</v>
      </c>
      <c r="AB2466" s="21">
        <f t="shared" si="738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22"/>
        <v>26407088.359292038</v>
      </c>
      <c r="AJ2466" s="19">
        <f t="shared" si="723"/>
        <v>3424510.6998470789</v>
      </c>
      <c r="AK2466" s="20">
        <f t="shared" si="730"/>
        <v>0.12968149510667554</v>
      </c>
      <c r="AL2466" s="17"/>
      <c r="AM2466" s="17"/>
      <c r="AN2466" s="17"/>
      <c r="AO2466" s="17"/>
      <c r="AP2466" s="28" t="str">
        <f t="shared" si="731"/>
        <v>20221</v>
      </c>
      <c r="AQ2466" s="28" t="str">
        <f t="shared" si="732"/>
        <v>20221RMB</v>
      </c>
      <c r="AR2466" s="206" t="str">
        <f t="shared" si="733"/>
        <v>YAMAHA_Mounter</v>
      </c>
      <c r="AS2466" s="22">
        <f t="shared" si="734"/>
        <v>2</v>
      </c>
      <c r="AT2466" s="24" t="str">
        <f t="shared" si="735"/>
        <v>0-3 months</v>
      </c>
      <c r="AU2466" s="22" t="s">
        <v>3240</v>
      </c>
    </row>
    <row r="2467" spans="1:47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737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736"/>
        <v>756000</v>
      </c>
      <c r="AA2467" s="13">
        <v>1.175</v>
      </c>
      <c r="AB2467" s="21">
        <f t="shared" si="738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22"/>
        <v>35682787.057522126</v>
      </c>
      <c r="AJ2467" s="19">
        <f t="shared" si="723"/>
        <v>5833368.3789623892</v>
      </c>
      <c r="AK2467" s="20">
        <f t="shared" si="730"/>
        <v>0.16347849649632912</v>
      </c>
      <c r="AL2467" s="17"/>
      <c r="AM2467" s="17"/>
      <c r="AN2467" s="17"/>
      <c r="AO2467" s="17"/>
      <c r="AP2467" s="28" t="str">
        <f t="shared" si="731"/>
        <v>20226</v>
      </c>
      <c r="AQ2467" s="28" t="str">
        <f t="shared" si="732"/>
        <v>20226RMB</v>
      </c>
      <c r="AR2467" s="206" t="str">
        <f t="shared" si="733"/>
        <v>YAMAHA_Mounter</v>
      </c>
      <c r="AS2467" s="22">
        <f t="shared" si="734"/>
        <v>9</v>
      </c>
      <c r="AT2467" s="24" t="str">
        <f t="shared" si="735"/>
        <v>&gt; 6 months</v>
      </c>
      <c r="AU2467" s="22" t="s">
        <v>3240</v>
      </c>
    </row>
    <row r="2468" spans="1:47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737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736"/>
        <v>532300</v>
      </c>
      <c r="AA2468" s="13">
        <v>1.125</v>
      </c>
      <c r="AB2468" s="21">
        <f t="shared" si="738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22"/>
        <v>29840797.698275864</v>
      </c>
      <c r="AJ2468" s="19">
        <f t="shared" si="723"/>
        <v>3940167.6555448272</v>
      </c>
      <c r="AK2468" s="20">
        <f t="shared" si="730"/>
        <v>0.13203962224416277</v>
      </c>
      <c r="AL2468" s="17"/>
      <c r="AM2468" s="17"/>
      <c r="AN2468" s="17"/>
      <c r="AO2468" s="17"/>
      <c r="AP2468" s="28" t="str">
        <f t="shared" si="731"/>
        <v>201812</v>
      </c>
      <c r="AQ2468" s="28" t="str">
        <f t="shared" si="732"/>
        <v>201812RMB</v>
      </c>
      <c r="AR2468" s="206" t="str">
        <f t="shared" si="733"/>
        <v>YAMAHA_Non_Mounter</v>
      </c>
      <c r="AS2468" s="22">
        <f t="shared" si="734"/>
        <v>2</v>
      </c>
      <c r="AT2468" s="24" t="str">
        <f t="shared" si="735"/>
        <v>0-3 months</v>
      </c>
      <c r="AU2468" s="22" t="s">
        <v>3240</v>
      </c>
    </row>
    <row r="2469" spans="1:47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737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736"/>
        <v>420000</v>
      </c>
      <c r="AA2469" s="13">
        <v>1.125</v>
      </c>
      <c r="AB2469" s="21">
        <f t="shared" si="738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22"/>
        <v>29840797.698275864</v>
      </c>
      <c r="AJ2469" s="19">
        <f t="shared" si="723"/>
        <v>3940167.6555448272</v>
      </c>
      <c r="AK2469" s="20">
        <f t="shared" si="730"/>
        <v>0.13203962224416277</v>
      </c>
      <c r="AL2469" s="17"/>
      <c r="AM2469" s="17"/>
      <c r="AN2469" s="17"/>
      <c r="AO2469" s="17"/>
      <c r="AP2469" s="28" t="str">
        <f t="shared" si="731"/>
        <v>201812</v>
      </c>
      <c r="AQ2469" s="28" t="str">
        <f t="shared" si="732"/>
        <v>201812RMB</v>
      </c>
      <c r="AR2469" s="206" t="str">
        <f t="shared" si="733"/>
        <v>HELLER</v>
      </c>
      <c r="AS2469" s="22">
        <f t="shared" si="734"/>
        <v>2</v>
      </c>
      <c r="AT2469" s="24" t="str">
        <f t="shared" si="735"/>
        <v>0-3 months</v>
      </c>
      <c r="AU2469" s="22" t="s">
        <v>3240</v>
      </c>
    </row>
    <row r="2470" spans="1:47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737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736"/>
        <v>465000</v>
      </c>
      <c r="AA2470" s="13">
        <v>1.22</v>
      </c>
      <c r="AB2470" s="21">
        <f t="shared" si="738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22"/>
        <v>26407088.359292038</v>
      </c>
      <c r="AJ2470" s="19">
        <f t="shared" si="723"/>
        <v>3424510.6998470789</v>
      </c>
      <c r="AK2470" s="20">
        <f t="shared" si="730"/>
        <v>0.12968149510667554</v>
      </c>
      <c r="AL2470" s="17"/>
      <c r="AM2470" s="17"/>
      <c r="AN2470" s="17"/>
      <c r="AO2470" s="17"/>
      <c r="AP2470" s="28" t="str">
        <f t="shared" si="731"/>
        <v>20221</v>
      </c>
      <c r="AQ2470" s="28" t="str">
        <f t="shared" si="732"/>
        <v>20221RMB</v>
      </c>
      <c r="AR2470" s="206" t="str">
        <f t="shared" si="733"/>
        <v>YAMAHA_Non_Mounter</v>
      </c>
      <c r="AS2470" s="22">
        <f t="shared" si="734"/>
        <v>2</v>
      </c>
      <c r="AT2470" s="24" t="str">
        <f t="shared" si="735"/>
        <v>0-3 months</v>
      </c>
      <c r="AU2470" s="22" t="s">
        <v>3240</v>
      </c>
    </row>
    <row r="2471" spans="1:47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737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736"/>
        <v>360000</v>
      </c>
      <c r="AA2471" s="13">
        <v>1.22</v>
      </c>
      <c r="AB2471" s="21">
        <f t="shared" si="738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22"/>
        <v>26407088.359292038</v>
      </c>
      <c r="AJ2471" s="19">
        <f t="shared" si="723"/>
        <v>3424510.6998470789</v>
      </c>
      <c r="AK2471" s="20">
        <f t="shared" si="730"/>
        <v>0.12968149510667554</v>
      </c>
      <c r="AL2471" s="17"/>
      <c r="AM2471" s="17"/>
      <c r="AN2471" s="17"/>
      <c r="AO2471" s="17"/>
      <c r="AP2471" s="28" t="str">
        <f t="shared" si="731"/>
        <v>20221</v>
      </c>
      <c r="AQ2471" s="28" t="str">
        <f t="shared" si="732"/>
        <v>20221RMB</v>
      </c>
      <c r="AR2471" s="206" t="str">
        <f t="shared" si="733"/>
        <v>HELLER</v>
      </c>
      <c r="AS2471" s="22">
        <f t="shared" si="734"/>
        <v>2</v>
      </c>
      <c r="AT2471" s="24" t="str">
        <f t="shared" si="735"/>
        <v>0-3 months</v>
      </c>
      <c r="AU2471" s="22" t="s">
        <v>3240</v>
      </c>
    </row>
    <row r="2472" spans="1:47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737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736"/>
        <v>100000</v>
      </c>
      <c r="AA2472" s="13">
        <v>1.1499999999999999</v>
      </c>
      <c r="AB2472" s="21">
        <f t="shared" si="738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22"/>
        <v>26492741.106427077</v>
      </c>
      <c r="AJ2472" s="19">
        <f t="shared" si="723"/>
        <v>3348032.1325698122</v>
      </c>
      <c r="AK2472" s="20">
        <f t="shared" si="730"/>
        <v>0.12637545201985867</v>
      </c>
      <c r="AL2472" s="17"/>
      <c r="AM2472" s="17"/>
      <c r="AN2472" s="17"/>
      <c r="AO2472" s="17"/>
      <c r="AP2472" s="28" t="str">
        <f t="shared" si="731"/>
        <v>20189</v>
      </c>
      <c r="AQ2472" s="28" t="str">
        <f t="shared" si="732"/>
        <v>20189RMB</v>
      </c>
      <c r="AR2472" s="206" t="str">
        <f t="shared" si="733"/>
        <v>LOCAL SUPPLIER</v>
      </c>
      <c r="AS2472" s="22">
        <f t="shared" si="734"/>
        <v>2</v>
      </c>
      <c r="AT2472" s="24" t="str">
        <f t="shared" si="735"/>
        <v>0-3 months</v>
      </c>
      <c r="AU2472" s="22" t="s">
        <v>3240</v>
      </c>
    </row>
    <row r="2473" spans="1:47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737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736"/>
        <v>1000000</v>
      </c>
      <c r="AA2473" s="13">
        <v>1.2</v>
      </c>
      <c r="AB2473" s="21">
        <f t="shared" si="738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22"/>
        <v>41443303.53761062</v>
      </c>
      <c r="AJ2473" s="19">
        <f t="shared" si="723"/>
        <v>6194988.76643031</v>
      </c>
      <c r="AK2473" s="20">
        <f t="shared" si="730"/>
        <v>0.1494810557466355</v>
      </c>
      <c r="AL2473" s="17"/>
      <c r="AM2473" s="17"/>
      <c r="AN2473" s="17"/>
      <c r="AO2473" s="17"/>
      <c r="AP2473" s="28" t="str">
        <f t="shared" si="731"/>
        <v>20217</v>
      </c>
      <c r="AQ2473" s="28" t="str">
        <f t="shared" si="732"/>
        <v>20217RMB</v>
      </c>
      <c r="AR2473" s="206" t="str">
        <f t="shared" si="733"/>
        <v>YAMAHA_Mounter</v>
      </c>
      <c r="AS2473" s="22">
        <f t="shared" si="734"/>
        <v>3</v>
      </c>
      <c r="AT2473" s="24" t="str">
        <f t="shared" si="735"/>
        <v>0-3 months</v>
      </c>
      <c r="AU2473" s="22" t="s">
        <v>3240</v>
      </c>
    </row>
    <row r="2474" spans="1:47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737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736"/>
        <v>1000000</v>
      </c>
      <c r="AA2474" s="13">
        <v>1.2</v>
      </c>
      <c r="AB2474" s="21">
        <f t="shared" si="738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22"/>
        <v>41443303.53761062</v>
      </c>
      <c r="AJ2474" s="19">
        <f t="shared" si="723"/>
        <v>6194988.76643031</v>
      </c>
      <c r="AK2474" s="20">
        <f t="shared" si="730"/>
        <v>0.1494810557466355</v>
      </c>
      <c r="AL2474" s="17"/>
      <c r="AM2474" s="17"/>
      <c r="AN2474" s="17"/>
      <c r="AO2474" s="17"/>
      <c r="AP2474" s="28" t="str">
        <f t="shared" si="731"/>
        <v>20217</v>
      </c>
      <c r="AQ2474" s="28" t="str">
        <f t="shared" si="732"/>
        <v>20217RMB</v>
      </c>
      <c r="AR2474" s="206" t="str">
        <f t="shared" si="733"/>
        <v>YAMAHA_Mounter</v>
      </c>
      <c r="AS2474" s="22">
        <f t="shared" si="734"/>
        <v>3</v>
      </c>
      <c r="AT2474" s="24" t="str">
        <f t="shared" si="735"/>
        <v>0-3 months</v>
      </c>
      <c r="AU2474" s="22" t="s">
        <v>3240</v>
      </c>
    </row>
    <row r="2475" spans="1:47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737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739">IF(W2475="","",IF(W2475="RMB","1.13", "1"))</f>
        <v>1</v>
      </c>
      <c r="Z2475" s="196">
        <f t="shared" si="736"/>
        <v>10225000</v>
      </c>
      <c r="AA2475" s="22">
        <v>4.9500000000000002E-2</v>
      </c>
      <c r="AB2475" s="197">
        <f t="shared" si="738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22"/>
        <v>25458266.694690265</v>
      </c>
      <c r="AJ2475" s="200">
        <f t="shared" si="723"/>
        <v>4116526.778578762</v>
      </c>
      <c r="AK2475" s="201">
        <f t="shared" si="730"/>
        <v>0.16169705612508689</v>
      </c>
      <c r="AL2475" s="24"/>
      <c r="AM2475" s="24"/>
      <c r="AN2475" s="24"/>
      <c r="AO2475" s="24"/>
      <c r="AP2475" s="105" t="str">
        <f t="shared" si="731"/>
        <v>20247</v>
      </c>
      <c r="AQ2475" s="28" t="str">
        <f t="shared" si="732"/>
        <v>20247JPY</v>
      </c>
      <c r="AR2475" s="206" t="str">
        <f t="shared" si="733"/>
        <v>YAMAHA_Mounter</v>
      </c>
      <c r="AS2475" s="22">
        <f t="shared" si="734"/>
        <v>1</v>
      </c>
      <c r="AT2475" s="24" t="str">
        <f t="shared" si="735"/>
        <v>0-3 months</v>
      </c>
      <c r="AU2475" s="22" t="s">
        <v>3744</v>
      </c>
    </row>
    <row r="2476" spans="1:47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3537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737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739"/>
        <v>1.13</v>
      </c>
      <c r="Z2476" s="196">
        <v>380666</v>
      </c>
      <c r="AA2476" s="22">
        <v>1.1080000000000001</v>
      </c>
      <c r="AB2476" s="197">
        <f t="shared" si="738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22"/>
        <v>22758096.38940867</v>
      </c>
      <c r="AJ2476" s="200">
        <f t="shared" si="723"/>
        <v>2469357.2298956565</v>
      </c>
      <c r="AK2476" s="201">
        <f t="shared" si="730"/>
        <v>0.10850455976822666</v>
      </c>
      <c r="AL2476" s="24"/>
      <c r="AM2476" s="24"/>
      <c r="AN2476" s="24"/>
      <c r="AO2476" s="24"/>
      <c r="AP2476" s="105" t="str">
        <f t="shared" si="731"/>
        <v>202410</v>
      </c>
      <c r="AQ2476" s="28" t="str">
        <f t="shared" si="732"/>
        <v>202410RMB</v>
      </c>
      <c r="AR2476" s="206" t="str">
        <f t="shared" si="733"/>
        <v>YAMAHA_Non_Mounter</v>
      </c>
      <c r="AS2476" s="22">
        <f t="shared" si="734"/>
        <v>3</v>
      </c>
      <c r="AT2476" s="24" t="str">
        <f t="shared" si="735"/>
        <v>0-3 months</v>
      </c>
      <c r="AU2476" s="22" t="s">
        <v>3240</v>
      </c>
    </row>
    <row r="2477" spans="1:47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737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739"/>
        <v>1.13</v>
      </c>
      <c r="Z2477" s="196">
        <f t="shared" si="736"/>
        <v>729350</v>
      </c>
      <c r="AA2477" s="22">
        <v>1.075</v>
      </c>
      <c r="AB2477" s="197">
        <f t="shared" si="738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22"/>
        <v>25458266.694690265</v>
      </c>
      <c r="AJ2477" s="200">
        <f t="shared" si="723"/>
        <v>4116526.778578762</v>
      </c>
      <c r="AK2477" s="201">
        <f t="shared" si="730"/>
        <v>0.16169705612508689</v>
      </c>
      <c r="AL2477" s="24"/>
      <c r="AM2477" s="24"/>
      <c r="AN2477" s="24"/>
      <c r="AO2477" s="24"/>
      <c r="AP2477" s="105" t="str">
        <f t="shared" si="731"/>
        <v>20247</v>
      </c>
      <c r="AQ2477" s="28" t="str">
        <f t="shared" si="732"/>
        <v>20247RMB</v>
      </c>
      <c r="AR2477" s="206" t="str">
        <f t="shared" si="733"/>
        <v>YAMAHA_Mounter</v>
      </c>
      <c r="AS2477" s="22">
        <f t="shared" si="734"/>
        <v>1</v>
      </c>
      <c r="AT2477" s="24" t="str">
        <f t="shared" si="735"/>
        <v>0-3 months</v>
      </c>
      <c r="AU2477" s="22" t="s">
        <v>3240</v>
      </c>
    </row>
    <row r="2478" spans="1:47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737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739"/>
        <v>1.13</v>
      </c>
      <c r="Z2478" s="196">
        <f t="shared" si="736"/>
        <v>729350</v>
      </c>
      <c r="AA2478" s="22">
        <v>1.075</v>
      </c>
      <c r="AB2478" s="197">
        <f t="shared" si="738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22"/>
        <v>25458266.694690265</v>
      </c>
      <c r="AJ2478" s="200">
        <f t="shared" si="723"/>
        <v>4116526.778578762</v>
      </c>
      <c r="AK2478" s="201">
        <f t="shared" si="730"/>
        <v>0.16169705612508689</v>
      </c>
      <c r="AL2478" s="24"/>
      <c r="AM2478" s="24"/>
      <c r="AN2478" s="24"/>
      <c r="AO2478" s="24"/>
      <c r="AP2478" s="105" t="str">
        <f t="shared" si="731"/>
        <v>20247</v>
      </c>
      <c r="AQ2478" s="28" t="str">
        <f t="shared" si="732"/>
        <v>20247RMB</v>
      </c>
      <c r="AR2478" s="206" t="str">
        <f t="shared" si="733"/>
        <v>YAMAHA_Mounter</v>
      </c>
      <c r="AS2478" s="22">
        <f t="shared" si="734"/>
        <v>1</v>
      </c>
      <c r="AT2478" s="24" t="str">
        <f t="shared" si="735"/>
        <v>0-3 months</v>
      </c>
      <c r="AU2478" s="22" t="s">
        <v>3240</v>
      </c>
    </row>
    <row r="2479" spans="1:47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737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739"/>
        <v>1.13</v>
      </c>
      <c r="Z2479" s="196">
        <f t="shared" si="736"/>
        <v>330000</v>
      </c>
      <c r="AA2479" s="22">
        <v>1.075</v>
      </c>
      <c r="AB2479" s="197">
        <f t="shared" si="738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22"/>
        <v>25458266.694690265</v>
      </c>
      <c r="AJ2479" s="200">
        <f t="shared" si="723"/>
        <v>4116526.778578762</v>
      </c>
      <c r="AK2479" s="201">
        <f t="shared" si="730"/>
        <v>0.16169705612508689</v>
      </c>
      <c r="AL2479" s="24"/>
      <c r="AM2479" s="24"/>
      <c r="AN2479" s="24"/>
      <c r="AO2479" s="24"/>
      <c r="AP2479" s="105" t="str">
        <f t="shared" si="731"/>
        <v>20247</v>
      </c>
      <c r="AQ2479" s="28" t="str">
        <f t="shared" si="732"/>
        <v>20247RMB</v>
      </c>
      <c r="AR2479" s="206" t="str">
        <f t="shared" si="733"/>
        <v>YAMAHA_Non_Mounter</v>
      </c>
      <c r="AS2479" s="22">
        <f t="shared" si="734"/>
        <v>1</v>
      </c>
      <c r="AT2479" s="24" t="str">
        <f t="shared" si="735"/>
        <v>0-3 months</v>
      </c>
      <c r="AU2479" s="22" t="s">
        <v>3240</v>
      </c>
    </row>
    <row r="2480" spans="1:47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737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739"/>
        <v>1</v>
      </c>
      <c r="Z2480" s="196">
        <f t="shared" si="736"/>
        <v>8080000</v>
      </c>
      <c r="AA2480" s="22">
        <v>4.9500000000000002E-2</v>
      </c>
      <c r="AB2480" s="197">
        <f t="shared" si="738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22"/>
        <v>25458266.694690265</v>
      </c>
      <c r="AJ2480" s="200">
        <f t="shared" si="723"/>
        <v>4116526.778578762</v>
      </c>
      <c r="AK2480" s="201">
        <f t="shared" si="730"/>
        <v>0.16169705612508689</v>
      </c>
      <c r="AL2480" s="24"/>
      <c r="AM2480" s="24"/>
      <c r="AN2480" s="24"/>
      <c r="AO2480" s="24"/>
      <c r="AP2480" s="105" t="str">
        <f t="shared" si="731"/>
        <v>20247</v>
      </c>
      <c r="AQ2480" s="28" t="str">
        <f t="shared" si="732"/>
        <v>20247JPY</v>
      </c>
      <c r="AR2480" s="206" t="str">
        <f t="shared" si="733"/>
        <v>YAMAHA_Non_Mounter</v>
      </c>
      <c r="AS2480" s="22">
        <f t="shared" si="734"/>
        <v>0</v>
      </c>
      <c r="AT2480" s="24" t="str">
        <f t="shared" si="735"/>
        <v>0-3 months</v>
      </c>
      <c r="AU2480" s="22" t="s">
        <v>3744</v>
      </c>
    </row>
    <row r="2481" spans="1:47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737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740">IF(W2481="RMB","1.13", "1")</f>
        <v>1.13</v>
      </c>
      <c r="Z2481" s="18">
        <f t="shared" si="736"/>
        <v>968760</v>
      </c>
      <c r="AA2481" s="13">
        <v>1.163</v>
      </c>
      <c r="AB2481" s="21">
        <f t="shared" si="738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22"/>
        <v>35073581.838938057</v>
      </c>
      <c r="AJ2481" s="19">
        <f t="shared" si="723"/>
        <v>5034113.9728989396</v>
      </c>
      <c r="AK2481" s="20">
        <f t="shared" si="730"/>
        <v>0.14353007902118958</v>
      </c>
      <c r="AL2481" s="17"/>
      <c r="AM2481" s="17"/>
      <c r="AN2481" s="17"/>
      <c r="AO2481" s="17"/>
      <c r="AP2481" s="28" t="str">
        <f t="shared" si="731"/>
        <v>20228</v>
      </c>
      <c r="AQ2481" s="28" t="str">
        <f t="shared" si="732"/>
        <v>20228RMB</v>
      </c>
      <c r="AR2481" s="206" t="str">
        <f t="shared" si="733"/>
        <v>YAMAHA_Mounter</v>
      </c>
      <c r="AS2481" s="22">
        <f t="shared" si="734"/>
        <v>3</v>
      </c>
      <c r="AT2481" s="24" t="str">
        <f t="shared" si="735"/>
        <v>0-3 months</v>
      </c>
      <c r="AU2481" s="22" t="s">
        <v>3240</v>
      </c>
    </row>
    <row r="2482" spans="1:47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737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740"/>
        <v>1.13</v>
      </c>
      <c r="Z2482" s="18">
        <f t="shared" si="736"/>
        <v>968760</v>
      </c>
      <c r="AA2482" s="13">
        <v>1.163</v>
      </c>
      <c r="AB2482" s="21">
        <f t="shared" si="738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22"/>
        <v>35073581.838938057</v>
      </c>
      <c r="AJ2482" s="19">
        <f t="shared" si="723"/>
        <v>5034113.9728989396</v>
      </c>
      <c r="AK2482" s="20">
        <f t="shared" si="730"/>
        <v>0.14353007902118958</v>
      </c>
      <c r="AL2482" s="17"/>
      <c r="AM2482" s="17"/>
      <c r="AN2482" s="17"/>
      <c r="AO2482" s="17"/>
      <c r="AP2482" s="28" t="str">
        <f t="shared" si="731"/>
        <v>20228</v>
      </c>
      <c r="AQ2482" s="28" t="str">
        <f t="shared" si="732"/>
        <v>20228RMB</v>
      </c>
      <c r="AR2482" s="206" t="str">
        <f t="shared" si="733"/>
        <v>YAMAHA_Mounter</v>
      </c>
      <c r="AS2482" s="22">
        <f t="shared" si="734"/>
        <v>3</v>
      </c>
      <c r="AT2482" s="24" t="str">
        <f t="shared" si="735"/>
        <v>0-3 months</v>
      </c>
      <c r="AU2482" s="22" t="s">
        <v>3240</v>
      </c>
    </row>
    <row r="2483" spans="1:47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737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740"/>
        <v>1.13</v>
      </c>
      <c r="Z2483" s="18">
        <f t="shared" si="736"/>
        <v>968760</v>
      </c>
      <c r="AA2483" s="13">
        <v>1.163</v>
      </c>
      <c r="AB2483" s="21">
        <f t="shared" si="738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22"/>
        <v>35073581.838938057</v>
      </c>
      <c r="AJ2483" s="19">
        <f t="shared" si="723"/>
        <v>5034113.9728989396</v>
      </c>
      <c r="AK2483" s="20">
        <f t="shared" si="730"/>
        <v>0.14353007902118958</v>
      </c>
      <c r="AL2483" s="17"/>
      <c r="AM2483" s="17"/>
      <c r="AN2483" s="17"/>
      <c r="AO2483" s="17"/>
      <c r="AP2483" s="28" t="str">
        <f t="shared" si="731"/>
        <v>20228</v>
      </c>
      <c r="AQ2483" s="28" t="str">
        <f t="shared" si="732"/>
        <v>20228RMB</v>
      </c>
      <c r="AR2483" s="206" t="str">
        <f t="shared" si="733"/>
        <v>YAMAHA_Mounter</v>
      </c>
      <c r="AS2483" s="22">
        <f t="shared" si="734"/>
        <v>3</v>
      </c>
      <c r="AT2483" s="24" t="str">
        <f t="shared" si="735"/>
        <v>0-3 months</v>
      </c>
      <c r="AU2483" s="22" t="s">
        <v>3240</v>
      </c>
    </row>
    <row r="2484" spans="1:47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737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740"/>
        <v>1.13</v>
      </c>
      <c r="Z2484" s="18">
        <f t="shared" si="736"/>
        <v>621860</v>
      </c>
      <c r="AA2484" s="13">
        <v>1.163</v>
      </c>
      <c r="AB2484" s="21">
        <f t="shared" si="738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22"/>
        <v>35073581.838938057</v>
      </c>
      <c r="AJ2484" s="19">
        <f t="shared" si="723"/>
        <v>5034113.9728989396</v>
      </c>
      <c r="AK2484" s="20">
        <f t="shared" si="730"/>
        <v>0.14353007902118958</v>
      </c>
      <c r="AL2484" s="17"/>
      <c r="AM2484" s="17"/>
      <c r="AN2484" s="17"/>
      <c r="AO2484" s="17"/>
      <c r="AP2484" s="28" t="str">
        <f t="shared" si="731"/>
        <v>20228</v>
      </c>
      <c r="AQ2484" s="28" t="str">
        <f t="shared" si="732"/>
        <v>20228RMB</v>
      </c>
      <c r="AR2484" s="206" t="str">
        <f t="shared" si="733"/>
        <v>HELLER</v>
      </c>
      <c r="AS2484" s="22">
        <f t="shared" si="734"/>
        <v>3</v>
      </c>
      <c r="AT2484" s="24" t="str">
        <f t="shared" si="735"/>
        <v>0-3 months</v>
      </c>
      <c r="AU2484" s="22" t="s">
        <v>3240</v>
      </c>
    </row>
    <row r="2485" spans="1:47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737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740"/>
        <v>1.13</v>
      </c>
      <c r="Z2485" s="18">
        <f t="shared" si="736"/>
        <v>621860</v>
      </c>
      <c r="AA2485" s="13">
        <v>1.163</v>
      </c>
      <c r="AB2485" s="21">
        <f t="shared" si="738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22"/>
        <v>35073581.838938057</v>
      </c>
      <c r="AJ2485" s="19">
        <f t="shared" si="723"/>
        <v>5034113.9728989396</v>
      </c>
      <c r="AK2485" s="20">
        <f t="shared" si="730"/>
        <v>0.14353007902118958</v>
      </c>
      <c r="AL2485" s="17"/>
      <c r="AM2485" s="17"/>
      <c r="AN2485" s="17"/>
      <c r="AO2485" s="17"/>
      <c r="AP2485" s="28" t="str">
        <f t="shared" si="731"/>
        <v>20228</v>
      </c>
      <c r="AQ2485" s="28" t="str">
        <f t="shared" si="732"/>
        <v>20228RMB</v>
      </c>
      <c r="AR2485" s="206" t="str">
        <f t="shared" si="733"/>
        <v>HELLER</v>
      </c>
      <c r="AS2485" s="22">
        <f t="shared" si="734"/>
        <v>3</v>
      </c>
      <c r="AT2485" s="24" t="str">
        <f t="shared" si="735"/>
        <v>0-3 months</v>
      </c>
      <c r="AU2485" s="22" t="s">
        <v>3240</v>
      </c>
    </row>
    <row r="2486" spans="1:47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737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740"/>
        <v>1.13</v>
      </c>
      <c r="Z2486" s="18">
        <f t="shared" si="736"/>
        <v>1162603</v>
      </c>
      <c r="AA2486" s="13">
        <v>1.163</v>
      </c>
      <c r="AB2486" s="21">
        <f t="shared" si="738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22"/>
        <v>35073581.838938057</v>
      </c>
      <c r="AJ2486" s="19">
        <f t="shared" si="723"/>
        <v>5034113.9728989396</v>
      </c>
      <c r="AK2486" s="20">
        <f t="shared" si="730"/>
        <v>0.14353007902118958</v>
      </c>
      <c r="AL2486" s="17"/>
      <c r="AM2486" s="17"/>
      <c r="AN2486" s="17"/>
      <c r="AO2486" s="17"/>
      <c r="AP2486" s="28" t="str">
        <f t="shared" si="731"/>
        <v>20228</v>
      </c>
      <c r="AQ2486" s="28" t="str">
        <f t="shared" si="732"/>
        <v>20228RMB</v>
      </c>
      <c r="AR2486" s="206" t="str">
        <f t="shared" si="733"/>
        <v>YAMAHA_Mounter</v>
      </c>
      <c r="AS2486" s="22">
        <f t="shared" si="734"/>
        <v>0</v>
      </c>
      <c r="AT2486" s="24" t="str">
        <f t="shared" si="735"/>
        <v>0-3 months</v>
      </c>
      <c r="AU2486" s="22" t="s">
        <v>3240</v>
      </c>
    </row>
    <row r="2487" spans="1:47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737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740"/>
        <v>1.13</v>
      </c>
      <c r="Z2487" s="18">
        <f t="shared" si="736"/>
        <v>1162603</v>
      </c>
      <c r="AA2487" s="13">
        <v>1.135</v>
      </c>
      <c r="AB2487" s="21">
        <f t="shared" si="738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22"/>
        <v>15948576.102654871</v>
      </c>
      <c r="AJ2487" s="19">
        <f t="shared" si="723"/>
        <v>2739848.7004853105</v>
      </c>
      <c r="AK2487" s="20">
        <f t="shared" si="730"/>
        <v>0.17179268436567344</v>
      </c>
      <c r="AL2487" s="17"/>
      <c r="AM2487" s="17"/>
      <c r="AN2487" s="17"/>
      <c r="AO2487" s="17"/>
      <c r="AP2487" s="28" t="str">
        <f t="shared" si="731"/>
        <v>20229</v>
      </c>
      <c r="AQ2487" s="28" t="str">
        <f t="shared" si="732"/>
        <v>20229RMB</v>
      </c>
      <c r="AR2487" s="206" t="str">
        <f t="shared" si="733"/>
        <v>YAMAHA_Mounter</v>
      </c>
      <c r="AS2487" s="22">
        <f t="shared" si="734"/>
        <v>1</v>
      </c>
      <c r="AT2487" s="24" t="str">
        <f t="shared" si="735"/>
        <v>0-3 months</v>
      </c>
      <c r="AU2487" s="22" t="s">
        <v>3240</v>
      </c>
    </row>
    <row r="2488" spans="1:47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737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740"/>
        <v>1.13</v>
      </c>
      <c r="Z2488" s="18">
        <f t="shared" si="736"/>
        <v>1162603</v>
      </c>
      <c r="AA2488" s="13">
        <v>1.135</v>
      </c>
      <c r="AB2488" s="21">
        <f t="shared" si="738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22"/>
        <v>15948576.102654871</v>
      </c>
      <c r="AJ2488" s="19">
        <f t="shared" si="723"/>
        <v>2739848.7004853105</v>
      </c>
      <c r="AK2488" s="20">
        <f t="shared" si="730"/>
        <v>0.17179268436567344</v>
      </c>
      <c r="AL2488" s="17"/>
      <c r="AM2488" s="17"/>
      <c r="AN2488" s="17"/>
      <c r="AO2488" s="17"/>
      <c r="AP2488" s="28" t="str">
        <f t="shared" si="731"/>
        <v>20229</v>
      </c>
      <c r="AQ2488" s="28" t="str">
        <f t="shared" si="732"/>
        <v>20229RMB</v>
      </c>
      <c r="AR2488" s="206" t="str">
        <f t="shared" si="733"/>
        <v>YAMAHA_Mounter</v>
      </c>
      <c r="AS2488" s="22">
        <f t="shared" si="734"/>
        <v>1</v>
      </c>
      <c r="AT2488" s="24" t="str">
        <f t="shared" si="735"/>
        <v>0-3 months</v>
      </c>
      <c r="AU2488" s="22" t="s">
        <v>3240</v>
      </c>
    </row>
    <row r="2489" spans="1:47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737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740"/>
        <v>1.13</v>
      </c>
      <c r="Z2489" s="18">
        <f t="shared" si="736"/>
        <v>1162603</v>
      </c>
      <c r="AA2489" s="13">
        <v>1.135</v>
      </c>
      <c r="AB2489" s="21">
        <f t="shared" si="738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22"/>
        <v>15948576.102654871</v>
      </c>
      <c r="AJ2489" s="19">
        <f t="shared" si="723"/>
        <v>2739848.7004853105</v>
      </c>
      <c r="AK2489" s="20">
        <f t="shared" si="730"/>
        <v>0.17179268436567344</v>
      </c>
      <c r="AL2489" s="17"/>
      <c r="AM2489" s="17"/>
      <c r="AN2489" s="17"/>
      <c r="AO2489" s="17"/>
      <c r="AP2489" s="28" t="str">
        <f t="shared" si="731"/>
        <v>20229</v>
      </c>
      <c r="AQ2489" s="28" t="str">
        <f t="shared" si="732"/>
        <v>20229RMB</v>
      </c>
      <c r="AR2489" s="206" t="str">
        <f t="shared" si="733"/>
        <v>YAMAHA_Mounter</v>
      </c>
      <c r="AS2489" s="22">
        <f t="shared" si="734"/>
        <v>1</v>
      </c>
      <c r="AT2489" s="24" t="str">
        <f t="shared" si="735"/>
        <v>0-3 months</v>
      </c>
      <c r="AU2489" s="22" t="s">
        <v>3240</v>
      </c>
    </row>
    <row r="2490" spans="1:47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737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740"/>
        <v>1.13</v>
      </c>
      <c r="Z2490" s="18">
        <f t="shared" si="736"/>
        <v>971079</v>
      </c>
      <c r="AA2490" s="13">
        <v>1.135</v>
      </c>
      <c r="AB2490" s="21">
        <f t="shared" si="738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22"/>
        <v>15948576.102654871</v>
      </c>
      <c r="AJ2490" s="19">
        <f t="shared" si="723"/>
        <v>2739848.7004853105</v>
      </c>
      <c r="AK2490" s="20">
        <f t="shared" si="730"/>
        <v>0.17179268436567344</v>
      </c>
      <c r="AL2490" s="17"/>
      <c r="AM2490" s="17"/>
      <c r="AN2490" s="17"/>
      <c r="AO2490" s="17"/>
      <c r="AP2490" s="28" t="str">
        <f t="shared" si="731"/>
        <v>20229</v>
      </c>
      <c r="AQ2490" s="28" t="str">
        <f t="shared" si="732"/>
        <v>20229RMB</v>
      </c>
      <c r="AR2490" s="206" t="str">
        <f t="shared" si="733"/>
        <v>YAMAHA_Mounter</v>
      </c>
      <c r="AS2490" s="22">
        <f t="shared" si="734"/>
        <v>1</v>
      </c>
      <c r="AT2490" s="24" t="str">
        <f t="shared" si="735"/>
        <v>0-3 months</v>
      </c>
      <c r="AU2490" s="22" t="s">
        <v>3240</v>
      </c>
    </row>
    <row r="2491" spans="1:47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737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736"/>
        <v>852780</v>
      </c>
      <c r="AA2491" s="13">
        <v>1.23</v>
      </c>
      <c r="AB2491" s="21">
        <f t="shared" si="738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22"/>
        <v>29288201.603076916</v>
      </c>
      <c r="AJ2491" s="19">
        <f t="shared" si="723"/>
        <v>3870159.1769246152</v>
      </c>
      <c r="AK2491" s="20">
        <f t="shared" si="730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731"/>
        <v>20184</v>
      </c>
      <c r="AQ2491" s="28" t="str">
        <f t="shared" si="732"/>
        <v>20184RMB</v>
      </c>
      <c r="AR2491" s="206" t="str">
        <f t="shared" si="733"/>
        <v>YAMAHA_Mounter</v>
      </c>
      <c r="AS2491" s="22">
        <f t="shared" si="734"/>
        <v>5</v>
      </c>
      <c r="AT2491" s="24" t="str">
        <f t="shared" si="735"/>
        <v>4-6 months</v>
      </c>
      <c r="AU2491" s="22" t="s">
        <v>3240</v>
      </c>
    </row>
    <row r="2492" spans="1:47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737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736"/>
        <v>1000000</v>
      </c>
      <c r="AA2492" s="13">
        <v>1.2</v>
      </c>
      <c r="AB2492" s="21">
        <f t="shared" si="738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22"/>
        <v>47458373.787610628</v>
      </c>
      <c r="AJ2492" s="19">
        <f t="shared" si="723"/>
        <v>7436880.1411522133</v>
      </c>
      <c r="AK2492" s="20">
        <f t="shared" si="730"/>
        <v>0.15670322321692506</v>
      </c>
      <c r="AL2492" s="17"/>
      <c r="AM2492" s="17"/>
      <c r="AN2492" s="17"/>
      <c r="AO2492" s="17"/>
      <c r="AP2492" s="28" t="str">
        <f t="shared" si="731"/>
        <v>20218</v>
      </c>
      <c r="AQ2492" s="28" t="str">
        <f t="shared" si="732"/>
        <v>20218RMB</v>
      </c>
      <c r="AR2492" s="206" t="str">
        <f t="shared" si="733"/>
        <v>YAMAHA_Mounter</v>
      </c>
      <c r="AS2492" s="22">
        <f t="shared" si="734"/>
        <v>7</v>
      </c>
      <c r="AT2492" s="24" t="str">
        <f t="shared" si="735"/>
        <v>&gt; 6 months</v>
      </c>
      <c r="AU2492" s="22" t="s">
        <v>3240</v>
      </c>
    </row>
    <row r="2493" spans="1:47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737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736"/>
        <v>626000</v>
      </c>
      <c r="AA2493" s="13">
        <v>1.17</v>
      </c>
      <c r="AB2493" s="21">
        <f t="shared" si="738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22"/>
        <v>36480247.665929198</v>
      </c>
      <c r="AJ2493" s="19">
        <f t="shared" si="723"/>
        <v>5330996.6372757526</v>
      </c>
      <c r="AK2493" s="20">
        <f t="shared" si="730"/>
        <v>0.14613378412599562</v>
      </c>
      <c r="AL2493" s="17"/>
      <c r="AM2493" s="17"/>
      <c r="AN2493" s="17"/>
      <c r="AO2493" s="17"/>
      <c r="AP2493" s="28" t="str">
        <f t="shared" si="731"/>
        <v>20227</v>
      </c>
      <c r="AQ2493" s="28" t="str">
        <f t="shared" si="732"/>
        <v>20227RMB</v>
      </c>
      <c r="AR2493" s="206" t="str">
        <f t="shared" si="733"/>
        <v>YAMAHA_Mounter</v>
      </c>
      <c r="AS2493" s="22">
        <f t="shared" si="734"/>
        <v>18</v>
      </c>
      <c r="AT2493" s="24" t="str">
        <f t="shared" si="735"/>
        <v>&gt; 6 months</v>
      </c>
      <c r="AU2493" s="22" t="s">
        <v>3240</v>
      </c>
    </row>
    <row r="2494" spans="1:47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737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736"/>
        <v>358000</v>
      </c>
      <c r="AA2494" s="22">
        <v>1.0900000000000001</v>
      </c>
      <c r="AB2494" s="21">
        <f t="shared" si="738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22"/>
        <v>21241742.157380536</v>
      </c>
      <c r="AJ2494" s="27">
        <f t="shared" si="723"/>
        <v>2987081.1613773629</v>
      </c>
      <c r="AK2494" s="28">
        <f t="shared" si="730"/>
        <v>0.14062317201884914</v>
      </c>
      <c r="AL2494" s="24"/>
      <c r="AM2494" s="24"/>
      <c r="AN2494" s="24"/>
      <c r="AO2494" s="24"/>
      <c r="AP2494" s="28" t="str">
        <f t="shared" si="731"/>
        <v>20243</v>
      </c>
      <c r="AQ2494" s="28" t="str">
        <f t="shared" si="732"/>
        <v>20243RMB</v>
      </c>
      <c r="AR2494" s="206" t="str">
        <f t="shared" si="733"/>
        <v>YAMAHA_Non_Mounter</v>
      </c>
      <c r="AS2494" s="22">
        <f t="shared" si="734"/>
        <v>3</v>
      </c>
      <c r="AT2494" s="24" t="str">
        <f t="shared" si="735"/>
        <v>0-3 months</v>
      </c>
      <c r="AU2494" s="22" t="s">
        <v>3240</v>
      </c>
    </row>
    <row r="2495" spans="1:47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737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741">IF(W2495="RMB","1.13", "1")</f>
        <v>1</v>
      </c>
      <c r="Z2495" s="18">
        <f t="shared" si="736"/>
        <v>98000</v>
      </c>
      <c r="AA2495" s="13">
        <v>7.8</v>
      </c>
      <c r="AB2495" s="21">
        <f t="shared" si="738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22"/>
        <v>22717528.991150443</v>
      </c>
      <c r="AJ2495" s="19">
        <f t="shared" si="723"/>
        <v>3947747.192555753</v>
      </c>
      <c r="AK2495" s="20">
        <f t="shared" si="730"/>
        <v>0.1737753782153679</v>
      </c>
      <c r="AL2495" s="17"/>
      <c r="AM2495" s="17"/>
      <c r="AN2495" s="17"/>
      <c r="AO2495" s="17"/>
      <c r="AP2495" s="28" t="str">
        <f t="shared" si="731"/>
        <v>202210</v>
      </c>
      <c r="AQ2495" s="28" t="str">
        <f t="shared" si="732"/>
        <v>202210USD</v>
      </c>
      <c r="AR2495" s="206" t="str">
        <f t="shared" si="733"/>
        <v>YAMAHA_Mounter</v>
      </c>
      <c r="AS2495" s="22">
        <f t="shared" si="734"/>
        <v>1</v>
      </c>
      <c r="AT2495" s="24" t="str">
        <f t="shared" si="735"/>
        <v>0-3 months</v>
      </c>
      <c r="AU2495" s="22" t="s">
        <v>3240</v>
      </c>
    </row>
    <row r="2496" spans="1:47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737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741"/>
        <v>1</v>
      </c>
      <c r="Z2496" s="18">
        <f t="shared" si="736"/>
        <v>126000</v>
      </c>
      <c r="AA2496" s="13">
        <v>7.8</v>
      </c>
      <c r="AB2496" s="21">
        <f t="shared" si="738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22"/>
        <v>22717528.991150443</v>
      </c>
      <c r="AJ2496" s="19">
        <f t="shared" si="723"/>
        <v>3947747.192555753</v>
      </c>
      <c r="AK2496" s="20">
        <f t="shared" si="730"/>
        <v>0.1737753782153679</v>
      </c>
      <c r="AL2496" s="17"/>
      <c r="AM2496" s="17"/>
      <c r="AN2496" s="17"/>
      <c r="AO2496" s="17"/>
      <c r="AP2496" s="28" t="str">
        <f t="shared" si="731"/>
        <v>202210</v>
      </c>
      <c r="AQ2496" s="28" t="str">
        <f t="shared" si="732"/>
        <v>202210USD</v>
      </c>
      <c r="AR2496" s="206" t="str">
        <f t="shared" si="733"/>
        <v>YAMAHA_Mounter</v>
      </c>
      <c r="AS2496" s="22">
        <f t="shared" si="734"/>
        <v>1</v>
      </c>
      <c r="AT2496" s="24" t="str">
        <f t="shared" si="735"/>
        <v>0-3 months</v>
      </c>
      <c r="AU2496" s="22" t="s">
        <v>3240</v>
      </c>
    </row>
    <row r="2497" spans="1:47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737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741"/>
        <v>1</v>
      </c>
      <c r="Z2497" s="18">
        <f t="shared" si="736"/>
        <v>85000</v>
      </c>
      <c r="AA2497" s="13">
        <v>7.8</v>
      </c>
      <c r="AB2497" s="21">
        <f t="shared" si="738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22"/>
        <v>22717528.991150443</v>
      </c>
      <c r="AJ2497" s="19">
        <f t="shared" si="723"/>
        <v>3947747.192555753</v>
      </c>
      <c r="AK2497" s="20">
        <f t="shared" si="730"/>
        <v>0.1737753782153679</v>
      </c>
      <c r="AL2497" s="17"/>
      <c r="AM2497" s="17"/>
      <c r="AN2497" s="17"/>
      <c r="AO2497" s="17"/>
      <c r="AP2497" s="28" t="str">
        <f t="shared" si="731"/>
        <v>202210</v>
      </c>
      <c r="AQ2497" s="28" t="str">
        <f t="shared" si="732"/>
        <v>202210USD</v>
      </c>
      <c r="AR2497" s="206" t="str">
        <f t="shared" si="733"/>
        <v>YAMAHA_Non_Mounter</v>
      </c>
      <c r="AS2497" s="22">
        <f t="shared" si="734"/>
        <v>1</v>
      </c>
      <c r="AT2497" s="24" t="str">
        <f t="shared" si="735"/>
        <v>0-3 months</v>
      </c>
      <c r="AU2497" s="22" t="s">
        <v>3240</v>
      </c>
    </row>
    <row r="2498" spans="1:47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737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741"/>
        <v>1</v>
      </c>
      <c r="Z2498" s="18">
        <f t="shared" si="736"/>
        <v>58000</v>
      </c>
      <c r="AA2498" s="13">
        <v>7.8</v>
      </c>
      <c r="AB2498" s="21">
        <f t="shared" si="738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ref="AI2498:AI2561" si="742">IF(P2498="C66 SERVICE","",SUMIFS(AB:AB,F:F,F2498,G:G,G2498,E:E,E2498))</f>
        <v>22717528.991150443</v>
      </c>
      <c r="AJ2498" s="19">
        <f t="shared" ref="AJ2498:AJ2561" si="743">IF(P2498="C66 SERVICE","",SUMIFS(AC:AC,F:F,F2498,G:G,G2498,E:E,E2498))</f>
        <v>3947747.192555753</v>
      </c>
      <c r="AK2498" s="20">
        <f t="shared" si="730"/>
        <v>0.1737753782153679</v>
      </c>
      <c r="AL2498" s="17"/>
      <c r="AM2498" s="17"/>
      <c r="AN2498" s="17"/>
      <c r="AO2498" s="17"/>
      <c r="AP2498" s="28" t="str">
        <f t="shared" si="731"/>
        <v>202210</v>
      </c>
      <c r="AQ2498" s="28" t="str">
        <f t="shared" si="732"/>
        <v>202210USD</v>
      </c>
      <c r="AR2498" s="206" t="str">
        <f t="shared" si="733"/>
        <v>YAMAHA_Non_Mounter</v>
      </c>
      <c r="AS2498" s="22">
        <f t="shared" si="734"/>
        <v>1</v>
      </c>
      <c r="AT2498" s="24" t="str">
        <f t="shared" si="735"/>
        <v>0-3 months</v>
      </c>
      <c r="AU2498" s="22" t="s">
        <v>3240</v>
      </c>
    </row>
    <row r="2499" spans="1:47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737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741"/>
        <v>1</v>
      </c>
      <c r="Z2499" s="18">
        <f t="shared" si="736"/>
        <v>51000</v>
      </c>
      <c r="AA2499" s="13">
        <v>7.8</v>
      </c>
      <c r="AB2499" s="21">
        <f t="shared" si="738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42"/>
        <v>22717528.991150443</v>
      </c>
      <c r="AJ2499" s="19">
        <f t="shared" si="743"/>
        <v>3947747.192555753</v>
      </c>
      <c r="AK2499" s="20">
        <f t="shared" si="730"/>
        <v>0.1737753782153679</v>
      </c>
      <c r="AL2499" s="17"/>
      <c r="AM2499" s="17"/>
      <c r="AN2499" s="17"/>
      <c r="AO2499" s="17"/>
      <c r="AP2499" s="28" t="str">
        <f t="shared" si="731"/>
        <v>202210</v>
      </c>
      <c r="AQ2499" s="28" t="str">
        <f t="shared" si="732"/>
        <v>202210USD</v>
      </c>
      <c r="AR2499" s="206" t="str">
        <f t="shared" si="733"/>
        <v>HELLER</v>
      </c>
      <c r="AS2499" s="22">
        <f t="shared" si="734"/>
        <v>1</v>
      </c>
      <c r="AT2499" s="24" t="str">
        <f t="shared" si="735"/>
        <v>0-3 months</v>
      </c>
      <c r="AU2499" s="22" t="s">
        <v>3240</v>
      </c>
    </row>
    <row r="2500" spans="1:47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737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741"/>
        <v>1</v>
      </c>
      <c r="Z2500" s="18">
        <f t="shared" si="736"/>
        <v>7500</v>
      </c>
      <c r="AA2500" s="13">
        <v>7.8</v>
      </c>
      <c r="AB2500" s="21">
        <f t="shared" si="738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42"/>
        <v>22717528.991150443</v>
      </c>
      <c r="AJ2500" s="19">
        <f t="shared" si="743"/>
        <v>3947747.192555753</v>
      </c>
      <c r="AK2500" s="20">
        <f t="shared" si="730"/>
        <v>0.1737753782153679</v>
      </c>
      <c r="AL2500" s="17"/>
      <c r="AM2500" s="17"/>
      <c r="AN2500" s="17"/>
      <c r="AO2500" s="17"/>
      <c r="AP2500" s="28" t="str">
        <f t="shared" si="731"/>
        <v>202210</v>
      </c>
      <c r="AQ2500" s="28" t="str">
        <f t="shared" si="732"/>
        <v>202210USD</v>
      </c>
      <c r="AR2500" s="206" t="str">
        <f t="shared" si="733"/>
        <v>LOCAL SUPPLIER</v>
      </c>
      <c r="AS2500" s="22">
        <f t="shared" si="734"/>
        <v>1</v>
      </c>
      <c r="AT2500" s="24" t="str">
        <f t="shared" si="735"/>
        <v>0-3 months</v>
      </c>
      <c r="AU2500" s="22" t="s">
        <v>3240</v>
      </c>
    </row>
    <row r="2501" spans="1:47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737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741"/>
        <v>1</v>
      </c>
      <c r="Z2501" s="18">
        <f t="shared" si="736"/>
        <v>2500</v>
      </c>
      <c r="AA2501" s="13">
        <v>7.8</v>
      </c>
      <c r="AB2501" s="21">
        <f t="shared" si="738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42"/>
        <v>22717528.991150443</v>
      </c>
      <c r="AJ2501" s="19">
        <f t="shared" si="743"/>
        <v>3947747.192555753</v>
      </c>
      <c r="AK2501" s="20">
        <f t="shared" si="730"/>
        <v>0.1737753782153679</v>
      </c>
      <c r="AL2501" s="17"/>
      <c r="AM2501" s="17"/>
      <c r="AN2501" s="17"/>
      <c r="AO2501" s="17"/>
      <c r="AP2501" s="28" t="str">
        <f t="shared" si="731"/>
        <v>202210</v>
      </c>
      <c r="AQ2501" s="28" t="str">
        <f t="shared" si="732"/>
        <v>202210USD</v>
      </c>
      <c r="AR2501" s="206" t="str">
        <f t="shared" si="733"/>
        <v>LOCAL SUPPLIER</v>
      </c>
      <c r="AS2501" s="22">
        <f t="shared" si="734"/>
        <v>1</v>
      </c>
      <c r="AT2501" s="24" t="str">
        <f t="shared" si="735"/>
        <v>0-3 months</v>
      </c>
      <c r="AU2501" s="22" t="s">
        <v>3240</v>
      </c>
    </row>
    <row r="2502" spans="1:47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737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741"/>
        <v>1</v>
      </c>
      <c r="Z2502" s="18">
        <f t="shared" si="736"/>
        <v>2500</v>
      </c>
      <c r="AA2502" s="13">
        <v>7.8</v>
      </c>
      <c r="AB2502" s="21">
        <f t="shared" si="738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si="742"/>
        <v>22717528.991150443</v>
      </c>
      <c r="AJ2502" s="19">
        <f t="shared" si="743"/>
        <v>3947747.192555753</v>
      </c>
      <c r="AK2502" s="20">
        <f t="shared" ref="AK2502:AK2565" si="749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0">IF(F2502="","",F2502&amp;G2502)</f>
        <v>202210</v>
      </c>
      <c r="AQ2502" s="28" t="str">
        <f t="shared" ref="AQ2502:AQ2565" si="751">IF(W2502="","",F2502&amp;G2502&amp;W2502)</f>
        <v>202210USD</v>
      </c>
      <c r="AR2502" s="206" t="str">
        <f t="shared" ref="AR2502:AR2565" si="752">IFERROR(IF(AND(M2502="YAMAHA", R2502="C28"), "YAMAHA_Non_Mounter", IF(AND(M2502="YAMAHA", R2502="C49"), "YAMAHA_Mounter", M2502)),"")</f>
        <v>LOCAL SUPPLIER</v>
      </c>
      <c r="AS2502" s="22">
        <f t="shared" ref="AS2502:AS2565" si="753">IFERROR(IF(OR(G2502="TBA", G2502=""), "", DATEDIF(DATE(B2502, C2502, 1), DATE(F2502, G2502, 1), "M")),"")</f>
        <v>1</v>
      </c>
      <c r="AT2502" s="24" t="str">
        <f t="shared" ref="AT2502:AT2565" si="754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737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741"/>
        <v>1</v>
      </c>
      <c r="Z2503" s="18">
        <f t="shared" si="736"/>
        <v>8500</v>
      </c>
      <c r="AA2503" s="13">
        <v>7.8</v>
      </c>
      <c r="AB2503" s="21">
        <f t="shared" si="738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2"/>
        <v>22717528.991150443</v>
      </c>
      <c r="AJ2503" s="19">
        <f t="shared" si="743"/>
        <v>3947747.192555753</v>
      </c>
      <c r="AK2503" s="20">
        <f t="shared" si="749"/>
        <v>0.1737753782153679</v>
      </c>
      <c r="AL2503" s="17"/>
      <c r="AM2503" s="17"/>
      <c r="AN2503" s="17"/>
      <c r="AO2503" s="17"/>
      <c r="AP2503" s="28" t="str">
        <f t="shared" si="750"/>
        <v>202210</v>
      </c>
      <c r="AQ2503" s="28" t="str">
        <f t="shared" si="751"/>
        <v>202210USD</v>
      </c>
      <c r="AR2503" s="206" t="str">
        <f t="shared" si="752"/>
        <v>LOCAL SUPPLIER</v>
      </c>
      <c r="AS2503" s="22">
        <f t="shared" si="753"/>
        <v>1</v>
      </c>
      <c r="AT2503" s="24" t="str">
        <f t="shared" si="754"/>
        <v>0-3 months</v>
      </c>
      <c r="AU2503" s="22" t="s">
        <v>3240</v>
      </c>
    </row>
    <row r="2504" spans="1:47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737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741"/>
        <v>1</v>
      </c>
      <c r="Z2504" s="18">
        <f t="shared" si="736"/>
        <v>4500</v>
      </c>
      <c r="AA2504" s="13">
        <v>7.8</v>
      </c>
      <c r="AB2504" s="21">
        <f t="shared" si="738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2"/>
        <v>22717528.991150443</v>
      </c>
      <c r="AJ2504" s="19">
        <f t="shared" si="743"/>
        <v>3947747.192555753</v>
      </c>
      <c r="AK2504" s="20">
        <f t="shared" si="749"/>
        <v>0.1737753782153679</v>
      </c>
      <c r="AL2504" s="17"/>
      <c r="AM2504" s="17"/>
      <c r="AN2504" s="17"/>
      <c r="AO2504" s="17"/>
      <c r="AP2504" s="28" t="str">
        <f t="shared" si="750"/>
        <v>202210</v>
      </c>
      <c r="AQ2504" s="28" t="str">
        <f t="shared" si="751"/>
        <v>202210USD</v>
      </c>
      <c r="AR2504" s="206" t="str">
        <f t="shared" si="752"/>
        <v>LOCAL SUPPLIER</v>
      </c>
      <c r="AS2504" s="22">
        <f t="shared" si="753"/>
        <v>1</v>
      </c>
      <c r="AT2504" s="24" t="str">
        <f t="shared" si="754"/>
        <v>0-3 months</v>
      </c>
      <c r="AU2504" s="22" t="s">
        <v>3240</v>
      </c>
    </row>
    <row r="2505" spans="1:47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737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736"/>
        <v>4500</v>
      </c>
      <c r="AA2505" s="13">
        <v>7.8</v>
      </c>
      <c r="AB2505" s="21">
        <f t="shared" si="738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2"/>
        <v>22717528.991150443</v>
      </c>
      <c r="AJ2505" s="19">
        <f t="shared" si="743"/>
        <v>3947747.192555753</v>
      </c>
      <c r="AK2505" s="20">
        <f t="shared" si="749"/>
        <v>0.1737753782153679</v>
      </c>
      <c r="AL2505" s="17"/>
      <c r="AM2505" s="17"/>
      <c r="AN2505" s="17"/>
      <c r="AO2505" s="17"/>
      <c r="AP2505" s="28" t="str">
        <f t="shared" si="750"/>
        <v>202210</v>
      </c>
      <c r="AQ2505" s="28" t="str">
        <f t="shared" si="751"/>
        <v>202210USD</v>
      </c>
      <c r="AR2505" s="206" t="str">
        <f t="shared" si="752"/>
        <v>LOCAL SUPPLIER</v>
      </c>
      <c r="AS2505" s="22">
        <f t="shared" si="753"/>
        <v>1</v>
      </c>
      <c r="AT2505" s="24" t="str">
        <f t="shared" si="754"/>
        <v>0-3 months</v>
      </c>
      <c r="AU2505" s="22" t="s">
        <v>3240</v>
      </c>
    </row>
    <row r="2506" spans="1:47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737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755">IF(X2506="","",X2506*MAX(O2506,N2506))</f>
        <v>52000</v>
      </c>
      <c r="AA2506" s="13">
        <v>7.8</v>
      </c>
      <c r="AB2506" s="21">
        <f t="shared" si="738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2"/>
        <v>22717528.991150443</v>
      </c>
      <c r="AJ2506" s="19">
        <f t="shared" si="743"/>
        <v>3947747.192555753</v>
      </c>
      <c r="AK2506" s="20">
        <f t="shared" si="749"/>
        <v>0.1737753782153679</v>
      </c>
      <c r="AL2506" s="17"/>
      <c r="AM2506" s="17"/>
      <c r="AN2506" s="17"/>
      <c r="AO2506" s="17"/>
      <c r="AP2506" s="28" t="str">
        <f t="shared" si="750"/>
        <v>202210</v>
      </c>
      <c r="AQ2506" s="28" t="str">
        <f t="shared" si="751"/>
        <v>202210USD</v>
      </c>
      <c r="AR2506" s="206" t="str">
        <f t="shared" si="752"/>
        <v>PEMTRON</v>
      </c>
      <c r="AS2506" s="22">
        <f t="shared" si="753"/>
        <v>1</v>
      </c>
      <c r="AT2506" s="24" t="str">
        <f t="shared" si="754"/>
        <v>0-3 months</v>
      </c>
      <c r="AU2506" s="22" t="s">
        <v>3240</v>
      </c>
    </row>
    <row r="2507" spans="1:47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737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756">IF(W2507="RMB","1.13", "1")</f>
        <v>1.13</v>
      </c>
      <c r="Z2507" s="18">
        <f t="shared" si="755"/>
        <v>990000</v>
      </c>
      <c r="AA2507" s="13">
        <v>1.0920000000000001</v>
      </c>
      <c r="AB2507" s="21">
        <f t="shared" si="738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2"/>
        <v>22953677.784070797</v>
      </c>
      <c r="AJ2507" s="19">
        <f t="shared" si="743"/>
        <v>4168706.6744155753</v>
      </c>
      <c r="AK2507" s="20">
        <f t="shared" si="749"/>
        <v>0.18161388835511752</v>
      </c>
      <c r="AL2507" s="17"/>
      <c r="AM2507" s="17"/>
      <c r="AN2507" s="17"/>
      <c r="AO2507" s="17"/>
      <c r="AP2507" s="28" t="str">
        <f t="shared" si="750"/>
        <v>20238</v>
      </c>
      <c r="AQ2507" s="28" t="str">
        <f t="shared" si="751"/>
        <v>20238RMB</v>
      </c>
      <c r="AR2507" s="206" t="str">
        <f t="shared" si="752"/>
        <v>YAMAHA_Mounter</v>
      </c>
      <c r="AS2507" s="22">
        <f t="shared" si="753"/>
        <v>16</v>
      </c>
      <c r="AT2507" s="24" t="str">
        <f t="shared" si="754"/>
        <v>&gt; 6 months</v>
      </c>
      <c r="AU2507" s="22" t="s">
        <v>3750</v>
      </c>
    </row>
    <row r="2508" spans="1:47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737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756"/>
        <v>1.13</v>
      </c>
      <c r="Z2508" s="18">
        <f t="shared" si="755"/>
        <v>990000</v>
      </c>
      <c r="AA2508" s="13">
        <v>1.0920000000000001</v>
      </c>
      <c r="AB2508" s="21">
        <f t="shared" si="738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2"/>
        <v>22953677.784070797</v>
      </c>
      <c r="AJ2508" s="19">
        <f t="shared" si="743"/>
        <v>4168706.6744155753</v>
      </c>
      <c r="AK2508" s="20">
        <f t="shared" si="749"/>
        <v>0.18161388835511752</v>
      </c>
      <c r="AL2508" s="17"/>
      <c r="AM2508" s="17"/>
      <c r="AN2508" s="17"/>
      <c r="AO2508" s="17"/>
      <c r="AP2508" s="28" t="str">
        <f t="shared" si="750"/>
        <v>20238</v>
      </c>
      <c r="AQ2508" s="28" t="str">
        <f t="shared" si="751"/>
        <v>20238RMB</v>
      </c>
      <c r="AR2508" s="206" t="str">
        <f t="shared" si="752"/>
        <v>YAMAHA_Mounter</v>
      </c>
      <c r="AS2508" s="22">
        <f t="shared" si="753"/>
        <v>16</v>
      </c>
      <c r="AT2508" s="24" t="str">
        <f t="shared" si="754"/>
        <v>&gt; 6 months</v>
      </c>
      <c r="AU2508" s="22" t="s">
        <v>3750</v>
      </c>
    </row>
    <row r="2509" spans="1:47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737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756"/>
        <v>1.13</v>
      </c>
      <c r="Z2509" s="18">
        <f t="shared" si="755"/>
        <v>990000</v>
      </c>
      <c r="AA2509" s="13">
        <v>1.0920000000000001</v>
      </c>
      <c r="AB2509" s="21">
        <f t="shared" si="738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2"/>
        <v>22953677.784070797</v>
      </c>
      <c r="AJ2509" s="19">
        <f t="shared" si="743"/>
        <v>4168706.6744155753</v>
      </c>
      <c r="AK2509" s="20">
        <f t="shared" si="749"/>
        <v>0.18161388835511752</v>
      </c>
      <c r="AL2509" s="17"/>
      <c r="AM2509" s="17"/>
      <c r="AN2509" s="17"/>
      <c r="AO2509" s="17"/>
      <c r="AP2509" s="28" t="str">
        <f t="shared" si="750"/>
        <v>20238</v>
      </c>
      <c r="AQ2509" s="28" t="str">
        <f t="shared" si="751"/>
        <v>20238RMB</v>
      </c>
      <c r="AR2509" s="206" t="str">
        <f t="shared" si="752"/>
        <v>YAMAHA_Mounter</v>
      </c>
      <c r="AS2509" s="22">
        <f t="shared" si="753"/>
        <v>16</v>
      </c>
      <c r="AT2509" s="24" t="str">
        <f t="shared" si="754"/>
        <v>&gt; 6 months</v>
      </c>
      <c r="AU2509" s="22" t="s">
        <v>3750</v>
      </c>
    </row>
    <row r="2510" spans="1:47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737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756"/>
        <v>1.13</v>
      </c>
      <c r="Z2510" s="18">
        <f t="shared" si="755"/>
        <v>990000</v>
      </c>
      <c r="AA2510" s="13">
        <v>1.0920000000000001</v>
      </c>
      <c r="AB2510" s="21">
        <f t="shared" si="738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2"/>
        <v>22953677.784070797</v>
      </c>
      <c r="AJ2510" s="19">
        <f t="shared" si="743"/>
        <v>4168706.6744155753</v>
      </c>
      <c r="AK2510" s="20">
        <f t="shared" si="749"/>
        <v>0.18161388835511752</v>
      </c>
      <c r="AL2510" s="17"/>
      <c r="AM2510" s="17"/>
      <c r="AN2510" s="17"/>
      <c r="AO2510" s="17"/>
      <c r="AP2510" s="28" t="str">
        <f t="shared" si="750"/>
        <v>20238</v>
      </c>
      <c r="AQ2510" s="28" t="str">
        <f t="shared" si="751"/>
        <v>20238RMB</v>
      </c>
      <c r="AR2510" s="206" t="str">
        <f t="shared" si="752"/>
        <v>YAMAHA_Mounter</v>
      </c>
      <c r="AS2510" s="22">
        <f t="shared" si="753"/>
        <v>16</v>
      </c>
      <c r="AT2510" s="24" t="str">
        <f t="shared" si="754"/>
        <v>&gt; 6 months</v>
      </c>
      <c r="AU2510" s="22" t="s">
        <v>3750</v>
      </c>
    </row>
    <row r="2511" spans="1:47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737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756"/>
        <v>1.13</v>
      </c>
      <c r="Z2511" s="18">
        <f t="shared" si="755"/>
        <v>990000</v>
      </c>
      <c r="AA2511" s="13">
        <v>1.0920000000000001</v>
      </c>
      <c r="AB2511" s="21">
        <f t="shared" si="738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2"/>
        <v>22953677.784070797</v>
      </c>
      <c r="AJ2511" s="19">
        <f t="shared" si="743"/>
        <v>4168706.6744155753</v>
      </c>
      <c r="AK2511" s="20">
        <f t="shared" si="749"/>
        <v>0.18161388835511752</v>
      </c>
      <c r="AL2511" s="17"/>
      <c r="AM2511" s="17"/>
      <c r="AN2511" s="17"/>
      <c r="AO2511" s="17"/>
      <c r="AP2511" s="28" t="str">
        <f t="shared" si="750"/>
        <v>20238</v>
      </c>
      <c r="AQ2511" s="28" t="str">
        <f t="shared" si="751"/>
        <v>20238RMB</v>
      </c>
      <c r="AR2511" s="206" t="str">
        <f t="shared" si="752"/>
        <v>YAMAHA_Mounter</v>
      </c>
      <c r="AS2511" s="22">
        <f t="shared" si="753"/>
        <v>16</v>
      </c>
      <c r="AT2511" s="24" t="str">
        <f t="shared" si="754"/>
        <v>&gt; 6 months</v>
      </c>
      <c r="AU2511" s="22" t="s">
        <v>3750</v>
      </c>
    </row>
    <row r="2512" spans="1:47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737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756"/>
        <v>1.13</v>
      </c>
      <c r="Z2512" s="18">
        <f t="shared" si="755"/>
        <v>990000</v>
      </c>
      <c r="AA2512" s="13">
        <v>1.0920000000000001</v>
      </c>
      <c r="AB2512" s="21">
        <f t="shared" si="738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2"/>
        <v>22953677.784070797</v>
      </c>
      <c r="AJ2512" s="19">
        <f t="shared" si="743"/>
        <v>4168706.6744155753</v>
      </c>
      <c r="AK2512" s="20">
        <f t="shared" si="749"/>
        <v>0.18161388835511752</v>
      </c>
      <c r="AL2512" s="17"/>
      <c r="AM2512" s="17"/>
      <c r="AN2512" s="17"/>
      <c r="AO2512" s="17"/>
      <c r="AP2512" s="28" t="str">
        <f t="shared" si="750"/>
        <v>20238</v>
      </c>
      <c r="AQ2512" s="28" t="str">
        <f t="shared" si="751"/>
        <v>20238RMB</v>
      </c>
      <c r="AR2512" s="206" t="str">
        <f t="shared" si="752"/>
        <v>YAMAHA_Mounter</v>
      </c>
      <c r="AS2512" s="22">
        <f t="shared" si="753"/>
        <v>16</v>
      </c>
      <c r="AT2512" s="24" t="str">
        <f t="shared" si="754"/>
        <v>&gt; 6 months</v>
      </c>
      <c r="AU2512" s="22" t="s">
        <v>3750</v>
      </c>
    </row>
    <row r="2513" spans="1:47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737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756"/>
        <v>1.13</v>
      </c>
      <c r="Z2513" s="18">
        <f t="shared" si="755"/>
        <v>650000</v>
      </c>
      <c r="AA2513" s="13">
        <v>1.0920000000000001</v>
      </c>
      <c r="AB2513" s="21">
        <f t="shared" si="738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2"/>
        <v>22953677.784070797</v>
      </c>
      <c r="AJ2513" s="19">
        <f t="shared" si="743"/>
        <v>4168706.6744155753</v>
      </c>
      <c r="AK2513" s="20">
        <f t="shared" si="749"/>
        <v>0.18161388835511752</v>
      </c>
      <c r="AL2513" s="17"/>
      <c r="AM2513" s="17"/>
      <c r="AN2513" s="17"/>
      <c r="AO2513" s="17"/>
      <c r="AP2513" s="28" t="str">
        <f t="shared" si="750"/>
        <v>20238</v>
      </c>
      <c r="AQ2513" s="28" t="str">
        <f t="shared" si="751"/>
        <v>20238RMB</v>
      </c>
      <c r="AR2513" s="206" t="str">
        <f t="shared" si="752"/>
        <v>YAMAHA_Mounter</v>
      </c>
      <c r="AS2513" s="22">
        <f t="shared" si="753"/>
        <v>16</v>
      </c>
      <c r="AT2513" s="24" t="str">
        <f t="shared" si="754"/>
        <v>&gt; 6 months</v>
      </c>
      <c r="AU2513" s="22" t="s">
        <v>3750</v>
      </c>
    </row>
    <row r="2514" spans="1:47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737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756"/>
        <v>1.13</v>
      </c>
      <c r="Z2514" s="18">
        <f t="shared" si="755"/>
        <v>650000</v>
      </c>
      <c r="AA2514" s="13">
        <v>1.0920000000000001</v>
      </c>
      <c r="AB2514" s="21">
        <f t="shared" si="738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2"/>
        <v>22953677.784070797</v>
      </c>
      <c r="AJ2514" s="19">
        <f t="shared" si="743"/>
        <v>4168706.6744155753</v>
      </c>
      <c r="AK2514" s="20">
        <f t="shared" si="749"/>
        <v>0.18161388835511752</v>
      </c>
      <c r="AL2514" s="17"/>
      <c r="AM2514" s="17"/>
      <c r="AN2514" s="17"/>
      <c r="AO2514" s="17"/>
      <c r="AP2514" s="28" t="str">
        <f t="shared" si="750"/>
        <v>20238</v>
      </c>
      <c r="AQ2514" s="28" t="str">
        <f t="shared" si="751"/>
        <v>20238RMB</v>
      </c>
      <c r="AR2514" s="206" t="str">
        <f t="shared" si="752"/>
        <v>YAMAHA_Mounter</v>
      </c>
      <c r="AS2514" s="22">
        <f t="shared" si="753"/>
        <v>16</v>
      </c>
      <c r="AT2514" s="24" t="str">
        <f t="shared" si="754"/>
        <v>&gt; 6 months</v>
      </c>
      <c r="AU2514" s="22" t="s">
        <v>3750</v>
      </c>
    </row>
    <row r="2515" spans="1:47" s="12" customFormat="1">
      <c r="A2515" s="33" t="str">
        <f t="shared" si="744"/>
        <v>cancel</v>
      </c>
      <c r="B2515" s="152"/>
      <c r="C2515" s="152" t="s">
        <v>185</v>
      </c>
      <c r="D2515" s="33" t="str">
        <f t="shared" si="74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737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756"/>
        <v>1.13</v>
      </c>
      <c r="Z2515" s="18">
        <f t="shared" si="755"/>
        <v>0</v>
      </c>
      <c r="AA2515" s="13">
        <v>1.2</v>
      </c>
      <c r="AB2515" s="21">
        <f t="shared" si="738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2"/>
        <v>47458373.787610628</v>
      </c>
      <c r="AJ2515" s="19">
        <f t="shared" si="743"/>
        <v>7436880.1411522133</v>
      </c>
      <c r="AK2515" s="20">
        <f t="shared" si="749"/>
        <v>0.15670322321692506</v>
      </c>
      <c r="AL2515" s="17"/>
      <c r="AM2515" s="17"/>
      <c r="AN2515" s="17"/>
      <c r="AO2515" s="17"/>
      <c r="AP2515" s="28" t="str">
        <f t="shared" si="750"/>
        <v>20218</v>
      </c>
      <c r="AQ2515" s="28" t="str">
        <f t="shared" si="751"/>
        <v>20218RMB</v>
      </c>
      <c r="AR2515" s="206">
        <f t="shared" si="752"/>
        <v>0</v>
      </c>
      <c r="AS2515" s="22" t="str">
        <f t="shared" si="753"/>
        <v/>
      </c>
      <c r="AT2515" s="24" t="str">
        <f t="shared" si="754"/>
        <v/>
      </c>
      <c r="AU2515" s="22" t="s">
        <v>3240</v>
      </c>
    </row>
    <row r="2516" spans="1:47" s="12" customFormat="1">
      <c r="A2516" s="33" t="str">
        <f t="shared" si="744"/>
        <v>cancel</v>
      </c>
      <c r="B2516" s="152"/>
      <c r="C2516" s="152" t="s">
        <v>185</v>
      </c>
      <c r="D2516" s="33" t="str">
        <f t="shared" si="74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74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737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755"/>
        <v>10500000</v>
      </c>
      <c r="AA2516" s="13">
        <v>7.2300000000000003E-2</v>
      </c>
      <c r="AB2516" s="21">
        <f t="shared" si="738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2"/>
        <v>499582152.5142017</v>
      </c>
      <c r="AJ2516" s="19">
        <f t="shared" si="743"/>
        <v>59520528.679470733</v>
      </c>
      <c r="AK2516" s="20">
        <f t="shared" si="749"/>
        <v>0.11914062257814291</v>
      </c>
      <c r="AL2516" s="17"/>
      <c r="AM2516" s="17"/>
      <c r="AN2516" s="17"/>
      <c r="AO2516" s="17"/>
      <c r="AP2516" s="28" t="str">
        <f t="shared" si="750"/>
        <v>CancelCancel</v>
      </c>
      <c r="AQ2516" s="28" t="str">
        <f t="shared" si="751"/>
        <v>CancelCancelJPY</v>
      </c>
      <c r="AR2516" s="206" t="str">
        <f t="shared" si="752"/>
        <v>YAMAHA_Mounter</v>
      </c>
      <c r="AS2516" s="22" t="str">
        <f t="shared" si="753"/>
        <v/>
      </c>
      <c r="AT2516" s="24" t="str">
        <f t="shared" si="754"/>
        <v/>
      </c>
      <c r="AU2516" s="22" t="s">
        <v>3745</v>
      </c>
    </row>
    <row r="2517" spans="1:47" s="12" customFormat="1">
      <c r="A2517" s="33" t="str">
        <f t="shared" si="744"/>
        <v>cancel</v>
      </c>
      <c r="B2517" s="152"/>
      <c r="C2517" s="152" t="s">
        <v>185</v>
      </c>
      <c r="D2517" s="33" t="str">
        <f t="shared" si="74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74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737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755"/>
        <v>31500000</v>
      </c>
      <c r="AA2517" s="13">
        <v>7.22E-2</v>
      </c>
      <c r="AB2517" s="21">
        <f t="shared" si="738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2"/>
        <v>499582152.5142017</v>
      </c>
      <c r="AJ2517" s="19">
        <f t="shared" si="743"/>
        <v>59520528.679470733</v>
      </c>
      <c r="AK2517" s="20">
        <f t="shared" si="749"/>
        <v>0.11914062257814291</v>
      </c>
      <c r="AL2517" s="17"/>
      <c r="AM2517" s="17"/>
      <c r="AN2517" s="17"/>
      <c r="AO2517" s="17"/>
      <c r="AP2517" s="28" t="str">
        <f t="shared" si="750"/>
        <v>CancelCancel</v>
      </c>
      <c r="AQ2517" s="28" t="str">
        <f t="shared" si="751"/>
        <v>CancelCancelJPY</v>
      </c>
      <c r="AR2517" s="206" t="str">
        <f t="shared" si="752"/>
        <v>YAMAHA_Mounter</v>
      </c>
      <c r="AS2517" s="22" t="str">
        <f t="shared" si="753"/>
        <v/>
      </c>
      <c r="AT2517" s="24" t="str">
        <f t="shared" si="754"/>
        <v/>
      </c>
      <c r="AU2517" s="22" t="s">
        <v>3745</v>
      </c>
    </row>
    <row r="2518" spans="1:47" s="12" customFormat="1">
      <c r="A2518" s="33" t="str">
        <f t="shared" si="744"/>
        <v>cancel</v>
      </c>
      <c r="B2518" s="152"/>
      <c r="C2518" s="152" t="s">
        <v>185</v>
      </c>
      <c r="D2518" s="33" t="str">
        <f t="shared" si="74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74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757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755"/>
        <v>28000000</v>
      </c>
      <c r="AA2518" s="13">
        <v>7.22E-2</v>
      </c>
      <c r="AB2518" s="21">
        <f t="shared" ref="AB2518:AB2581" si="758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2"/>
        <v>499582152.5142017</v>
      </c>
      <c r="AJ2518" s="19">
        <f t="shared" si="743"/>
        <v>59520528.679470733</v>
      </c>
      <c r="AK2518" s="20">
        <f t="shared" si="749"/>
        <v>0.11914062257814291</v>
      </c>
      <c r="AL2518" s="17"/>
      <c r="AM2518" s="17"/>
      <c r="AN2518" s="17"/>
      <c r="AO2518" s="17"/>
      <c r="AP2518" s="28" t="str">
        <f t="shared" si="750"/>
        <v>CancelCancel</v>
      </c>
      <c r="AQ2518" s="28" t="str">
        <f t="shared" si="751"/>
        <v>CancelCancelJPY</v>
      </c>
      <c r="AR2518" s="206" t="str">
        <f t="shared" si="752"/>
        <v>YAMAHA_Mounter</v>
      </c>
      <c r="AS2518" s="22" t="str">
        <f t="shared" si="753"/>
        <v/>
      </c>
      <c r="AT2518" s="24" t="str">
        <f t="shared" si="754"/>
        <v/>
      </c>
      <c r="AU2518" s="22" t="s">
        <v>3745</v>
      </c>
    </row>
    <row r="2519" spans="1:47" s="12" customFormat="1">
      <c r="A2519" s="33" t="str">
        <f t="shared" si="744"/>
        <v>cancel</v>
      </c>
      <c r="B2519" s="152"/>
      <c r="C2519" s="152" t="s">
        <v>185</v>
      </c>
      <c r="D2519" s="33" t="str">
        <f t="shared" si="74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74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757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755"/>
        <v>56000000</v>
      </c>
      <c r="AA2519" s="13">
        <v>7.22E-2</v>
      </c>
      <c r="AB2519" s="21">
        <f t="shared" si="758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2"/>
        <v>499582152.5142017</v>
      </c>
      <c r="AJ2519" s="19">
        <f t="shared" si="743"/>
        <v>59520528.679470733</v>
      </c>
      <c r="AK2519" s="20">
        <f t="shared" si="749"/>
        <v>0.11914062257814291</v>
      </c>
      <c r="AL2519" s="17"/>
      <c r="AM2519" s="17"/>
      <c r="AN2519" s="17"/>
      <c r="AO2519" s="17"/>
      <c r="AP2519" s="28" t="str">
        <f t="shared" si="750"/>
        <v>CancelCancel</v>
      </c>
      <c r="AQ2519" s="28" t="str">
        <f t="shared" si="751"/>
        <v>CancelCancelJPY</v>
      </c>
      <c r="AR2519" s="206" t="str">
        <f t="shared" si="752"/>
        <v>YAMAHA_Mounter</v>
      </c>
      <c r="AS2519" s="22" t="str">
        <f t="shared" si="753"/>
        <v/>
      </c>
      <c r="AT2519" s="24" t="str">
        <f t="shared" si="754"/>
        <v/>
      </c>
      <c r="AU2519" s="22" t="s">
        <v>3745</v>
      </c>
    </row>
    <row r="2520" spans="1:47" s="12" customFormat="1">
      <c r="A2520" s="33" t="str">
        <f t="shared" si="744"/>
        <v>cancel</v>
      </c>
      <c r="B2520" s="152"/>
      <c r="C2520" s="152" t="s">
        <v>185</v>
      </c>
      <c r="D2520" s="33" t="str">
        <f t="shared" si="74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74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757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755"/>
        <v>21000000</v>
      </c>
      <c r="AA2520" s="13">
        <v>7.0699999999999999E-2</v>
      </c>
      <c r="AB2520" s="21">
        <f t="shared" si="758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2"/>
        <v>499582152.5142017</v>
      </c>
      <c r="AJ2520" s="19">
        <f t="shared" si="743"/>
        <v>59520528.679470733</v>
      </c>
      <c r="AK2520" s="20">
        <f t="shared" si="749"/>
        <v>0.11914062257814291</v>
      </c>
      <c r="AL2520" s="17"/>
      <c r="AM2520" s="17"/>
      <c r="AN2520" s="17"/>
      <c r="AO2520" s="17"/>
      <c r="AP2520" s="28" t="str">
        <f t="shared" si="750"/>
        <v>CancelCancel</v>
      </c>
      <c r="AQ2520" s="28" t="str">
        <f t="shared" si="751"/>
        <v>CancelCancelJPY</v>
      </c>
      <c r="AR2520" s="206" t="str">
        <f t="shared" si="752"/>
        <v>YAMAHA_Mounter</v>
      </c>
      <c r="AS2520" s="22" t="str">
        <f t="shared" si="753"/>
        <v/>
      </c>
      <c r="AT2520" s="24" t="str">
        <f t="shared" si="754"/>
        <v/>
      </c>
      <c r="AU2520" s="22" t="s">
        <v>3745</v>
      </c>
    </row>
    <row r="2521" spans="1:47" s="12" customFormat="1">
      <c r="A2521" s="33" t="str">
        <f t="shared" si="744"/>
        <v>cancel</v>
      </c>
      <c r="B2521" s="152"/>
      <c r="C2521" s="152" t="s">
        <v>185</v>
      </c>
      <c r="D2521" s="33" t="str">
        <f t="shared" si="74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74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757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755"/>
        <v>56000000</v>
      </c>
      <c r="AA2521" s="13">
        <v>7.0699999999999999E-2</v>
      </c>
      <c r="AB2521" s="21">
        <f t="shared" si="758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2"/>
        <v>499582152.5142017</v>
      </c>
      <c r="AJ2521" s="19">
        <f t="shared" si="743"/>
        <v>59520528.679470733</v>
      </c>
      <c r="AK2521" s="20">
        <f t="shared" si="749"/>
        <v>0.11914062257814291</v>
      </c>
      <c r="AL2521" s="17"/>
      <c r="AM2521" s="17"/>
      <c r="AN2521" s="17"/>
      <c r="AO2521" s="17"/>
      <c r="AP2521" s="28" t="str">
        <f t="shared" si="750"/>
        <v>CancelCancel</v>
      </c>
      <c r="AQ2521" s="28" t="str">
        <f t="shared" si="751"/>
        <v>CancelCancelJPY</v>
      </c>
      <c r="AR2521" s="206" t="str">
        <f t="shared" si="752"/>
        <v>YAMAHA_Mounter</v>
      </c>
      <c r="AS2521" s="22" t="str">
        <f t="shared" si="753"/>
        <v/>
      </c>
      <c r="AT2521" s="24" t="str">
        <f t="shared" si="754"/>
        <v/>
      </c>
      <c r="AU2521" s="22" t="s">
        <v>3745</v>
      </c>
    </row>
    <row r="2522" spans="1:47" s="12" customFormat="1">
      <c r="A2522" s="33" t="str">
        <f t="shared" si="744"/>
        <v>cancel</v>
      </c>
      <c r="B2522" s="152"/>
      <c r="C2522" s="152" t="s">
        <v>185</v>
      </c>
      <c r="D2522" s="33" t="str">
        <f t="shared" si="74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74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757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755"/>
        <v>28000000</v>
      </c>
      <c r="AA2522" s="13">
        <v>7.0699999999999999E-2</v>
      </c>
      <c r="AB2522" s="21">
        <f t="shared" si="758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2"/>
        <v>499582152.5142017</v>
      </c>
      <c r="AJ2522" s="19">
        <f t="shared" si="743"/>
        <v>59520528.679470733</v>
      </c>
      <c r="AK2522" s="20">
        <f t="shared" si="749"/>
        <v>0.11914062257814291</v>
      </c>
      <c r="AL2522" s="17"/>
      <c r="AM2522" s="17"/>
      <c r="AN2522" s="17"/>
      <c r="AO2522" s="17"/>
      <c r="AP2522" s="28" t="str">
        <f t="shared" si="750"/>
        <v>CancelCancel</v>
      </c>
      <c r="AQ2522" s="28" t="str">
        <f t="shared" si="751"/>
        <v>CancelCancelJPY</v>
      </c>
      <c r="AR2522" s="206" t="str">
        <f t="shared" si="752"/>
        <v>YAMAHA_Mounter</v>
      </c>
      <c r="AS2522" s="22" t="str">
        <f t="shared" si="753"/>
        <v/>
      </c>
      <c r="AT2522" s="24" t="str">
        <f t="shared" si="754"/>
        <v/>
      </c>
      <c r="AU2522" s="22" t="s">
        <v>3745</v>
      </c>
    </row>
    <row r="2523" spans="1:47" s="12" customFormat="1">
      <c r="A2523" s="33" t="str">
        <f t="shared" si="744"/>
        <v>cancel</v>
      </c>
      <c r="B2523" s="152"/>
      <c r="C2523" s="152" t="s">
        <v>185</v>
      </c>
      <c r="D2523" s="33" t="str">
        <f t="shared" si="74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74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757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755"/>
        <v>28000000</v>
      </c>
      <c r="AA2523" s="13">
        <v>7.0699999999999999E-2</v>
      </c>
      <c r="AB2523" s="21">
        <f t="shared" si="758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2"/>
        <v>499582152.5142017</v>
      </c>
      <c r="AJ2523" s="19">
        <f t="shared" si="743"/>
        <v>59520528.679470733</v>
      </c>
      <c r="AK2523" s="20">
        <f t="shared" si="749"/>
        <v>0.11914062257814291</v>
      </c>
      <c r="AL2523" s="17"/>
      <c r="AM2523" s="17"/>
      <c r="AN2523" s="17"/>
      <c r="AO2523" s="17" t="s">
        <v>1622</v>
      </c>
      <c r="AP2523" s="28" t="str">
        <f t="shared" si="750"/>
        <v>CancelCancel</v>
      </c>
      <c r="AQ2523" s="28" t="str">
        <f t="shared" si="751"/>
        <v>CancelCancelJPY</v>
      </c>
      <c r="AR2523" s="206" t="str">
        <f t="shared" si="752"/>
        <v>YAMAHA_Mounter</v>
      </c>
      <c r="AS2523" s="22" t="str">
        <f t="shared" si="753"/>
        <v/>
      </c>
      <c r="AT2523" s="24" t="str">
        <f t="shared" si="754"/>
        <v/>
      </c>
      <c r="AU2523" s="22" t="s">
        <v>3745</v>
      </c>
    </row>
    <row r="2524" spans="1:47" s="12" customFormat="1">
      <c r="A2524" s="33" t="str">
        <f t="shared" si="744"/>
        <v>cancel</v>
      </c>
      <c r="B2524" s="152"/>
      <c r="C2524" s="152" t="s">
        <v>185</v>
      </c>
      <c r="D2524" s="33" t="str">
        <f t="shared" si="74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74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757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755"/>
        <v>21000000</v>
      </c>
      <c r="AA2524" s="13">
        <v>7.0699999999999999E-2</v>
      </c>
      <c r="AB2524" s="21">
        <f t="shared" si="758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2"/>
        <v>499582152.5142017</v>
      </c>
      <c r="AJ2524" s="19">
        <f t="shared" si="743"/>
        <v>59520528.679470733</v>
      </c>
      <c r="AK2524" s="20">
        <f t="shared" si="749"/>
        <v>0.11914062257814291</v>
      </c>
      <c r="AL2524" s="17"/>
      <c r="AM2524" s="17"/>
      <c r="AN2524" s="17"/>
      <c r="AO2524" s="17"/>
      <c r="AP2524" s="28" t="str">
        <f t="shared" si="750"/>
        <v>CancelCancel</v>
      </c>
      <c r="AQ2524" s="28" t="str">
        <f t="shared" si="751"/>
        <v>CancelCancelJPY</v>
      </c>
      <c r="AR2524" s="206" t="str">
        <f t="shared" si="752"/>
        <v>YAMAHA_Mounter</v>
      </c>
      <c r="AS2524" s="22" t="str">
        <f t="shared" si="753"/>
        <v/>
      </c>
      <c r="AT2524" s="24" t="str">
        <f t="shared" si="754"/>
        <v/>
      </c>
      <c r="AU2524" s="22" t="s">
        <v>3745</v>
      </c>
    </row>
    <row r="2525" spans="1:47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757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755"/>
        <v>700000</v>
      </c>
      <c r="AA2525" s="13">
        <v>1.0920000000000001</v>
      </c>
      <c r="AB2525" s="21">
        <f t="shared" si="758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2"/>
        <v>22953677.784070797</v>
      </c>
      <c r="AJ2525" s="19">
        <f t="shared" si="743"/>
        <v>4168706.6744155753</v>
      </c>
      <c r="AK2525" s="20">
        <f t="shared" si="749"/>
        <v>0.18161388835511752</v>
      </c>
      <c r="AL2525" s="17"/>
      <c r="AM2525" s="17"/>
      <c r="AN2525" s="17"/>
      <c r="AO2525" s="17"/>
      <c r="AP2525" s="28" t="str">
        <f t="shared" si="750"/>
        <v>20238</v>
      </c>
      <c r="AQ2525" s="28" t="str">
        <f t="shared" si="751"/>
        <v>20238RMB</v>
      </c>
      <c r="AR2525" s="206" t="str">
        <f t="shared" si="752"/>
        <v>YAMAHA_Non_Mounter</v>
      </c>
      <c r="AS2525" s="22">
        <f t="shared" si="753"/>
        <v>15</v>
      </c>
      <c r="AT2525" s="24" t="str">
        <f t="shared" si="754"/>
        <v>&gt; 6 months</v>
      </c>
      <c r="AU2525" s="22" t="s">
        <v>3750</v>
      </c>
    </row>
    <row r="2526" spans="1:47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757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755"/>
        <v>700000</v>
      </c>
      <c r="AA2526" s="13">
        <v>1.0920000000000001</v>
      </c>
      <c r="AB2526" s="21">
        <f t="shared" si="758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2"/>
        <v>22953677.784070797</v>
      </c>
      <c r="AJ2526" s="19">
        <f t="shared" si="743"/>
        <v>4168706.6744155753</v>
      </c>
      <c r="AK2526" s="20">
        <f t="shared" si="749"/>
        <v>0.18161388835511752</v>
      </c>
      <c r="AL2526" s="17"/>
      <c r="AM2526" s="17"/>
      <c r="AN2526" s="17"/>
      <c r="AO2526" s="17"/>
      <c r="AP2526" s="28" t="str">
        <f t="shared" si="750"/>
        <v>20238</v>
      </c>
      <c r="AQ2526" s="28" t="str">
        <f t="shared" si="751"/>
        <v>20238RMB</v>
      </c>
      <c r="AR2526" s="206" t="str">
        <f t="shared" si="752"/>
        <v>YAMAHA_Non_Mounter</v>
      </c>
      <c r="AS2526" s="22">
        <f t="shared" si="753"/>
        <v>15</v>
      </c>
      <c r="AT2526" s="24" t="str">
        <f t="shared" si="754"/>
        <v>&gt; 6 months</v>
      </c>
      <c r="AU2526" s="22" t="s">
        <v>3750</v>
      </c>
    </row>
    <row r="2527" spans="1:47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757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755"/>
        <v>700000</v>
      </c>
      <c r="AA2527" s="13">
        <v>1.0920000000000001</v>
      </c>
      <c r="AB2527" s="21">
        <f t="shared" si="758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2"/>
        <v>22953677.784070797</v>
      </c>
      <c r="AJ2527" s="19">
        <f t="shared" si="743"/>
        <v>4168706.6744155753</v>
      </c>
      <c r="AK2527" s="20">
        <f t="shared" si="749"/>
        <v>0.18161388835511752</v>
      </c>
      <c r="AL2527" s="17"/>
      <c r="AM2527" s="17"/>
      <c r="AN2527" s="17"/>
      <c r="AO2527" s="17"/>
      <c r="AP2527" s="28" t="str">
        <f t="shared" si="750"/>
        <v>20238</v>
      </c>
      <c r="AQ2527" s="28" t="str">
        <f t="shared" si="751"/>
        <v>20238RMB</v>
      </c>
      <c r="AR2527" s="206" t="str">
        <f t="shared" si="752"/>
        <v>YAMAHA_Non_Mounter</v>
      </c>
      <c r="AS2527" s="22">
        <f t="shared" si="753"/>
        <v>15</v>
      </c>
      <c r="AT2527" s="24" t="str">
        <f t="shared" si="754"/>
        <v>&gt; 6 months</v>
      </c>
      <c r="AU2527" s="22" t="s">
        <v>3750</v>
      </c>
    </row>
    <row r="2528" spans="1:47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757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755"/>
        <v>700000</v>
      </c>
      <c r="AA2528" s="13">
        <v>1.0920000000000001</v>
      </c>
      <c r="AB2528" s="21">
        <f t="shared" si="758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2"/>
        <v>22953677.784070797</v>
      </c>
      <c r="AJ2528" s="19">
        <f t="shared" si="743"/>
        <v>4168706.6744155753</v>
      </c>
      <c r="AK2528" s="20">
        <f t="shared" si="749"/>
        <v>0.18161388835511752</v>
      </c>
      <c r="AL2528" s="17"/>
      <c r="AM2528" s="17"/>
      <c r="AN2528" s="17"/>
      <c r="AO2528" s="17"/>
      <c r="AP2528" s="28" t="str">
        <f t="shared" si="750"/>
        <v>20238</v>
      </c>
      <c r="AQ2528" s="28" t="str">
        <f t="shared" si="751"/>
        <v>20238RMB</v>
      </c>
      <c r="AR2528" s="206" t="str">
        <f t="shared" si="752"/>
        <v>YAMAHA_Non_Mounter</v>
      </c>
      <c r="AS2528" s="22">
        <f t="shared" si="753"/>
        <v>15</v>
      </c>
      <c r="AT2528" s="24" t="str">
        <f t="shared" si="754"/>
        <v>&gt; 6 months</v>
      </c>
      <c r="AU2528" s="22" t="s">
        <v>3750</v>
      </c>
    </row>
    <row r="2529" spans="1:47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757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755"/>
        <v>700000</v>
      </c>
      <c r="AA2529" s="22">
        <v>1.075</v>
      </c>
      <c r="AB2529" s="197">
        <f t="shared" si="758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2"/>
        <v>25458266.694690265</v>
      </c>
      <c r="AJ2529" s="200">
        <f t="shared" si="743"/>
        <v>4116526.778578762</v>
      </c>
      <c r="AK2529" s="201">
        <f t="shared" si="749"/>
        <v>0.16169705612508689</v>
      </c>
      <c r="AL2529" s="24"/>
      <c r="AM2529" s="24"/>
      <c r="AN2529" s="24"/>
      <c r="AO2529" s="24"/>
      <c r="AP2529" s="105" t="str">
        <f t="shared" si="750"/>
        <v>20247</v>
      </c>
      <c r="AQ2529" s="28" t="str">
        <f t="shared" si="751"/>
        <v>20247RMB</v>
      </c>
      <c r="AR2529" s="206" t="str">
        <f t="shared" si="752"/>
        <v>YAMAHA_Mounter</v>
      </c>
      <c r="AS2529" s="22">
        <f t="shared" si="753"/>
        <v>0</v>
      </c>
      <c r="AT2529" s="24" t="str">
        <f t="shared" si="754"/>
        <v>0-3 months</v>
      </c>
      <c r="AU2529" s="22" t="s">
        <v>3240</v>
      </c>
    </row>
    <row r="2530" spans="1:47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757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755"/>
        <v>690000</v>
      </c>
      <c r="AA2530" s="13">
        <v>1.095</v>
      </c>
      <c r="AB2530" s="21">
        <f t="shared" si="758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2"/>
        <v>35384300.169380538</v>
      </c>
      <c r="AJ2530" s="19">
        <f t="shared" si="743"/>
        <v>5044538.8896988509</v>
      </c>
      <c r="AK2530" s="20">
        <f t="shared" si="749"/>
        <v>0.14256432557804533</v>
      </c>
      <c r="AL2530" s="17"/>
      <c r="AM2530" s="17"/>
      <c r="AN2530" s="17"/>
      <c r="AO2530" s="17"/>
      <c r="AP2530" s="28" t="str">
        <f t="shared" si="750"/>
        <v>20207</v>
      </c>
      <c r="AQ2530" s="28" t="str">
        <f t="shared" si="751"/>
        <v>20207RMB</v>
      </c>
      <c r="AR2530" s="206" t="str">
        <f t="shared" si="752"/>
        <v>YAMAHA_Mounter</v>
      </c>
      <c r="AS2530" s="22">
        <f t="shared" si="753"/>
        <v>1</v>
      </c>
      <c r="AT2530" s="24" t="str">
        <f t="shared" si="754"/>
        <v>0-3 months</v>
      </c>
      <c r="AU2530" s="22" t="s">
        <v>3743</v>
      </c>
    </row>
    <row r="2531" spans="1:47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757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755"/>
        <v>11344000</v>
      </c>
      <c r="AA2531" s="13">
        <v>7.4300000000000005E-2</v>
      </c>
      <c r="AB2531" s="21">
        <f t="shared" si="758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2"/>
        <v>28065694.408805311</v>
      </c>
      <c r="AJ2531" s="19">
        <f t="shared" si="743"/>
        <v>4157433.2906989697</v>
      </c>
      <c r="AK2531" s="20">
        <f t="shared" si="749"/>
        <v>0.14813220831602228</v>
      </c>
      <c r="AL2531" s="17"/>
      <c r="AM2531" s="17"/>
      <c r="AN2531" s="17"/>
      <c r="AO2531" s="17"/>
      <c r="AP2531" s="28" t="str">
        <f t="shared" si="750"/>
        <v>20205</v>
      </c>
      <c r="AQ2531" s="28" t="str">
        <f t="shared" si="751"/>
        <v>20205JPY</v>
      </c>
      <c r="AR2531" s="206" t="str">
        <f t="shared" si="752"/>
        <v>YAMAHA_Mounter</v>
      </c>
      <c r="AS2531" s="22">
        <f t="shared" si="753"/>
        <v>4</v>
      </c>
      <c r="AT2531" s="24" t="str">
        <f t="shared" si="754"/>
        <v>4-6 months</v>
      </c>
      <c r="AU2531" s="22" t="s">
        <v>3744</v>
      </c>
    </row>
    <row r="2532" spans="1:47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757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755"/>
        <v>722750</v>
      </c>
      <c r="AA2532" s="13">
        <v>1.1499999999999999</v>
      </c>
      <c r="AB2532" s="21">
        <f t="shared" si="758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2"/>
        <v>26754147.763010349</v>
      </c>
      <c r="AJ2532" s="19">
        <f t="shared" si="743"/>
        <v>3429137.9965357962</v>
      </c>
      <c r="AK2532" s="20">
        <f t="shared" si="749"/>
        <v>0.12817220069617921</v>
      </c>
      <c r="AL2532" s="17"/>
      <c r="AM2532" s="17"/>
      <c r="AN2532" s="17"/>
      <c r="AO2532" s="17"/>
      <c r="AP2532" s="28" t="str">
        <f t="shared" si="750"/>
        <v>20188</v>
      </c>
      <c r="AQ2532" s="28" t="str">
        <f t="shared" si="751"/>
        <v>20188RMB</v>
      </c>
      <c r="AR2532" s="206" t="str">
        <f t="shared" si="752"/>
        <v>YAMAHA_Mounter</v>
      </c>
      <c r="AS2532" s="22">
        <f t="shared" si="753"/>
        <v>1</v>
      </c>
      <c r="AT2532" s="24" t="str">
        <f t="shared" si="754"/>
        <v>0-3 months</v>
      </c>
      <c r="AU2532" s="22" t="s">
        <v>3743</v>
      </c>
    </row>
    <row r="2533" spans="1:47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757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755"/>
        <v>722750</v>
      </c>
      <c r="AA2533" s="13">
        <v>1.1499999999999999</v>
      </c>
      <c r="AB2533" s="21">
        <f t="shared" si="758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2"/>
        <v>26754147.763010349</v>
      </c>
      <c r="AJ2533" s="19">
        <f t="shared" si="743"/>
        <v>3429137.9965357962</v>
      </c>
      <c r="AK2533" s="20">
        <f t="shared" si="749"/>
        <v>0.12817220069617921</v>
      </c>
      <c r="AL2533" s="17"/>
      <c r="AM2533" s="17"/>
      <c r="AN2533" s="17"/>
      <c r="AO2533" s="17"/>
      <c r="AP2533" s="28" t="str">
        <f t="shared" si="750"/>
        <v>20188</v>
      </c>
      <c r="AQ2533" s="28" t="str">
        <f t="shared" si="751"/>
        <v>20188RMB</v>
      </c>
      <c r="AR2533" s="206" t="str">
        <f t="shared" si="752"/>
        <v>YAMAHA_Mounter</v>
      </c>
      <c r="AS2533" s="22">
        <f t="shared" si="753"/>
        <v>1</v>
      </c>
      <c r="AT2533" s="24" t="str">
        <f t="shared" si="754"/>
        <v>0-3 months</v>
      </c>
      <c r="AU2533" s="22" t="s">
        <v>3743</v>
      </c>
    </row>
    <row r="2534" spans="1:47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757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755"/>
        <v>490000</v>
      </c>
      <c r="AA2534" s="13">
        <v>1.23</v>
      </c>
      <c r="AB2534" s="21">
        <f t="shared" si="758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2"/>
        <v>24398045.86045352</v>
      </c>
      <c r="AJ2534" s="19">
        <f t="shared" si="743"/>
        <v>3478417.4064663448</v>
      </c>
      <c r="AK2534" s="20">
        <f t="shared" si="749"/>
        <v>0.14256950849102498</v>
      </c>
      <c r="AL2534" s="17"/>
      <c r="AM2534" s="17"/>
      <c r="AN2534" s="17"/>
      <c r="AO2534" s="17"/>
      <c r="AP2534" s="28" t="str">
        <f t="shared" si="750"/>
        <v>20186</v>
      </c>
      <c r="AQ2534" s="28" t="str">
        <f t="shared" si="751"/>
        <v>20186RMB</v>
      </c>
      <c r="AR2534" s="206" t="str">
        <f t="shared" si="752"/>
        <v>HELLER</v>
      </c>
      <c r="AS2534" s="22">
        <f t="shared" si="753"/>
        <v>2</v>
      </c>
      <c r="AT2534" s="24" t="str">
        <f t="shared" si="754"/>
        <v>0-3 months</v>
      </c>
      <c r="AU2534" s="22" t="s">
        <v>3743</v>
      </c>
    </row>
    <row r="2535" spans="1:47" s="12" customFormat="1">
      <c r="A2535" s="33" t="str">
        <f t="shared" si="744"/>
        <v>cancel</v>
      </c>
      <c r="B2535" s="152"/>
      <c r="C2535" s="152" t="s">
        <v>185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74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757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755"/>
        <v>76000</v>
      </c>
      <c r="AA2535" s="13">
        <v>7.8</v>
      </c>
      <c r="AB2535" s="21">
        <f t="shared" si="758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2"/>
        <v>499582152.5142017</v>
      </c>
      <c r="AJ2535" s="19">
        <f t="shared" si="743"/>
        <v>59520528.679470733</v>
      </c>
      <c r="AK2535" s="20">
        <f t="shared" si="749"/>
        <v>0.11914062257814291</v>
      </c>
      <c r="AL2535" s="17"/>
      <c r="AM2535" s="17"/>
      <c r="AN2535" s="17"/>
      <c r="AO2535" s="17"/>
      <c r="AP2535" s="28" t="str">
        <f t="shared" si="750"/>
        <v>CancelCancel</v>
      </c>
      <c r="AQ2535" s="28" t="str">
        <f t="shared" si="751"/>
        <v>CancelCancelUSD</v>
      </c>
      <c r="AR2535" s="206" t="str">
        <f t="shared" si="752"/>
        <v>HELLER</v>
      </c>
      <c r="AS2535" s="22" t="str">
        <f t="shared" si="753"/>
        <v/>
      </c>
      <c r="AT2535" s="24" t="str">
        <f t="shared" si="754"/>
        <v/>
      </c>
      <c r="AU2535" s="22" t="s">
        <v>3745</v>
      </c>
    </row>
    <row r="2536" spans="1:47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757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755"/>
        <v>15000000</v>
      </c>
      <c r="AA2536" s="13">
        <v>7.2400000000000006E-2</v>
      </c>
      <c r="AB2536" s="21">
        <f t="shared" si="758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2"/>
        <v>47458373.787610628</v>
      </c>
      <c r="AJ2536" s="19">
        <f t="shared" si="743"/>
        <v>7436880.1411522133</v>
      </c>
      <c r="AK2536" s="20">
        <f t="shared" si="749"/>
        <v>0.15670322321692506</v>
      </c>
      <c r="AL2536" s="17"/>
      <c r="AM2536" s="17"/>
      <c r="AN2536" s="17"/>
      <c r="AO2536" s="17"/>
      <c r="AP2536" s="28" t="str">
        <f t="shared" si="750"/>
        <v>20218</v>
      </c>
      <c r="AQ2536" s="28" t="str">
        <f t="shared" si="751"/>
        <v>20218JPY</v>
      </c>
      <c r="AR2536" s="206" t="str">
        <f t="shared" si="752"/>
        <v>YAMAHA_Mounter</v>
      </c>
      <c r="AS2536" s="22">
        <f t="shared" si="753"/>
        <v>4</v>
      </c>
      <c r="AT2536" s="24" t="str">
        <f t="shared" si="754"/>
        <v>4-6 months</v>
      </c>
      <c r="AU2536" s="22" t="s">
        <v>3744</v>
      </c>
    </row>
    <row r="2537" spans="1:47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757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755"/>
        <v>891000</v>
      </c>
      <c r="AA2537" s="13">
        <v>1.1100000000000001</v>
      </c>
      <c r="AB2537" s="21">
        <f t="shared" si="758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2"/>
        <v>26147030.909862842</v>
      </c>
      <c r="AJ2537" s="19">
        <f t="shared" si="743"/>
        <v>2743862.8630715334</v>
      </c>
      <c r="AK2537" s="20">
        <f t="shared" si="749"/>
        <v>0.10493974908778378</v>
      </c>
      <c r="AL2537" s="17"/>
      <c r="AM2537" s="17"/>
      <c r="AN2537" s="17"/>
      <c r="AO2537" s="17"/>
      <c r="AP2537" s="28" t="str">
        <f t="shared" si="750"/>
        <v>201911</v>
      </c>
      <c r="AQ2537" s="28" t="str">
        <f t="shared" si="751"/>
        <v>201911RMB</v>
      </c>
      <c r="AR2537" s="206" t="str">
        <f t="shared" si="752"/>
        <v>YAMAHA_Mounter</v>
      </c>
      <c r="AS2537" s="22">
        <f t="shared" si="753"/>
        <v>1</v>
      </c>
      <c r="AT2537" s="24" t="str">
        <f t="shared" si="754"/>
        <v>0-3 months</v>
      </c>
      <c r="AU2537" s="22" t="s">
        <v>3743</v>
      </c>
    </row>
    <row r="2538" spans="1:47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757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759">IF(W2538="RMB","1.13", "1")</f>
        <v>1</v>
      </c>
      <c r="Z2538" s="18">
        <f t="shared" si="755"/>
        <v>10500000</v>
      </c>
      <c r="AA2538" s="13">
        <v>7.4899999999999994E-2</v>
      </c>
      <c r="AB2538" s="21">
        <f t="shared" si="758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2"/>
        <v>28011162.254106201</v>
      </c>
      <c r="AJ2538" s="19">
        <f t="shared" si="743"/>
        <v>3401347.1124888416</v>
      </c>
      <c r="AK2538" s="20">
        <f t="shared" si="749"/>
        <v>0.12142827497242578</v>
      </c>
      <c r="AL2538" s="17"/>
      <c r="AM2538" s="17"/>
      <c r="AN2538" s="17"/>
      <c r="AO2538" s="17"/>
      <c r="AP2538" s="28" t="str">
        <f t="shared" si="750"/>
        <v>202010</v>
      </c>
      <c r="AQ2538" s="28" t="str">
        <f t="shared" si="751"/>
        <v>202010JPY</v>
      </c>
      <c r="AR2538" s="206" t="str">
        <f t="shared" si="752"/>
        <v>YAMAHA_Mounter</v>
      </c>
      <c r="AS2538" s="22">
        <f t="shared" si="753"/>
        <v>3</v>
      </c>
      <c r="AT2538" s="24" t="str">
        <f t="shared" si="754"/>
        <v>0-3 months</v>
      </c>
      <c r="AU2538" s="22" t="s">
        <v>3744</v>
      </c>
    </row>
    <row r="2539" spans="1:47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757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759"/>
        <v>1</v>
      </c>
      <c r="Z2539" s="18">
        <f t="shared" si="755"/>
        <v>12310000</v>
      </c>
      <c r="AA2539" s="13">
        <v>7.6100000000000001E-2</v>
      </c>
      <c r="AB2539" s="21">
        <f t="shared" si="758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2"/>
        <v>48763143.537654862</v>
      </c>
      <c r="AJ2539" s="19">
        <f t="shared" si="743"/>
        <v>5924029.9702154724</v>
      </c>
      <c r="AK2539" s="20">
        <f t="shared" si="749"/>
        <v>0.1214858095774925</v>
      </c>
      <c r="AL2539" s="17"/>
      <c r="AM2539" s="17"/>
      <c r="AN2539" s="17"/>
      <c r="AO2539" s="17" t="s">
        <v>1440</v>
      </c>
      <c r="AP2539" s="28" t="str">
        <f t="shared" si="750"/>
        <v>202012</v>
      </c>
      <c r="AQ2539" s="28" t="str">
        <f t="shared" si="751"/>
        <v>202012JPY</v>
      </c>
      <c r="AR2539" s="206" t="str">
        <f t="shared" si="752"/>
        <v>YAMAHA_Mounter</v>
      </c>
      <c r="AS2539" s="22">
        <f t="shared" si="753"/>
        <v>1</v>
      </c>
      <c r="AT2539" s="24" t="str">
        <f t="shared" si="754"/>
        <v>0-3 months</v>
      </c>
      <c r="AU2539" s="22" t="s">
        <v>3744</v>
      </c>
    </row>
    <row r="2540" spans="1:47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74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757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759"/>
        <v>1</v>
      </c>
      <c r="Z2540" s="18">
        <f t="shared" si="755"/>
        <v>11555000</v>
      </c>
      <c r="AA2540" s="13">
        <v>7.2400000000000006E-2</v>
      </c>
      <c r="AB2540" s="21">
        <f t="shared" si="758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2"/>
        <v>499582152.5142017</v>
      </c>
      <c r="AJ2540" s="19">
        <f t="shared" si="743"/>
        <v>59520528.679470733</v>
      </c>
      <c r="AK2540" s="20">
        <f t="shared" si="749"/>
        <v>0.11914062257814291</v>
      </c>
      <c r="AL2540" s="17"/>
      <c r="AM2540" s="17"/>
      <c r="AN2540" s="17"/>
      <c r="AO2540" s="17"/>
      <c r="AP2540" s="28" t="str">
        <f t="shared" si="750"/>
        <v>CancelCancel</v>
      </c>
      <c r="AQ2540" s="28" t="str">
        <f t="shared" si="751"/>
        <v>CancelCancelJPY</v>
      </c>
      <c r="AR2540" s="206" t="str">
        <f t="shared" si="752"/>
        <v>YAMAHA_Mounter</v>
      </c>
      <c r="AS2540" s="22" t="str">
        <f t="shared" si="753"/>
        <v/>
      </c>
      <c r="AT2540" s="24" t="str">
        <f t="shared" si="754"/>
        <v/>
      </c>
      <c r="AU2540" s="22" t="s">
        <v>3744</v>
      </c>
    </row>
    <row r="2541" spans="1:47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74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757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759"/>
        <v>1</v>
      </c>
      <c r="Z2541" s="18">
        <f t="shared" si="755"/>
        <v>11555000</v>
      </c>
      <c r="AA2541" s="13">
        <v>7.2400000000000006E-2</v>
      </c>
      <c r="AB2541" s="21">
        <f t="shared" si="758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2"/>
        <v>499582152.5142017</v>
      </c>
      <c r="AJ2541" s="19">
        <f t="shared" si="743"/>
        <v>59520528.679470733</v>
      </c>
      <c r="AK2541" s="20">
        <f t="shared" si="749"/>
        <v>0.11914062257814291</v>
      </c>
      <c r="AL2541" s="17"/>
      <c r="AM2541" s="17"/>
      <c r="AN2541" s="17"/>
      <c r="AO2541" s="17"/>
      <c r="AP2541" s="28" t="str">
        <f t="shared" si="750"/>
        <v>CancelCancel</v>
      </c>
      <c r="AQ2541" s="28" t="str">
        <f t="shared" si="751"/>
        <v>CancelCancelJPY</v>
      </c>
      <c r="AR2541" s="206" t="str">
        <f t="shared" si="752"/>
        <v>YAMAHA_Mounter</v>
      </c>
      <c r="AS2541" s="22" t="str">
        <f t="shared" si="753"/>
        <v/>
      </c>
      <c r="AT2541" s="24" t="str">
        <f t="shared" si="754"/>
        <v/>
      </c>
      <c r="AU2541" s="22" t="s">
        <v>3744</v>
      </c>
    </row>
    <row r="2542" spans="1:47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757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759"/>
        <v>1</v>
      </c>
      <c r="Z2542" s="18">
        <f t="shared" si="755"/>
        <v>11570000</v>
      </c>
      <c r="AA2542" s="13">
        <v>7.4499999999999997E-2</v>
      </c>
      <c r="AB2542" s="21">
        <f t="shared" si="758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2"/>
        <v>57778307.282035396</v>
      </c>
      <c r="AJ2542" s="19">
        <f t="shared" si="743"/>
        <v>7259860.7225420559</v>
      </c>
      <c r="AK2542" s="20">
        <f t="shared" si="749"/>
        <v>0.12565028406083667</v>
      </c>
      <c r="AL2542" s="17"/>
      <c r="AM2542" s="17"/>
      <c r="AN2542" s="17"/>
      <c r="AO2542" s="17"/>
      <c r="AP2542" s="28" t="str">
        <f t="shared" si="750"/>
        <v>20213</v>
      </c>
      <c r="AQ2542" s="28" t="str">
        <f t="shared" si="751"/>
        <v>20213JPY</v>
      </c>
      <c r="AR2542" s="206" t="str">
        <f t="shared" si="752"/>
        <v>YAMAHA_Mounter</v>
      </c>
      <c r="AS2542" s="22">
        <f t="shared" si="753"/>
        <v>2</v>
      </c>
      <c r="AT2542" s="24" t="str">
        <f t="shared" si="754"/>
        <v>0-3 months</v>
      </c>
      <c r="AU2542" s="22" t="s">
        <v>3744</v>
      </c>
    </row>
    <row r="2543" spans="1:47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757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759"/>
        <v>1</v>
      </c>
      <c r="Z2543" s="18">
        <f t="shared" si="755"/>
        <v>11570000</v>
      </c>
      <c r="AA2543" s="13">
        <v>7.4499999999999997E-2</v>
      </c>
      <c r="AB2543" s="21">
        <f t="shared" si="758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2"/>
        <v>57778307.282035396</v>
      </c>
      <c r="AJ2543" s="19">
        <f t="shared" si="743"/>
        <v>7259860.7225420559</v>
      </c>
      <c r="AK2543" s="20">
        <f t="shared" si="749"/>
        <v>0.12565028406083667</v>
      </c>
      <c r="AL2543" s="17"/>
      <c r="AM2543" s="17"/>
      <c r="AN2543" s="17"/>
      <c r="AO2543" s="17"/>
      <c r="AP2543" s="28" t="str">
        <f t="shared" si="750"/>
        <v>20213</v>
      </c>
      <c r="AQ2543" s="28" t="str">
        <f t="shared" si="751"/>
        <v>20213JPY</v>
      </c>
      <c r="AR2543" s="206" t="str">
        <f t="shared" si="752"/>
        <v>YAMAHA_Mounter</v>
      </c>
      <c r="AS2543" s="22">
        <f t="shared" si="753"/>
        <v>2</v>
      </c>
      <c r="AT2543" s="24" t="str">
        <f t="shared" si="754"/>
        <v>0-3 months</v>
      </c>
      <c r="AU2543" s="22" t="s">
        <v>3744</v>
      </c>
    </row>
    <row r="2544" spans="1:47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757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759"/>
        <v>1</v>
      </c>
      <c r="Z2544" s="18">
        <f t="shared" si="755"/>
        <v>11570000</v>
      </c>
      <c r="AA2544" s="13">
        <v>7.5700000000000003E-2</v>
      </c>
      <c r="AB2544" s="21">
        <f t="shared" si="758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2"/>
        <v>31097187.02948761</v>
      </c>
      <c r="AJ2544" s="19">
        <f t="shared" si="743"/>
        <v>3892353.6644401965</v>
      </c>
      <c r="AK2544" s="20">
        <f t="shared" si="749"/>
        <v>0.12516738767237401</v>
      </c>
      <c r="AL2544" s="17"/>
      <c r="AM2544" s="17"/>
      <c r="AN2544" s="17"/>
      <c r="AO2544" s="17"/>
      <c r="AP2544" s="28" t="str">
        <f t="shared" si="750"/>
        <v>20212</v>
      </c>
      <c r="AQ2544" s="28" t="str">
        <f t="shared" si="751"/>
        <v>20212JPY</v>
      </c>
      <c r="AR2544" s="206" t="str">
        <f t="shared" si="752"/>
        <v>YAMAHA_Mounter</v>
      </c>
      <c r="AS2544" s="22">
        <f t="shared" si="753"/>
        <v>1</v>
      </c>
      <c r="AT2544" s="24" t="str">
        <f t="shared" si="754"/>
        <v>0-3 months</v>
      </c>
      <c r="AU2544" s="22" t="s">
        <v>3744</v>
      </c>
    </row>
    <row r="2545" spans="1:47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757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759"/>
        <v>1</v>
      </c>
      <c r="Z2545" s="18">
        <f t="shared" si="755"/>
        <v>8150000</v>
      </c>
      <c r="AA2545" s="13">
        <v>7.5700000000000003E-2</v>
      </c>
      <c r="AB2545" s="21">
        <f t="shared" si="758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2"/>
        <v>31097187.02948761</v>
      </c>
      <c r="AJ2545" s="19">
        <f t="shared" si="743"/>
        <v>3892353.6644401965</v>
      </c>
      <c r="AK2545" s="20">
        <f t="shared" si="749"/>
        <v>0.12516738767237401</v>
      </c>
      <c r="AL2545" s="17"/>
      <c r="AM2545" s="17"/>
      <c r="AN2545" s="17"/>
      <c r="AO2545" s="17"/>
      <c r="AP2545" s="28" t="str">
        <f t="shared" si="750"/>
        <v>20212</v>
      </c>
      <c r="AQ2545" s="28" t="str">
        <f t="shared" si="751"/>
        <v>20212JPY</v>
      </c>
      <c r="AR2545" s="206" t="str">
        <f t="shared" si="752"/>
        <v>YAMAHA_Mounter</v>
      </c>
      <c r="AS2545" s="22">
        <f t="shared" si="753"/>
        <v>1</v>
      </c>
      <c r="AT2545" s="24" t="str">
        <f t="shared" si="754"/>
        <v>0-3 months</v>
      </c>
      <c r="AU2545" s="22" t="s">
        <v>3744</v>
      </c>
    </row>
    <row r="2546" spans="1:47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74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757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759"/>
        <v>1</v>
      </c>
      <c r="Z2546" s="18">
        <f t="shared" si="755"/>
        <v>11570000</v>
      </c>
      <c r="AA2546" s="13">
        <v>7.2400000000000006E-2</v>
      </c>
      <c r="AB2546" s="21">
        <f t="shared" si="758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2"/>
        <v>499582152.5142017</v>
      </c>
      <c r="AJ2546" s="19">
        <f t="shared" si="743"/>
        <v>59520528.679470733</v>
      </c>
      <c r="AK2546" s="20">
        <f t="shared" si="749"/>
        <v>0.11914062257814291</v>
      </c>
      <c r="AL2546" s="17"/>
      <c r="AM2546" s="17"/>
      <c r="AN2546" s="17"/>
      <c r="AO2546" s="17"/>
      <c r="AP2546" s="28" t="str">
        <f t="shared" si="750"/>
        <v>CancelCancel</v>
      </c>
      <c r="AQ2546" s="28" t="str">
        <f t="shared" si="751"/>
        <v>CancelCancelJPY</v>
      </c>
      <c r="AR2546" s="206" t="str">
        <f t="shared" si="752"/>
        <v>YAMAHA_Mounter</v>
      </c>
      <c r="AS2546" s="22" t="str">
        <f t="shared" si="753"/>
        <v/>
      </c>
      <c r="AT2546" s="24" t="str">
        <f t="shared" si="754"/>
        <v/>
      </c>
      <c r="AU2546" s="22" t="s">
        <v>3744</v>
      </c>
    </row>
    <row r="2547" spans="1:47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74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757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759"/>
        <v>1</v>
      </c>
      <c r="Z2547" s="18">
        <f t="shared" si="755"/>
        <v>11570000</v>
      </c>
      <c r="AA2547" s="13">
        <v>7.2400000000000006E-2</v>
      </c>
      <c r="AB2547" s="21">
        <f t="shared" si="758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2"/>
        <v>499582152.5142017</v>
      </c>
      <c r="AJ2547" s="19">
        <f t="shared" si="743"/>
        <v>59520528.679470733</v>
      </c>
      <c r="AK2547" s="20">
        <f t="shared" si="749"/>
        <v>0.11914062257814291</v>
      </c>
      <c r="AL2547" s="17"/>
      <c r="AM2547" s="17"/>
      <c r="AN2547" s="17"/>
      <c r="AO2547" s="17"/>
      <c r="AP2547" s="28" t="str">
        <f t="shared" si="750"/>
        <v>CancelCancel</v>
      </c>
      <c r="AQ2547" s="28" t="str">
        <f t="shared" si="751"/>
        <v>CancelCancelJPY</v>
      </c>
      <c r="AR2547" s="206" t="str">
        <f t="shared" si="752"/>
        <v>YAMAHA_Mounter</v>
      </c>
      <c r="AS2547" s="22" t="str">
        <f t="shared" si="753"/>
        <v/>
      </c>
      <c r="AT2547" s="24" t="str">
        <f t="shared" si="754"/>
        <v/>
      </c>
      <c r="AU2547" s="22" t="s">
        <v>3744</v>
      </c>
    </row>
    <row r="2548" spans="1:47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74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757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759"/>
        <v>1</v>
      </c>
      <c r="Z2548" s="18">
        <f t="shared" si="755"/>
        <v>11570000</v>
      </c>
      <c r="AA2548" s="13">
        <v>7.2400000000000006E-2</v>
      </c>
      <c r="AB2548" s="21">
        <f t="shared" si="758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2"/>
        <v>499582152.5142017</v>
      </c>
      <c r="AJ2548" s="19">
        <f t="shared" si="743"/>
        <v>59520528.679470733</v>
      </c>
      <c r="AK2548" s="20">
        <f t="shared" si="749"/>
        <v>0.11914062257814291</v>
      </c>
      <c r="AL2548" s="17"/>
      <c r="AM2548" s="17"/>
      <c r="AN2548" s="17"/>
      <c r="AO2548" s="17"/>
      <c r="AP2548" s="28" t="str">
        <f t="shared" si="750"/>
        <v>CancelCancel</v>
      </c>
      <c r="AQ2548" s="28" t="str">
        <f t="shared" si="751"/>
        <v>CancelCancelJPY</v>
      </c>
      <c r="AR2548" s="206" t="str">
        <f t="shared" si="752"/>
        <v>YAMAHA_Mounter</v>
      </c>
      <c r="AS2548" s="22" t="str">
        <f t="shared" si="753"/>
        <v/>
      </c>
      <c r="AT2548" s="24" t="str">
        <f t="shared" si="754"/>
        <v/>
      </c>
      <c r="AU2548" s="22" t="s">
        <v>3744</v>
      </c>
    </row>
    <row r="2549" spans="1:47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74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757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759"/>
        <v>1</v>
      </c>
      <c r="Z2549" s="18">
        <f t="shared" si="755"/>
        <v>8150000</v>
      </c>
      <c r="AA2549" s="13">
        <v>7.2400000000000006E-2</v>
      </c>
      <c r="AB2549" s="21">
        <f t="shared" si="758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2"/>
        <v>499582152.5142017</v>
      </c>
      <c r="AJ2549" s="19">
        <f t="shared" si="743"/>
        <v>59520528.679470733</v>
      </c>
      <c r="AK2549" s="20">
        <f t="shared" si="749"/>
        <v>0.11914062257814291</v>
      </c>
      <c r="AL2549" s="17"/>
      <c r="AM2549" s="17"/>
      <c r="AN2549" s="17"/>
      <c r="AO2549" s="17"/>
      <c r="AP2549" s="28" t="str">
        <f t="shared" si="750"/>
        <v>CancelCancel</v>
      </c>
      <c r="AQ2549" s="28" t="str">
        <f t="shared" si="751"/>
        <v>CancelCancelJPY</v>
      </c>
      <c r="AR2549" s="206" t="str">
        <f t="shared" si="752"/>
        <v>YAMAHA_Mounter</v>
      </c>
      <c r="AS2549" s="22" t="str">
        <f t="shared" si="753"/>
        <v/>
      </c>
      <c r="AT2549" s="24" t="str">
        <f t="shared" si="754"/>
        <v/>
      </c>
      <c r="AU2549" s="22" t="s">
        <v>3744</v>
      </c>
    </row>
    <row r="2550" spans="1:47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757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759"/>
        <v>1</v>
      </c>
      <c r="Z2550" s="18">
        <f t="shared" si="755"/>
        <v>14390000</v>
      </c>
      <c r="AA2550" s="13">
        <v>6.9199999999999998E-2</v>
      </c>
      <c r="AB2550" s="21">
        <f t="shared" si="758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2"/>
        <v>31750699.113741599</v>
      </c>
      <c r="AJ2550" s="19">
        <f t="shared" si="743"/>
        <v>4396077.3195289988</v>
      </c>
      <c r="AK2550" s="20">
        <f t="shared" si="749"/>
        <v>0.13845607946397598</v>
      </c>
      <c r="AL2550" s="17"/>
      <c r="AM2550" s="17"/>
      <c r="AN2550" s="17"/>
      <c r="AO2550" s="17"/>
      <c r="AP2550" s="28" t="str">
        <f t="shared" si="750"/>
        <v>20222</v>
      </c>
      <c r="AQ2550" s="28" t="str">
        <f t="shared" si="751"/>
        <v>20222JPY</v>
      </c>
      <c r="AR2550" s="206" t="str">
        <f t="shared" si="752"/>
        <v>YAMAHA_Mounter</v>
      </c>
      <c r="AS2550" s="22">
        <f t="shared" si="753"/>
        <v>1</v>
      </c>
      <c r="AT2550" s="24" t="str">
        <f t="shared" si="754"/>
        <v>0-3 months</v>
      </c>
      <c r="AU2550" s="22" t="s">
        <v>3744</v>
      </c>
    </row>
    <row r="2551" spans="1:47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757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759"/>
        <v>1</v>
      </c>
      <c r="Z2551" s="18">
        <f t="shared" si="755"/>
        <v>14390000</v>
      </c>
      <c r="AA2551" s="13">
        <v>6.54E-2</v>
      </c>
      <c r="AB2551" s="21">
        <f t="shared" si="758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2"/>
        <v>46600814.041769907</v>
      </c>
      <c r="AJ2551" s="19">
        <f t="shared" si="743"/>
        <v>5956366.3435927071</v>
      </c>
      <c r="AK2551" s="20">
        <f t="shared" si="749"/>
        <v>0.1278167874546958</v>
      </c>
      <c r="AL2551" s="17"/>
      <c r="AM2551" s="17"/>
      <c r="AN2551" s="17"/>
      <c r="AO2551" s="17"/>
      <c r="AP2551" s="28" t="str">
        <f t="shared" si="750"/>
        <v>20224</v>
      </c>
      <c r="AQ2551" s="28" t="str">
        <f t="shared" si="751"/>
        <v>20224JPY</v>
      </c>
      <c r="AR2551" s="206" t="str">
        <f t="shared" si="752"/>
        <v>YAMAHA_Mounter</v>
      </c>
      <c r="AS2551" s="22">
        <f t="shared" si="753"/>
        <v>3</v>
      </c>
      <c r="AT2551" s="24" t="str">
        <f t="shared" si="754"/>
        <v>0-3 months</v>
      </c>
      <c r="AU2551" s="22" t="s">
        <v>3744</v>
      </c>
    </row>
    <row r="2552" spans="1:47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74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757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755"/>
        <v>25448000</v>
      </c>
      <c r="AA2552" s="13">
        <v>7.2099999999999997E-2</v>
      </c>
      <c r="AB2552" s="21">
        <f t="shared" si="758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2"/>
        <v>499582152.5142017</v>
      </c>
      <c r="AJ2552" s="19">
        <f t="shared" si="743"/>
        <v>59520528.679470733</v>
      </c>
      <c r="AK2552" s="20">
        <f t="shared" si="749"/>
        <v>0.11914062257814291</v>
      </c>
      <c r="AL2552" s="17"/>
      <c r="AM2552" s="17"/>
      <c r="AN2552" s="17"/>
      <c r="AO2552" s="17"/>
      <c r="AP2552" s="28" t="str">
        <f t="shared" si="750"/>
        <v>CancelCancel</v>
      </c>
      <c r="AQ2552" s="28" t="str">
        <f t="shared" si="751"/>
        <v>CancelCancelJPY</v>
      </c>
      <c r="AR2552" s="206" t="str">
        <f t="shared" si="752"/>
        <v>YAMAHA_Mounter</v>
      </c>
      <c r="AS2552" s="22" t="str">
        <f t="shared" si="753"/>
        <v/>
      </c>
      <c r="AT2552" s="24" t="str">
        <f t="shared" si="754"/>
        <v/>
      </c>
      <c r="AU2552" s="22" t="s">
        <v>3744</v>
      </c>
    </row>
    <row r="2553" spans="1:47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74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757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755"/>
        <v>12724000</v>
      </c>
      <c r="AA2553" s="13">
        <v>7.2099999999999997E-2</v>
      </c>
      <c r="AB2553" s="21">
        <f t="shared" si="758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2"/>
        <v>499582152.5142017</v>
      </c>
      <c r="AJ2553" s="19">
        <f t="shared" si="743"/>
        <v>59520528.679470733</v>
      </c>
      <c r="AK2553" s="20">
        <f t="shared" si="749"/>
        <v>0.11914062257814291</v>
      </c>
      <c r="AL2553" s="17"/>
      <c r="AM2553" s="17"/>
      <c r="AN2553" s="17"/>
      <c r="AO2553" s="17"/>
      <c r="AP2553" s="28" t="str">
        <f t="shared" si="750"/>
        <v>CancelCancel</v>
      </c>
      <c r="AQ2553" s="28" t="str">
        <f t="shared" si="751"/>
        <v>CancelCancelJPY</v>
      </c>
      <c r="AR2553" s="206" t="str">
        <f t="shared" si="752"/>
        <v>YAMAHA_Mounter</v>
      </c>
      <c r="AS2553" s="22" t="str">
        <f t="shared" si="753"/>
        <v/>
      </c>
      <c r="AT2553" s="24" t="str">
        <f t="shared" si="754"/>
        <v/>
      </c>
      <c r="AU2553" s="22" t="s">
        <v>3744</v>
      </c>
    </row>
    <row r="2554" spans="1:47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757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755"/>
        <v>1000000</v>
      </c>
      <c r="AA2554" s="13">
        <v>1.105</v>
      </c>
      <c r="AB2554" s="21">
        <f t="shared" si="758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2"/>
        <v>37969334.083628319</v>
      </c>
      <c r="AJ2554" s="19">
        <f t="shared" si="743"/>
        <v>5097226.4551657084</v>
      </c>
      <c r="AK2554" s="20">
        <f t="shared" si="749"/>
        <v>0.13424587441904964</v>
      </c>
      <c r="AL2554" s="17"/>
      <c r="AM2554" s="17"/>
      <c r="AN2554" s="17"/>
      <c r="AO2554" s="17"/>
      <c r="AP2554" s="28" t="str">
        <f t="shared" si="750"/>
        <v>20208</v>
      </c>
      <c r="AQ2554" s="28" t="str">
        <f t="shared" si="751"/>
        <v>20208RMB</v>
      </c>
      <c r="AR2554" s="206" t="str">
        <f t="shared" si="752"/>
        <v>YAMAHA_Mounter</v>
      </c>
      <c r="AS2554" s="22">
        <f t="shared" si="753"/>
        <v>2</v>
      </c>
      <c r="AT2554" s="24" t="str">
        <f t="shared" si="754"/>
        <v>0-3 months</v>
      </c>
      <c r="AU2554" s="22" t="s">
        <v>3743</v>
      </c>
    </row>
    <row r="2555" spans="1:47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757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755"/>
        <v>800000</v>
      </c>
      <c r="AA2555" s="13">
        <v>1.095</v>
      </c>
      <c r="AB2555" s="21">
        <f t="shared" si="758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2"/>
        <v>35384300.169380538</v>
      </c>
      <c r="AJ2555" s="19">
        <f t="shared" si="743"/>
        <v>5044538.8896988509</v>
      </c>
      <c r="AK2555" s="20">
        <f t="shared" si="749"/>
        <v>0.14256432557804533</v>
      </c>
      <c r="AL2555" s="17"/>
      <c r="AM2555" s="17"/>
      <c r="AN2555" s="17"/>
      <c r="AO2555" s="17"/>
      <c r="AP2555" s="28" t="str">
        <f t="shared" si="750"/>
        <v>20207</v>
      </c>
      <c r="AQ2555" s="28" t="str">
        <f t="shared" si="751"/>
        <v>20207RMB</v>
      </c>
      <c r="AR2555" s="206" t="str">
        <f t="shared" si="752"/>
        <v>YAMAHA_Mounter</v>
      </c>
      <c r="AS2555" s="22">
        <f t="shared" si="753"/>
        <v>1</v>
      </c>
      <c r="AT2555" s="24" t="str">
        <f t="shared" si="754"/>
        <v>0-3 months</v>
      </c>
      <c r="AU2555" s="22" t="s">
        <v>3743</v>
      </c>
    </row>
    <row r="2556" spans="1:47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757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755"/>
        <v>140000</v>
      </c>
      <c r="AA2556" s="13">
        <v>7.8</v>
      </c>
      <c r="AB2556" s="21">
        <f t="shared" si="758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2"/>
        <v>28011162.254106201</v>
      </c>
      <c r="AJ2556" s="19">
        <f t="shared" si="743"/>
        <v>3401347.1124888416</v>
      </c>
      <c r="AK2556" s="20">
        <f t="shared" si="749"/>
        <v>0.12142827497242578</v>
      </c>
      <c r="AL2556" s="17"/>
      <c r="AM2556" s="17"/>
      <c r="AN2556" s="17"/>
      <c r="AO2556" s="17"/>
      <c r="AP2556" s="28" t="str">
        <f t="shared" si="750"/>
        <v>202010</v>
      </c>
      <c r="AQ2556" s="28" t="str">
        <f t="shared" si="751"/>
        <v>202010USD</v>
      </c>
      <c r="AR2556" s="206" t="str">
        <f t="shared" si="752"/>
        <v>YAMAHA_Mounter</v>
      </c>
      <c r="AS2556" s="22">
        <f t="shared" si="753"/>
        <v>0</v>
      </c>
      <c r="AT2556" s="24" t="str">
        <f t="shared" si="754"/>
        <v>0-3 months</v>
      </c>
      <c r="AU2556" s="22" t="s">
        <v>3744</v>
      </c>
    </row>
    <row r="2557" spans="1:47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757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755"/>
        <v>15000000</v>
      </c>
      <c r="AA2557" s="13">
        <v>6.9199999999999998E-2</v>
      </c>
      <c r="AB2557" s="21">
        <f t="shared" si="758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2"/>
        <v>31750699.113741599</v>
      </c>
      <c r="AJ2557" s="19">
        <f t="shared" si="743"/>
        <v>4396077.3195289988</v>
      </c>
      <c r="AK2557" s="20">
        <f t="shared" si="749"/>
        <v>0.13845607946397598</v>
      </c>
      <c r="AL2557" s="17"/>
      <c r="AM2557" s="17"/>
      <c r="AN2557" s="17"/>
      <c r="AO2557" s="17"/>
      <c r="AP2557" s="28" t="str">
        <f t="shared" si="750"/>
        <v>20222</v>
      </c>
      <c r="AQ2557" s="28" t="str">
        <f t="shared" si="751"/>
        <v>20222JPY</v>
      </c>
      <c r="AR2557" s="206" t="str">
        <f t="shared" si="752"/>
        <v>YAMAHA_Mounter</v>
      </c>
      <c r="AS2557" s="22">
        <f t="shared" si="753"/>
        <v>8</v>
      </c>
      <c r="AT2557" s="24" t="str">
        <f t="shared" si="754"/>
        <v>&gt; 6 months</v>
      </c>
      <c r="AU2557" s="22" t="s">
        <v>3744</v>
      </c>
    </row>
    <row r="2558" spans="1:47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757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755"/>
        <v>15000000</v>
      </c>
      <c r="AA2558" s="13">
        <v>6.9199999999999998E-2</v>
      </c>
      <c r="AB2558" s="21">
        <f t="shared" si="758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2"/>
        <v>31750699.113741599</v>
      </c>
      <c r="AJ2558" s="19">
        <f t="shared" si="743"/>
        <v>4396077.3195289988</v>
      </c>
      <c r="AK2558" s="20">
        <f t="shared" si="749"/>
        <v>0.13845607946397598</v>
      </c>
      <c r="AL2558" s="17"/>
      <c r="AM2558" s="17"/>
      <c r="AN2558" s="17"/>
      <c r="AO2558" s="17"/>
      <c r="AP2558" s="28" t="str">
        <f t="shared" si="750"/>
        <v>20222</v>
      </c>
      <c r="AQ2558" s="28" t="str">
        <f t="shared" si="751"/>
        <v>20222JPY</v>
      </c>
      <c r="AR2558" s="206" t="str">
        <f t="shared" si="752"/>
        <v>YAMAHA_Mounter</v>
      </c>
      <c r="AS2558" s="22">
        <f t="shared" si="753"/>
        <v>8</v>
      </c>
      <c r="AT2558" s="24" t="str">
        <f t="shared" si="754"/>
        <v>&gt; 6 months</v>
      </c>
      <c r="AU2558" s="22" t="s">
        <v>3744</v>
      </c>
    </row>
    <row r="2559" spans="1:47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757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755"/>
        <v>7689768</v>
      </c>
      <c r="AA2559" s="13">
        <v>6.9199999999999998E-2</v>
      </c>
      <c r="AB2559" s="21">
        <f t="shared" si="758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2"/>
        <v>31750699.113741599</v>
      </c>
      <c r="AJ2559" s="19">
        <f t="shared" si="743"/>
        <v>4396077.3195289988</v>
      </c>
      <c r="AK2559" s="20">
        <f t="shared" si="749"/>
        <v>0.13845607946397598</v>
      </c>
      <c r="AL2559" s="17"/>
      <c r="AM2559" s="17"/>
      <c r="AN2559" s="17"/>
      <c r="AO2559" s="17"/>
      <c r="AP2559" s="28" t="str">
        <f t="shared" si="750"/>
        <v>20222</v>
      </c>
      <c r="AQ2559" s="28" t="str">
        <f t="shared" si="751"/>
        <v>20222JPY</v>
      </c>
      <c r="AR2559" s="206" t="str">
        <f t="shared" si="752"/>
        <v>YAMAHA_Mounter</v>
      </c>
      <c r="AS2559" s="22">
        <f t="shared" si="753"/>
        <v>8</v>
      </c>
      <c r="AT2559" s="24" t="str">
        <f t="shared" si="754"/>
        <v>&gt; 6 months</v>
      </c>
      <c r="AU2559" s="22" t="s">
        <v>3744</v>
      </c>
    </row>
    <row r="2560" spans="1:47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757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755"/>
        <v>406243</v>
      </c>
      <c r="AA2560" s="13">
        <v>1.22</v>
      </c>
      <c r="AB2560" s="21">
        <f t="shared" si="758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2"/>
        <v>31750699.113741599</v>
      </c>
      <c r="AJ2560" s="19">
        <f t="shared" si="743"/>
        <v>4396077.3195289988</v>
      </c>
      <c r="AK2560" s="20">
        <f t="shared" si="749"/>
        <v>0.13845607946397598</v>
      </c>
      <c r="AL2560" s="17"/>
      <c r="AM2560" s="17"/>
      <c r="AN2560" s="17"/>
      <c r="AO2560" s="17"/>
      <c r="AP2560" s="28" t="str">
        <f t="shared" si="750"/>
        <v>20222</v>
      </c>
      <c r="AQ2560" s="28" t="str">
        <f t="shared" si="751"/>
        <v>20222RMB</v>
      </c>
      <c r="AR2560" s="206" t="str">
        <f t="shared" si="752"/>
        <v>HELLER</v>
      </c>
      <c r="AS2560" s="22">
        <f t="shared" si="753"/>
        <v>2</v>
      </c>
      <c r="AT2560" s="24" t="str">
        <f t="shared" si="754"/>
        <v>0-3 months</v>
      </c>
      <c r="AU2560" s="22" t="s">
        <v>3750</v>
      </c>
    </row>
    <row r="2561" spans="1:47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757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755"/>
        <v>750000</v>
      </c>
      <c r="AA2561" s="22">
        <v>1.0900000000000001</v>
      </c>
      <c r="AB2561" s="21">
        <f t="shared" si="758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2"/>
        <v>21241742.157380536</v>
      </c>
      <c r="AJ2561" s="27">
        <f t="shared" si="743"/>
        <v>2987081.1613773629</v>
      </c>
      <c r="AK2561" s="28">
        <f t="shared" si="749"/>
        <v>0.14062317201884914</v>
      </c>
      <c r="AL2561" s="24"/>
      <c r="AM2561" s="24"/>
      <c r="AN2561" s="24"/>
      <c r="AO2561" s="24"/>
      <c r="AP2561" s="28" t="str">
        <f t="shared" si="750"/>
        <v>20243</v>
      </c>
      <c r="AQ2561" s="28" t="str">
        <f t="shared" si="751"/>
        <v>20243RMB</v>
      </c>
      <c r="AR2561" s="206" t="str">
        <f t="shared" si="752"/>
        <v>YAMAHA_Mounter</v>
      </c>
      <c r="AS2561" s="22">
        <f t="shared" si="753"/>
        <v>0</v>
      </c>
      <c r="AT2561" s="24" t="str">
        <f t="shared" si="754"/>
        <v>0-3 months</v>
      </c>
      <c r="AU2561" s="22" t="s">
        <v>3750</v>
      </c>
    </row>
    <row r="2562" spans="1:47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757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755"/>
        <v>13350000</v>
      </c>
      <c r="AA2562" s="13">
        <v>7.3999999999999996E-2</v>
      </c>
      <c r="AB2562" s="21">
        <f t="shared" si="758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ref="AI2562:AI2625" si="760">IF(P2562="C66 SERVICE","",SUMIFS(AB:AB,F:F,F2562,G:G,G2562,E:E,E2562))</f>
        <v>34015877.71150443</v>
      </c>
      <c r="AJ2562" s="19">
        <f t="shared" ref="AJ2562:AJ2625" si="761">IF(P2562="C66 SERVICE","",SUMIFS(AC:AC,F:F,F2562,G:G,G2562,E:E,E2562))</f>
        <v>4446292.375441948</v>
      </c>
      <c r="AK2562" s="20">
        <f t="shared" si="749"/>
        <v>0.13071226364205143</v>
      </c>
      <c r="AL2562" s="17"/>
      <c r="AM2562" s="17"/>
      <c r="AN2562" s="17"/>
      <c r="AO2562" s="17"/>
      <c r="AP2562" s="28" t="str">
        <f t="shared" si="750"/>
        <v>20197</v>
      </c>
      <c r="AQ2562" s="28" t="str">
        <f t="shared" si="751"/>
        <v>20197JPY</v>
      </c>
      <c r="AR2562" s="206" t="str">
        <f t="shared" si="752"/>
        <v>YAMAHA_Mounter</v>
      </c>
      <c r="AS2562" s="22">
        <f t="shared" si="753"/>
        <v>2</v>
      </c>
      <c r="AT2562" s="24" t="str">
        <f t="shared" si="754"/>
        <v>0-3 months</v>
      </c>
      <c r="AU2562" s="22" t="s">
        <v>3744</v>
      </c>
    </row>
    <row r="2563" spans="1:47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757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755"/>
        <v>13350000</v>
      </c>
      <c r="AA2563" s="13">
        <v>7.3999999999999996E-2</v>
      </c>
      <c r="AB2563" s="21">
        <f t="shared" si="758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60"/>
        <v>34015877.71150443</v>
      </c>
      <c r="AJ2563" s="19">
        <f t="shared" si="761"/>
        <v>4446292.375441948</v>
      </c>
      <c r="AK2563" s="20">
        <f t="shared" si="749"/>
        <v>0.13071226364205143</v>
      </c>
      <c r="AL2563" s="17"/>
      <c r="AM2563" s="17"/>
      <c r="AN2563" s="17"/>
      <c r="AO2563" s="17"/>
      <c r="AP2563" s="28" t="str">
        <f t="shared" si="750"/>
        <v>20197</v>
      </c>
      <c r="AQ2563" s="28" t="str">
        <f t="shared" si="751"/>
        <v>20197JPY</v>
      </c>
      <c r="AR2563" s="206" t="str">
        <f t="shared" si="752"/>
        <v>YAMAHA_Mounter</v>
      </c>
      <c r="AS2563" s="22">
        <f t="shared" si="753"/>
        <v>2</v>
      </c>
      <c r="AT2563" s="24" t="str">
        <f t="shared" si="754"/>
        <v>0-3 months</v>
      </c>
      <c r="AU2563" s="22" t="s">
        <v>3744</v>
      </c>
    </row>
    <row r="2564" spans="1:47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757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755"/>
        <v>811500</v>
      </c>
      <c r="AA2564" s="13">
        <v>1.1499999999999999</v>
      </c>
      <c r="AB2564" s="21">
        <f t="shared" si="758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60"/>
        <v>16455710.386637932</v>
      </c>
      <c r="AJ2564" s="19">
        <f t="shared" si="761"/>
        <v>2150644.6466930606</v>
      </c>
      <c r="AK2564" s="20">
        <f t="shared" si="749"/>
        <v>0.13069290818580451</v>
      </c>
      <c r="AL2564" s="17"/>
      <c r="AM2564" s="17"/>
      <c r="AN2564" s="17"/>
      <c r="AO2564" s="17"/>
      <c r="AP2564" s="28" t="str">
        <f t="shared" si="750"/>
        <v>20192</v>
      </c>
      <c r="AQ2564" s="28" t="str">
        <f t="shared" si="751"/>
        <v>20192RMB</v>
      </c>
      <c r="AR2564" s="206" t="str">
        <f t="shared" si="752"/>
        <v>YAMAHA_Mounter</v>
      </c>
      <c r="AS2564" s="22">
        <f t="shared" si="753"/>
        <v>3</v>
      </c>
      <c r="AT2564" s="24" t="str">
        <f t="shared" si="754"/>
        <v>0-3 months</v>
      </c>
      <c r="AU2564" s="22" t="s">
        <v>3240</v>
      </c>
    </row>
    <row r="2565" spans="1:47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757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755"/>
        <v>1298000</v>
      </c>
      <c r="AA2565" s="13">
        <v>1.22</v>
      </c>
      <c r="AB2565" s="21">
        <f t="shared" si="758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60"/>
        <v>26407088.359292038</v>
      </c>
      <c r="AJ2565" s="19">
        <f t="shared" si="761"/>
        <v>3424510.6998470789</v>
      </c>
      <c r="AK2565" s="20">
        <f t="shared" si="749"/>
        <v>0.12968149510667554</v>
      </c>
      <c r="AL2565" s="17"/>
      <c r="AM2565" s="17"/>
      <c r="AN2565" s="17"/>
      <c r="AO2565" s="17"/>
      <c r="AP2565" s="28" t="str">
        <f t="shared" si="750"/>
        <v>20221</v>
      </c>
      <c r="AQ2565" s="28" t="str">
        <f t="shared" si="751"/>
        <v>20221RMB</v>
      </c>
      <c r="AR2565" s="206" t="str">
        <f t="shared" si="752"/>
        <v>YAMAHA_Mounter</v>
      </c>
      <c r="AS2565" s="22">
        <f t="shared" si="753"/>
        <v>0</v>
      </c>
      <c r="AT2565" s="24" t="str">
        <f t="shared" si="754"/>
        <v>0-3 months</v>
      </c>
      <c r="AU2565" s="22" t="s">
        <v>3750</v>
      </c>
    </row>
    <row r="2566" spans="1:47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757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755"/>
        <v>780000</v>
      </c>
      <c r="AA2566" s="13">
        <v>1.095</v>
      </c>
      <c r="AB2566" s="21">
        <f t="shared" si="758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si="760"/>
        <v>28647263.974455759</v>
      </c>
      <c r="AJ2566" s="19">
        <f t="shared" si="761"/>
        <v>3219855.6912513468</v>
      </c>
      <c r="AK2566" s="20">
        <f t="shared" ref="AK2566:AK2629" si="767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68">IF(F2566="","",F2566&amp;G2566)</f>
        <v>201910</v>
      </c>
      <c r="AQ2566" s="28" t="str">
        <f t="shared" ref="AQ2566:AQ2629" si="769">IF(W2566="","",F2566&amp;G2566&amp;W2566)</f>
        <v>201910RMB</v>
      </c>
      <c r="AR2566" s="206" t="str">
        <f t="shared" ref="AR2566:AR2629" si="770">IFERROR(IF(AND(M2566="YAMAHA", R2566="C28"), "YAMAHA_Non_Mounter", IF(AND(M2566="YAMAHA", R2566="C49"), "YAMAHA_Mounter", M2566)),"")</f>
        <v>YAMAHA_Mounter</v>
      </c>
      <c r="AS2566" s="22">
        <f t="shared" ref="AS2566:AS2629" si="771">IFERROR(IF(OR(G2566="TBA", G2566=""), "", DATEDIF(DATE(B2566, C2566, 1), DATE(F2566, G2566, 1), "M")),"")</f>
        <v>0</v>
      </c>
      <c r="AT2566" s="24" t="str">
        <f t="shared" ref="AT2566:AT2629" si="772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757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755"/>
        <v>780000</v>
      </c>
      <c r="AA2567" s="13">
        <v>1.095</v>
      </c>
      <c r="AB2567" s="21">
        <f t="shared" si="758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0"/>
        <v>28647263.974455759</v>
      </c>
      <c r="AJ2567" s="19">
        <f t="shared" si="761"/>
        <v>3219855.6912513468</v>
      </c>
      <c r="AK2567" s="20">
        <f t="shared" si="767"/>
        <v>0.11239662168514358</v>
      </c>
      <c r="AL2567" s="17"/>
      <c r="AM2567" s="17"/>
      <c r="AN2567" s="17"/>
      <c r="AO2567" s="17"/>
      <c r="AP2567" s="28" t="str">
        <f t="shared" si="768"/>
        <v>201910</v>
      </c>
      <c r="AQ2567" s="28" t="str">
        <f t="shared" si="769"/>
        <v>201910RMB</v>
      </c>
      <c r="AR2567" s="206" t="str">
        <f t="shared" si="770"/>
        <v>YAMAHA_Mounter</v>
      </c>
      <c r="AS2567" s="22">
        <f t="shared" si="771"/>
        <v>0</v>
      </c>
      <c r="AT2567" s="24" t="str">
        <f t="shared" si="772"/>
        <v>0-3 months</v>
      </c>
      <c r="AU2567" s="22" t="s">
        <v>3240</v>
      </c>
    </row>
    <row r="2568" spans="1:47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757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755"/>
        <v>610000</v>
      </c>
      <c r="AA2568" s="13">
        <v>1.095</v>
      </c>
      <c r="AB2568" s="21">
        <f t="shared" si="758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0"/>
        <v>28647263.974455759</v>
      </c>
      <c r="AJ2568" s="19">
        <f t="shared" si="761"/>
        <v>3219855.6912513468</v>
      </c>
      <c r="AK2568" s="20">
        <f t="shared" si="767"/>
        <v>0.11239662168514358</v>
      </c>
      <c r="AL2568" s="17"/>
      <c r="AM2568" s="17"/>
      <c r="AN2568" s="17"/>
      <c r="AO2568" s="17"/>
      <c r="AP2568" s="28" t="str">
        <f t="shared" si="768"/>
        <v>201910</v>
      </c>
      <c r="AQ2568" s="28" t="str">
        <f t="shared" si="769"/>
        <v>201910RMB</v>
      </c>
      <c r="AR2568" s="206" t="str">
        <f t="shared" si="770"/>
        <v>YAMAHA_Mounter</v>
      </c>
      <c r="AS2568" s="22">
        <f t="shared" si="771"/>
        <v>0</v>
      </c>
      <c r="AT2568" s="24" t="str">
        <f t="shared" si="772"/>
        <v>0-3 months</v>
      </c>
      <c r="AU2568" s="22" t="s">
        <v>3240</v>
      </c>
    </row>
    <row r="2569" spans="1:47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764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757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755"/>
        <v>17600000</v>
      </c>
      <c r="AA2569" s="13">
        <v>7.0199999999999999E-2</v>
      </c>
      <c r="AB2569" s="21">
        <f t="shared" si="758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0"/>
        <v>499582152.5142017</v>
      </c>
      <c r="AJ2569" s="19">
        <f t="shared" si="761"/>
        <v>59520528.679470733</v>
      </c>
      <c r="AK2569" s="20">
        <f t="shared" si="767"/>
        <v>0.11914062257814291</v>
      </c>
      <c r="AL2569" s="17"/>
      <c r="AM2569" s="17"/>
      <c r="AN2569" s="17"/>
      <c r="AO2569" s="17"/>
      <c r="AP2569" s="28" t="str">
        <f t="shared" si="768"/>
        <v>CancelCancel</v>
      </c>
      <c r="AQ2569" s="28" t="str">
        <f t="shared" si="769"/>
        <v>CancelCancelJPY</v>
      </c>
      <c r="AR2569" s="206" t="str">
        <f t="shared" si="770"/>
        <v>YAMAHA_Mounter</v>
      </c>
      <c r="AS2569" s="22" t="str">
        <f t="shared" si="771"/>
        <v/>
      </c>
      <c r="AT2569" s="24" t="str">
        <f t="shared" si="772"/>
        <v/>
      </c>
      <c r="AU2569" s="22" t="s">
        <v>3240</v>
      </c>
    </row>
    <row r="2570" spans="1:47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757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773">IF(W2570="RMB","1.13", "1")</f>
        <v>1.13</v>
      </c>
      <c r="Z2570" s="18">
        <f t="shared" ref="Z2570:Z2633" si="774">IF(X2570="","",X2570*MAX(O2570,N2570))</f>
        <v>800000</v>
      </c>
      <c r="AA2570" s="13">
        <v>1.1399999999999999</v>
      </c>
      <c r="AB2570" s="21">
        <f t="shared" si="758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0"/>
        <v>30573205.452778768</v>
      </c>
      <c r="AJ2570" s="19">
        <f t="shared" si="761"/>
        <v>3790930.1683151261</v>
      </c>
      <c r="AK2570" s="20">
        <f t="shared" si="767"/>
        <v>0.12399518179964254</v>
      </c>
      <c r="AL2570" s="17"/>
      <c r="AM2570" s="17"/>
      <c r="AN2570" s="17"/>
      <c r="AO2570" s="17"/>
      <c r="AP2570" s="28" t="str">
        <f t="shared" si="768"/>
        <v>20234</v>
      </c>
      <c r="AQ2570" s="28" t="str">
        <f t="shared" si="769"/>
        <v>20234RMB</v>
      </c>
      <c r="AR2570" s="206" t="str">
        <f t="shared" si="770"/>
        <v>YAMAHA_Mounter</v>
      </c>
      <c r="AS2570" s="22">
        <f t="shared" si="771"/>
        <v>0</v>
      </c>
      <c r="AT2570" s="24" t="str">
        <f t="shared" si="772"/>
        <v>0-3 months</v>
      </c>
      <c r="AU2570" s="22" t="s">
        <v>3240</v>
      </c>
    </row>
    <row r="2571" spans="1:47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757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773"/>
        <v>1.13</v>
      </c>
      <c r="Z2571" s="18">
        <f t="shared" si="774"/>
        <v>442500</v>
      </c>
      <c r="AA2571" s="13">
        <v>1.1399999999999999</v>
      </c>
      <c r="AB2571" s="21">
        <f t="shared" si="758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0"/>
        <v>30573205.452778768</v>
      </c>
      <c r="AJ2571" s="19">
        <f t="shared" si="761"/>
        <v>3790930.1683151261</v>
      </c>
      <c r="AK2571" s="20">
        <f t="shared" si="767"/>
        <v>0.12399518179964254</v>
      </c>
      <c r="AL2571" s="17"/>
      <c r="AM2571" s="17"/>
      <c r="AN2571" s="17"/>
      <c r="AO2571" s="17"/>
      <c r="AP2571" s="28" t="str">
        <f t="shared" si="768"/>
        <v>20234</v>
      </c>
      <c r="AQ2571" s="28" t="str">
        <f t="shared" si="769"/>
        <v>20234RMB</v>
      </c>
      <c r="AR2571" s="206" t="str">
        <f t="shared" si="770"/>
        <v>YAMAHA_Mounter</v>
      </c>
      <c r="AS2571" s="22">
        <f t="shared" si="771"/>
        <v>0</v>
      </c>
      <c r="AT2571" s="24" t="str">
        <f t="shared" si="772"/>
        <v>0-3 months</v>
      </c>
      <c r="AU2571" s="22" t="s">
        <v>3240</v>
      </c>
    </row>
    <row r="2572" spans="1:47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757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773"/>
        <v>1.13</v>
      </c>
      <c r="Z2572" s="18">
        <f t="shared" si="774"/>
        <v>442500</v>
      </c>
      <c r="AA2572" s="13">
        <v>1.1399999999999999</v>
      </c>
      <c r="AB2572" s="21">
        <f t="shared" si="758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0"/>
        <v>30573205.452778768</v>
      </c>
      <c r="AJ2572" s="19">
        <f t="shared" si="761"/>
        <v>3790930.1683151261</v>
      </c>
      <c r="AK2572" s="20">
        <f t="shared" si="767"/>
        <v>0.12399518179964254</v>
      </c>
      <c r="AL2572" s="17"/>
      <c r="AM2572" s="17"/>
      <c r="AN2572" s="17"/>
      <c r="AO2572" s="17"/>
      <c r="AP2572" s="28" t="str">
        <f t="shared" si="768"/>
        <v>20234</v>
      </c>
      <c r="AQ2572" s="28" t="str">
        <f t="shared" si="769"/>
        <v>20234RMB</v>
      </c>
      <c r="AR2572" s="206" t="str">
        <f t="shared" si="770"/>
        <v>YAMAHA_Mounter</v>
      </c>
      <c r="AS2572" s="22">
        <f t="shared" si="771"/>
        <v>0</v>
      </c>
      <c r="AT2572" s="24" t="str">
        <f t="shared" si="772"/>
        <v>0-3 months</v>
      </c>
      <c r="AU2572" s="22" t="s">
        <v>3240</v>
      </c>
    </row>
    <row r="2573" spans="1:47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757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773"/>
        <v>1.13</v>
      </c>
      <c r="Z2573" s="18">
        <f t="shared" si="774"/>
        <v>465000</v>
      </c>
      <c r="AA2573" s="13">
        <v>1.1399999999999999</v>
      </c>
      <c r="AB2573" s="21">
        <f t="shared" si="758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0"/>
        <v>30573205.452778768</v>
      </c>
      <c r="AJ2573" s="19">
        <f t="shared" si="761"/>
        <v>3790930.1683151261</v>
      </c>
      <c r="AK2573" s="20">
        <f t="shared" si="767"/>
        <v>0.12399518179964254</v>
      </c>
      <c r="AL2573" s="17"/>
      <c r="AM2573" s="17"/>
      <c r="AN2573" s="17"/>
      <c r="AO2573" s="17"/>
      <c r="AP2573" s="28" t="str">
        <f t="shared" si="768"/>
        <v>20234</v>
      </c>
      <c r="AQ2573" s="28" t="str">
        <f t="shared" si="769"/>
        <v>20234RMB</v>
      </c>
      <c r="AR2573" s="206" t="str">
        <f t="shared" si="770"/>
        <v>YAMAHA_Mounter</v>
      </c>
      <c r="AS2573" s="22">
        <f t="shared" si="771"/>
        <v>1</v>
      </c>
      <c r="AT2573" s="24" t="str">
        <f t="shared" si="772"/>
        <v>0-3 months</v>
      </c>
      <c r="AU2573" s="22" t="s">
        <v>3240</v>
      </c>
    </row>
    <row r="2574" spans="1:47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757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773"/>
        <v>1.13</v>
      </c>
      <c r="Z2574" s="18">
        <f t="shared" si="774"/>
        <v>800000</v>
      </c>
      <c r="AA2574" s="13">
        <v>1.1399999999999999</v>
      </c>
      <c r="AB2574" s="21">
        <f t="shared" si="758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0"/>
        <v>30573205.452778768</v>
      </c>
      <c r="AJ2574" s="19">
        <f t="shared" si="761"/>
        <v>3790930.1683151261</v>
      </c>
      <c r="AK2574" s="20">
        <f t="shared" si="767"/>
        <v>0.12399518179964254</v>
      </c>
      <c r="AL2574" s="17"/>
      <c r="AM2574" s="17"/>
      <c r="AN2574" s="17"/>
      <c r="AO2574" s="17"/>
      <c r="AP2574" s="28" t="str">
        <f t="shared" si="768"/>
        <v>20234</v>
      </c>
      <c r="AQ2574" s="28" t="str">
        <f t="shared" si="769"/>
        <v>20234RMB</v>
      </c>
      <c r="AR2574" s="206" t="str">
        <f t="shared" si="770"/>
        <v>YAMAHA_Mounter</v>
      </c>
      <c r="AS2574" s="22">
        <f t="shared" si="771"/>
        <v>1</v>
      </c>
      <c r="AT2574" s="24" t="str">
        <f t="shared" si="772"/>
        <v>0-3 months</v>
      </c>
      <c r="AU2574" s="22" t="s">
        <v>3240</v>
      </c>
    </row>
    <row r="2575" spans="1:47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757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773"/>
        <v>1.13</v>
      </c>
      <c r="Z2575" s="18">
        <f t="shared" si="774"/>
        <v>1310000</v>
      </c>
      <c r="AA2575" s="13">
        <v>1.22</v>
      </c>
      <c r="AB2575" s="21">
        <f t="shared" si="758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0"/>
        <v>26407088.359292038</v>
      </c>
      <c r="AJ2575" s="19">
        <f t="shared" si="761"/>
        <v>3424510.6998470789</v>
      </c>
      <c r="AK2575" s="20">
        <f t="shared" si="767"/>
        <v>0.12968149510667554</v>
      </c>
      <c r="AL2575" s="17"/>
      <c r="AM2575" s="17"/>
      <c r="AN2575" s="17"/>
      <c r="AO2575" s="17"/>
      <c r="AP2575" s="28" t="str">
        <f t="shared" si="768"/>
        <v>20221</v>
      </c>
      <c r="AQ2575" s="28" t="str">
        <f t="shared" si="769"/>
        <v>20221RMB</v>
      </c>
      <c r="AR2575" s="206" t="str">
        <f t="shared" si="770"/>
        <v>YAMAHA_Mounter</v>
      </c>
      <c r="AS2575" s="22">
        <f t="shared" si="771"/>
        <v>1</v>
      </c>
      <c r="AT2575" s="24" t="str">
        <f t="shared" si="772"/>
        <v>0-3 months</v>
      </c>
      <c r="AU2575" s="22" t="s">
        <v>3750</v>
      </c>
    </row>
    <row r="2576" spans="1:47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757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773"/>
        <v>1.13</v>
      </c>
      <c r="Z2576" s="18">
        <f t="shared" si="774"/>
        <v>1475000</v>
      </c>
      <c r="AA2576" s="13">
        <v>1.135</v>
      </c>
      <c r="AB2576" s="21">
        <f t="shared" si="758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0"/>
        <v>28177779.013274338</v>
      </c>
      <c r="AJ2576" s="19">
        <f t="shared" si="761"/>
        <v>4727216.6376190251</v>
      </c>
      <c r="AK2576" s="20">
        <f t="shared" si="767"/>
        <v>0.1677639900359808</v>
      </c>
      <c r="AL2576" s="17"/>
      <c r="AM2576" s="17"/>
      <c r="AN2576" s="17"/>
      <c r="AO2576" s="17"/>
      <c r="AP2576" s="28" t="str">
        <f t="shared" si="768"/>
        <v>20235</v>
      </c>
      <c r="AQ2576" s="28" t="str">
        <f t="shared" si="769"/>
        <v>20235RMB</v>
      </c>
      <c r="AR2576" s="206" t="str">
        <f t="shared" si="770"/>
        <v>YAMAHA_Mounter</v>
      </c>
      <c r="AS2576" s="22">
        <f t="shared" si="771"/>
        <v>3</v>
      </c>
      <c r="AT2576" s="24" t="str">
        <f t="shared" si="772"/>
        <v>0-3 months</v>
      </c>
      <c r="AU2576" s="22" t="s">
        <v>3750</v>
      </c>
    </row>
    <row r="2577" spans="1:47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757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773"/>
        <v>1</v>
      </c>
      <c r="Z2577" s="18">
        <f t="shared" si="774"/>
        <v>13500000</v>
      </c>
      <c r="AA2577" s="13">
        <v>7.4499999999999997E-2</v>
      </c>
      <c r="AB2577" s="21">
        <f t="shared" si="758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0"/>
        <v>57778307.282035396</v>
      </c>
      <c r="AJ2577" s="19">
        <f t="shared" si="761"/>
        <v>7259860.7225420559</v>
      </c>
      <c r="AK2577" s="20">
        <f t="shared" si="767"/>
        <v>0.12565028406083667</v>
      </c>
      <c r="AL2577" s="17"/>
      <c r="AM2577" s="17"/>
      <c r="AN2577" s="17"/>
      <c r="AO2577" s="17"/>
      <c r="AP2577" s="28" t="str">
        <f t="shared" si="768"/>
        <v>20213</v>
      </c>
      <c r="AQ2577" s="28" t="str">
        <f t="shared" si="769"/>
        <v>20213JPY</v>
      </c>
      <c r="AR2577" s="206" t="str">
        <f t="shared" si="770"/>
        <v>YAMAHA_Mounter</v>
      </c>
      <c r="AS2577" s="22">
        <f t="shared" si="771"/>
        <v>4</v>
      </c>
      <c r="AT2577" s="24" t="str">
        <f t="shared" si="772"/>
        <v>4-6 months</v>
      </c>
      <c r="AU2577" s="22" t="s">
        <v>3744</v>
      </c>
    </row>
    <row r="2578" spans="1:47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757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773"/>
        <v>1</v>
      </c>
      <c r="Z2578" s="18">
        <f t="shared" si="774"/>
        <v>14500000</v>
      </c>
      <c r="AA2578" s="13">
        <v>7.0999999999999994E-2</v>
      </c>
      <c r="AB2578" s="21">
        <f t="shared" si="758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0"/>
        <v>15533177.71460177</v>
      </c>
      <c r="AJ2578" s="19">
        <f t="shared" si="761"/>
        <v>1819298.5437526547</v>
      </c>
      <c r="AK2578" s="20">
        <f t="shared" si="767"/>
        <v>0.11712339723265033</v>
      </c>
      <c r="AL2578" s="17"/>
      <c r="AM2578" s="17"/>
      <c r="AN2578" s="17"/>
      <c r="AO2578" s="17"/>
      <c r="AP2578" s="28" t="str">
        <f t="shared" si="768"/>
        <v>202110</v>
      </c>
      <c r="AQ2578" s="28" t="str">
        <f t="shared" si="769"/>
        <v>202110JPY</v>
      </c>
      <c r="AR2578" s="206" t="str">
        <f t="shared" si="770"/>
        <v>YAMAHA_Mounter</v>
      </c>
      <c r="AS2578" s="22">
        <f t="shared" si="771"/>
        <v>6</v>
      </c>
      <c r="AT2578" s="24" t="str">
        <f t="shared" si="772"/>
        <v>4-6 months</v>
      </c>
      <c r="AU2578" s="22" t="s">
        <v>3744</v>
      </c>
    </row>
    <row r="2579" spans="1:47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757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773"/>
        <v>1</v>
      </c>
      <c r="Z2579" s="18">
        <f t="shared" si="774"/>
        <v>14500000</v>
      </c>
      <c r="AA2579" s="13">
        <v>7.0999999999999994E-2</v>
      </c>
      <c r="AB2579" s="21">
        <f t="shared" si="758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0"/>
        <v>15533177.71460177</v>
      </c>
      <c r="AJ2579" s="19">
        <f t="shared" si="761"/>
        <v>1819298.5437526547</v>
      </c>
      <c r="AK2579" s="20">
        <f t="shared" si="767"/>
        <v>0.11712339723265033</v>
      </c>
      <c r="AL2579" s="17"/>
      <c r="AM2579" s="17"/>
      <c r="AN2579" s="17"/>
      <c r="AO2579" s="17"/>
      <c r="AP2579" s="28" t="str">
        <f t="shared" si="768"/>
        <v>202110</v>
      </c>
      <c r="AQ2579" s="28" t="str">
        <f t="shared" si="769"/>
        <v>202110JPY</v>
      </c>
      <c r="AR2579" s="206" t="str">
        <f t="shared" si="770"/>
        <v>YAMAHA_Mounter</v>
      </c>
      <c r="AS2579" s="22">
        <f t="shared" si="771"/>
        <v>6</v>
      </c>
      <c r="AT2579" s="24" t="str">
        <f t="shared" si="772"/>
        <v>4-6 months</v>
      </c>
      <c r="AU2579" s="22" t="s">
        <v>3744</v>
      </c>
    </row>
    <row r="2580" spans="1:47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757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773"/>
        <v>1.13</v>
      </c>
      <c r="Z2580" s="18">
        <f t="shared" si="774"/>
        <v>1000000</v>
      </c>
      <c r="AA2580" s="13">
        <v>1.08</v>
      </c>
      <c r="AB2580" s="21">
        <f t="shared" si="758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0"/>
        <v>31017966.201968137</v>
      </c>
      <c r="AJ2580" s="19">
        <f t="shared" si="761"/>
        <v>4704250.3347305888</v>
      </c>
      <c r="AK2580" s="20">
        <f t="shared" si="767"/>
        <v>0.15166211427595458</v>
      </c>
      <c r="AL2580" s="17"/>
      <c r="AM2580" s="17"/>
      <c r="AN2580" s="17"/>
      <c r="AO2580" s="17"/>
      <c r="AP2580" s="28" t="str">
        <f t="shared" si="768"/>
        <v>202211</v>
      </c>
      <c r="AQ2580" s="28" t="str">
        <f t="shared" si="769"/>
        <v>202211RMB</v>
      </c>
      <c r="AR2580" s="206" t="str">
        <f t="shared" si="770"/>
        <v>YAMAHA_Mounter</v>
      </c>
      <c r="AS2580" s="22">
        <f t="shared" si="771"/>
        <v>0</v>
      </c>
      <c r="AT2580" s="24" t="str">
        <f t="shared" si="772"/>
        <v>0-3 months</v>
      </c>
      <c r="AU2580" s="22" t="s">
        <v>3750</v>
      </c>
    </row>
    <row r="2581" spans="1:47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757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774"/>
        <v>455000</v>
      </c>
      <c r="AA2581" s="22">
        <v>1.075</v>
      </c>
      <c r="AB2581" s="197">
        <f t="shared" si="758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0"/>
        <v>25458266.694690265</v>
      </c>
      <c r="AJ2581" s="200">
        <f t="shared" si="761"/>
        <v>4116526.778578762</v>
      </c>
      <c r="AK2581" s="201">
        <f t="shared" si="767"/>
        <v>0.16169705612508689</v>
      </c>
      <c r="AL2581" s="24"/>
      <c r="AM2581" s="24"/>
      <c r="AN2581" s="24"/>
      <c r="AO2581" s="24"/>
      <c r="AP2581" s="105" t="str">
        <f t="shared" si="768"/>
        <v>20247</v>
      </c>
      <c r="AQ2581" s="28" t="str">
        <f t="shared" si="769"/>
        <v>20247RMB</v>
      </c>
      <c r="AR2581" s="206" t="str">
        <f t="shared" si="770"/>
        <v>YAMAHA_Mounter</v>
      </c>
      <c r="AS2581" s="22">
        <f t="shared" si="771"/>
        <v>0</v>
      </c>
      <c r="AT2581" s="24" t="str">
        <f t="shared" si="772"/>
        <v>0-3 months</v>
      </c>
      <c r="AU2581" s="22" t="s">
        <v>3240</v>
      </c>
    </row>
    <row r="2582" spans="1:47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775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776">IF(W2582="RMB","1.13", "1")</f>
        <v>1.13</v>
      </c>
      <c r="Z2582" s="18">
        <f t="shared" si="774"/>
        <v>822900</v>
      </c>
      <c r="AA2582" s="13">
        <v>1.1399999999999999</v>
      </c>
      <c r="AB2582" s="21">
        <f t="shared" ref="AB2582:AB2617" si="777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0"/>
        <v>30573205.452778768</v>
      </c>
      <c r="AJ2582" s="19">
        <f t="shared" si="761"/>
        <v>3790930.1683151261</v>
      </c>
      <c r="AK2582" s="20">
        <f t="shared" si="767"/>
        <v>0.12399518179964254</v>
      </c>
      <c r="AL2582" s="17"/>
      <c r="AM2582" s="17"/>
      <c r="AN2582" s="17"/>
      <c r="AO2582" s="17"/>
      <c r="AP2582" s="28" t="str">
        <f t="shared" si="768"/>
        <v>20234</v>
      </c>
      <c r="AQ2582" s="28" t="str">
        <f t="shared" si="769"/>
        <v>20234RMB</v>
      </c>
      <c r="AR2582" s="206" t="str">
        <f t="shared" si="770"/>
        <v>YAMAHA_Mounter</v>
      </c>
      <c r="AS2582" s="22">
        <f t="shared" si="771"/>
        <v>0</v>
      </c>
      <c r="AT2582" s="24" t="str">
        <f t="shared" si="772"/>
        <v>0-3 months</v>
      </c>
      <c r="AU2582" s="22" t="s">
        <v>3750</v>
      </c>
    </row>
    <row r="2583" spans="1:47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775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776"/>
        <v>1.13</v>
      </c>
      <c r="Z2583" s="18">
        <f t="shared" si="774"/>
        <v>822900</v>
      </c>
      <c r="AA2583" s="13">
        <v>1.1399999999999999</v>
      </c>
      <c r="AB2583" s="21">
        <f t="shared" si="777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0"/>
        <v>30573205.452778768</v>
      </c>
      <c r="AJ2583" s="19">
        <f t="shared" si="761"/>
        <v>3790930.1683151261</v>
      </c>
      <c r="AK2583" s="20">
        <f t="shared" si="767"/>
        <v>0.12399518179964254</v>
      </c>
      <c r="AL2583" s="17"/>
      <c r="AM2583" s="17"/>
      <c r="AN2583" s="17"/>
      <c r="AO2583" s="17"/>
      <c r="AP2583" s="28" t="str">
        <f t="shared" si="768"/>
        <v>20234</v>
      </c>
      <c r="AQ2583" s="28" t="str">
        <f t="shared" si="769"/>
        <v>20234RMB</v>
      </c>
      <c r="AR2583" s="206" t="str">
        <f t="shared" si="770"/>
        <v>YAMAHA_Mounter</v>
      </c>
      <c r="AS2583" s="22">
        <f t="shared" si="771"/>
        <v>0</v>
      </c>
      <c r="AT2583" s="24" t="str">
        <f t="shared" si="772"/>
        <v>0-3 months</v>
      </c>
      <c r="AU2583" s="22" t="s">
        <v>3750</v>
      </c>
    </row>
    <row r="2584" spans="1:47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775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776"/>
        <v>1.13</v>
      </c>
      <c r="Z2584" s="18">
        <f t="shared" si="774"/>
        <v>601000</v>
      </c>
      <c r="AA2584" s="13">
        <v>1.1399999999999999</v>
      </c>
      <c r="AB2584" s="21">
        <f t="shared" si="777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0"/>
        <v>30573205.452778768</v>
      </c>
      <c r="AJ2584" s="19">
        <f t="shared" si="761"/>
        <v>3790930.1683151261</v>
      </c>
      <c r="AK2584" s="20">
        <f t="shared" si="767"/>
        <v>0.12399518179964254</v>
      </c>
      <c r="AL2584" s="17"/>
      <c r="AM2584" s="17"/>
      <c r="AN2584" s="17"/>
      <c r="AO2584" s="17"/>
      <c r="AP2584" s="28" t="str">
        <f t="shared" si="768"/>
        <v>20234</v>
      </c>
      <c r="AQ2584" s="28" t="str">
        <f t="shared" si="769"/>
        <v>20234RMB</v>
      </c>
      <c r="AR2584" s="206" t="str">
        <f t="shared" si="770"/>
        <v>YAMAHA_Mounter</v>
      </c>
      <c r="AS2584" s="22">
        <f t="shared" si="771"/>
        <v>0</v>
      </c>
      <c r="AT2584" s="24" t="str">
        <f t="shared" si="772"/>
        <v>0-3 months</v>
      </c>
      <c r="AU2584" s="22" t="s">
        <v>3750</v>
      </c>
    </row>
    <row r="2585" spans="1:47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775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776"/>
        <v>1.13</v>
      </c>
      <c r="Z2585" s="18">
        <f t="shared" si="774"/>
        <v>601000</v>
      </c>
      <c r="AA2585" s="13">
        <v>1.1399999999999999</v>
      </c>
      <c r="AB2585" s="21">
        <f t="shared" si="777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0"/>
        <v>30573205.452778768</v>
      </c>
      <c r="AJ2585" s="19">
        <f t="shared" si="761"/>
        <v>3790930.1683151261</v>
      </c>
      <c r="AK2585" s="20">
        <f t="shared" si="767"/>
        <v>0.12399518179964254</v>
      </c>
      <c r="AL2585" s="17"/>
      <c r="AM2585" s="17"/>
      <c r="AN2585" s="17"/>
      <c r="AO2585" s="17"/>
      <c r="AP2585" s="28" t="str">
        <f t="shared" si="768"/>
        <v>20234</v>
      </c>
      <c r="AQ2585" s="28" t="str">
        <f t="shared" si="769"/>
        <v>20234RMB</v>
      </c>
      <c r="AR2585" s="206" t="str">
        <f t="shared" si="770"/>
        <v>YAMAHA_Mounter</v>
      </c>
      <c r="AS2585" s="22">
        <f t="shared" si="771"/>
        <v>0</v>
      </c>
      <c r="AT2585" s="24" t="str">
        <f t="shared" si="772"/>
        <v>0-3 months</v>
      </c>
      <c r="AU2585" s="22" t="s">
        <v>3750</v>
      </c>
    </row>
    <row r="2586" spans="1:47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775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776"/>
        <v>1.13</v>
      </c>
      <c r="Z2586" s="18">
        <f t="shared" si="774"/>
        <v>529000</v>
      </c>
      <c r="AA2586" s="13">
        <v>1.22</v>
      </c>
      <c r="AB2586" s="21">
        <f t="shared" si="777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0"/>
        <v>46600814.041769907</v>
      </c>
      <c r="AJ2586" s="19">
        <f t="shared" si="761"/>
        <v>5956366.3435927071</v>
      </c>
      <c r="AK2586" s="20">
        <f t="shared" si="767"/>
        <v>0.1278167874546958</v>
      </c>
      <c r="AL2586" s="17"/>
      <c r="AM2586" s="17"/>
      <c r="AN2586" s="17"/>
      <c r="AO2586" s="17"/>
      <c r="AP2586" s="28" t="str">
        <f t="shared" si="768"/>
        <v>20224</v>
      </c>
      <c r="AQ2586" s="28" t="str">
        <f t="shared" si="769"/>
        <v>20224RMB</v>
      </c>
      <c r="AR2586" s="206" t="str">
        <f t="shared" si="770"/>
        <v>YAMAHA_Mounter</v>
      </c>
      <c r="AS2586" s="22">
        <f t="shared" si="771"/>
        <v>10</v>
      </c>
      <c r="AT2586" s="24" t="str">
        <f t="shared" si="772"/>
        <v>&gt; 6 months</v>
      </c>
      <c r="AU2586" s="22" t="s">
        <v>3750</v>
      </c>
    </row>
    <row r="2587" spans="1:47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775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776"/>
        <v>1.13</v>
      </c>
      <c r="Z2587" s="18">
        <f t="shared" si="774"/>
        <v>460000</v>
      </c>
      <c r="AA2587" s="13">
        <v>1.1299999999999999</v>
      </c>
      <c r="AB2587" s="21">
        <f t="shared" si="777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0"/>
        <v>33543315.897345133</v>
      </c>
      <c r="AJ2587" s="19">
        <f t="shared" si="761"/>
        <v>4706169.3252984071</v>
      </c>
      <c r="AK2587" s="20">
        <f t="shared" si="767"/>
        <v>0.14030125523967318</v>
      </c>
      <c r="AL2587" s="17"/>
      <c r="AM2587" s="17"/>
      <c r="AN2587" s="17"/>
      <c r="AO2587" s="17"/>
      <c r="AP2587" s="28" t="str">
        <f t="shared" si="768"/>
        <v>20233</v>
      </c>
      <c r="AQ2587" s="28" t="str">
        <f t="shared" si="769"/>
        <v>20233RMB</v>
      </c>
      <c r="AR2587" s="206" t="str">
        <f t="shared" si="770"/>
        <v>YAMAHA_Mounter</v>
      </c>
      <c r="AS2587" s="22">
        <f t="shared" si="771"/>
        <v>0</v>
      </c>
      <c r="AT2587" s="24" t="str">
        <f t="shared" si="772"/>
        <v>0-3 months</v>
      </c>
      <c r="AU2587" s="22" t="s">
        <v>3750</v>
      </c>
    </row>
    <row r="2588" spans="1:47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775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776"/>
        <v>1.13</v>
      </c>
      <c r="Z2588" s="18">
        <f t="shared" si="774"/>
        <v>510000</v>
      </c>
      <c r="AA2588" s="13">
        <v>1.1299999999999999</v>
      </c>
      <c r="AB2588" s="21">
        <f t="shared" si="777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0"/>
        <v>33543315.897345133</v>
      </c>
      <c r="AJ2588" s="19">
        <f t="shared" si="761"/>
        <v>4706169.3252984071</v>
      </c>
      <c r="AK2588" s="20">
        <f t="shared" si="767"/>
        <v>0.14030125523967318</v>
      </c>
      <c r="AL2588" s="17"/>
      <c r="AM2588" s="17"/>
      <c r="AN2588" s="17"/>
      <c r="AO2588" s="17"/>
      <c r="AP2588" s="28" t="str">
        <f t="shared" si="768"/>
        <v>20233</v>
      </c>
      <c r="AQ2588" s="28" t="str">
        <f t="shared" si="769"/>
        <v>20233RMB</v>
      </c>
      <c r="AR2588" s="206" t="str">
        <f t="shared" si="770"/>
        <v>YAMAHA_Mounter</v>
      </c>
      <c r="AS2588" s="22">
        <f t="shared" si="771"/>
        <v>0</v>
      </c>
      <c r="AT2588" s="24" t="str">
        <f t="shared" si="772"/>
        <v>0-3 months</v>
      </c>
      <c r="AU2588" s="22" t="s">
        <v>3750</v>
      </c>
    </row>
    <row r="2589" spans="1:47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775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776"/>
        <v>1.13</v>
      </c>
      <c r="Z2589" s="18">
        <f t="shared" si="774"/>
        <v>900000</v>
      </c>
      <c r="AA2589" s="13">
        <v>1.163</v>
      </c>
      <c r="AB2589" s="21">
        <f t="shared" si="777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0"/>
        <v>35073581.838938057</v>
      </c>
      <c r="AJ2589" s="19">
        <f t="shared" si="761"/>
        <v>5034113.9728989396</v>
      </c>
      <c r="AK2589" s="20">
        <f t="shared" si="767"/>
        <v>0.14353007902118958</v>
      </c>
      <c r="AL2589" s="17"/>
      <c r="AM2589" s="17"/>
      <c r="AN2589" s="17"/>
      <c r="AO2589" s="17"/>
      <c r="AP2589" s="28" t="str">
        <f t="shared" si="768"/>
        <v>20228</v>
      </c>
      <c r="AQ2589" s="28" t="str">
        <f t="shared" si="769"/>
        <v>20228RMB</v>
      </c>
      <c r="AR2589" s="206" t="str">
        <f t="shared" si="770"/>
        <v>YAMAHA_Mounter</v>
      </c>
      <c r="AS2589" s="22">
        <f t="shared" si="771"/>
        <v>3</v>
      </c>
      <c r="AT2589" s="24" t="str">
        <f t="shared" si="772"/>
        <v>0-3 months</v>
      </c>
      <c r="AU2589" s="22" t="s">
        <v>3240</v>
      </c>
    </row>
    <row r="2590" spans="1:47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775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776"/>
        <v>1.13</v>
      </c>
      <c r="Z2590" s="18">
        <f t="shared" si="774"/>
        <v>665000</v>
      </c>
      <c r="AA2590" s="13">
        <v>1.163</v>
      </c>
      <c r="AB2590" s="21">
        <f t="shared" si="777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0"/>
        <v>35073581.838938057</v>
      </c>
      <c r="AJ2590" s="19">
        <f t="shared" si="761"/>
        <v>5034113.9728989396</v>
      </c>
      <c r="AK2590" s="20">
        <f t="shared" si="767"/>
        <v>0.14353007902118958</v>
      </c>
      <c r="AL2590" s="17"/>
      <c r="AM2590" s="17"/>
      <c r="AN2590" s="17"/>
      <c r="AO2590" s="17"/>
      <c r="AP2590" s="28" t="str">
        <f t="shared" si="768"/>
        <v>20228</v>
      </c>
      <c r="AQ2590" s="28" t="str">
        <f t="shared" si="769"/>
        <v>20228RMB</v>
      </c>
      <c r="AR2590" s="206" t="str">
        <f t="shared" si="770"/>
        <v>YAMAHA_Mounter</v>
      </c>
      <c r="AS2590" s="22">
        <f t="shared" si="771"/>
        <v>3</v>
      </c>
      <c r="AT2590" s="24" t="str">
        <f t="shared" si="772"/>
        <v>0-3 months</v>
      </c>
      <c r="AU2590" s="22" t="s">
        <v>3240</v>
      </c>
    </row>
    <row r="2591" spans="1:47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775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774"/>
        <v>1000000</v>
      </c>
      <c r="AA2591" s="13">
        <v>1.089</v>
      </c>
      <c r="AB2591" s="21">
        <f t="shared" si="777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0"/>
        <v>29183109.05575221</v>
      </c>
      <c r="AJ2591" s="19">
        <f t="shared" si="761"/>
        <v>3741266.5648721238</v>
      </c>
      <c r="AK2591" s="20">
        <f t="shared" si="767"/>
        <v>0.12819972531798121</v>
      </c>
      <c r="AL2591" s="17"/>
      <c r="AM2591" s="17"/>
      <c r="AN2591" s="17"/>
      <c r="AO2591" s="17"/>
      <c r="AP2591" s="28" t="str">
        <f t="shared" si="768"/>
        <v>20206</v>
      </c>
      <c r="AQ2591" s="28" t="str">
        <f t="shared" si="769"/>
        <v>20206RMB</v>
      </c>
      <c r="AR2591" s="206" t="str">
        <f t="shared" si="770"/>
        <v>YAMAHA_Mounter</v>
      </c>
      <c r="AS2591" s="22">
        <f t="shared" si="771"/>
        <v>2</v>
      </c>
      <c r="AT2591" s="24" t="str">
        <f t="shared" si="772"/>
        <v>0-3 months</v>
      </c>
      <c r="AU2591" s="22" t="s">
        <v>3240</v>
      </c>
    </row>
    <row r="2592" spans="1:47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775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774"/>
        <v>899000</v>
      </c>
      <c r="AA2592" s="13">
        <v>1.089</v>
      </c>
      <c r="AB2592" s="21">
        <f t="shared" si="777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0"/>
        <v>29183109.05575221</v>
      </c>
      <c r="AJ2592" s="19">
        <f t="shared" si="761"/>
        <v>3741266.5648721238</v>
      </c>
      <c r="AK2592" s="20">
        <f t="shared" si="767"/>
        <v>0.12819972531798121</v>
      </c>
      <c r="AL2592" s="17"/>
      <c r="AM2592" s="17"/>
      <c r="AN2592" s="17"/>
      <c r="AO2592" s="17"/>
      <c r="AP2592" s="28" t="str">
        <f t="shared" si="768"/>
        <v>20206</v>
      </c>
      <c r="AQ2592" s="28" t="str">
        <f t="shared" si="769"/>
        <v>20206RMB</v>
      </c>
      <c r="AR2592" s="206" t="str">
        <f t="shared" si="770"/>
        <v>YAMAHA_Mounter</v>
      </c>
      <c r="AS2592" s="22">
        <f t="shared" si="771"/>
        <v>2</v>
      </c>
      <c r="AT2592" s="24" t="str">
        <f t="shared" si="772"/>
        <v>0-3 months</v>
      </c>
      <c r="AU2592" s="22" t="s">
        <v>3240</v>
      </c>
    </row>
    <row r="2593" spans="1:47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775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774"/>
        <v>530000</v>
      </c>
      <c r="AA2593" s="13">
        <v>1.1100000000000001</v>
      </c>
      <c r="AB2593" s="21">
        <f t="shared" si="777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0"/>
        <v>26147030.909862842</v>
      </c>
      <c r="AJ2593" s="19">
        <f t="shared" si="761"/>
        <v>2743862.8630715334</v>
      </c>
      <c r="AK2593" s="20">
        <f t="shared" si="767"/>
        <v>0.10493974908778378</v>
      </c>
      <c r="AL2593" s="17"/>
      <c r="AM2593" s="17"/>
      <c r="AN2593" s="17"/>
      <c r="AO2593" s="17"/>
      <c r="AP2593" s="28" t="str">
        <f t="shared" si="768"/>
        <v>201911</v>
      </c>
      <c r="AQ2593" s="28" t="str">
        <f t="shared" si="769"/>
        <v>201911RMB</v>
      </c>
      <c r="AR2593" s="206" t="str">
        <f t="shared" si="770"/>
        <v>YAMAHA_Mounter</v>
      </c>
      <c r="AS2593" s="22">
        <f t="shared" si="771"/>
        <v>0</v>
      </c>
      <c r="AT2593" s="24" t="str">
        <f t="shared" si="772"/>
        <v>0-3 months</v>
      </c>
      <c r="AU2593" s="22" t="s">
        <v>3743</v>
      </c>
    </row>
    <row r="2594" spans="1:47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775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774"/>
        <v>530000</v>
      </c>
      <c r="AA2594" s="13">
        <v>1.1100000000000001</v>
      </c>
      <c r="AB2594" s="21">
        <f t="shared" si="777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0"/>
        <v>26147030.909862842</v>
      </c>
      <c r="AJ2594" s="19">
        <f t="shared" si="761"/>
        <v>2743862.8630715334</v>
      </c>
      <c r="AK2594" s="20">
        <f t="shared" si="767"/>
        <v>0.10493974908778378</v>
      </c>
      <c r="AL2594" s="17"/>
      <c r="AM2594" s="17"/>
      <c r="AN2594" s="17"/>
      <c r="AO2594" s="17"/>
      <c r="AP2594" s="28" t="str">
        <f t="shared" si="768"/>
        <v>201911</v>
      </c>
      <c r="AQ2594" s="28" t="str">
        <f t="shared" si="769"/>
        <v>201911RMB</v>
      </c>
      <c r="AR2594" s="206" t="str">
        <f t="shared" si="770"/>
        <v>YAMAHA_Mounter</v>
      </c>
      <c r="AS2594" s="22">
        <f t="shared" si="771"/>
        <v>0</v>
      </c>
      <c r="AT2594" s="24" t="str">
        <f t="shared" si="772"/>
        <v>0-3 months</v>
      </c>
      <c r="AU2594" s="22" t="s">
        <v>3743</v>
      </c>
    </row>
    <row r="2595" spans="1:47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775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774"/>
        <v>12280000</v>
      </c>
      <c r="AA2595" s="13">
        <v>7.0400000000000004E-2</v>
      </c>
      <c r="AB2595" s="21">
        <f t="shared" si="777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0"/>
        <v>29840797.698275864</v>
      </c>
      <c r="AJ2595" s="19">
        <f t="shared" si="761"/>
        <v>3940167.6555448272</v>
      </c>
      <c r="AK2595" s="20">
        <f t="shared" si="767"/>
        <v>0.13203962224416277</v>
      </c>
      <c r="AL2595" s="17"/>
      <c r="AM2595" s="17"/>
      <c r="AN2595" s="17"/>
      <c r="AO2595" s="17"/>
      <c r="AP2595" s="28" t="str">
        <f t="shared" si="768"/>
        <v>201812</v>
      </c>
      <c r="AQ2595" s="28" t="str">
        <f t="shared" si="769"/>
        <v>201812JPY</v>
      </c>
      <c r="AR2595" s="206" t="str">
        <f t="shared" si="770"/>
        <v>YAMAHA_Mounter</v>
      </c>
      <c r="AS2595" s="22">
        <f t="shared" si="771"/>
        <v>10</v>
      </c>
      <c r="AT2595" s="24" t="str">
        <f t="shared" si="772"/>
        <v>&gt; 6 months</v>
      </c>
      <c r="AU2595" s="22" t="s">
        <v>3744</v>
      </c>
    </row>
    <row r="2596" spans="1:47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775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774"/>
        <v>7300000</v>
      </c>
      <c r="AA2596" s="13">
        <v>6.9199999999999998E-2</v>
      </c>
      <c r="AB2596" s="21">
        <f t="shared" si="777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0"/>
        <v>31750699.113741599</v>
      </c>
      <c r="AJ2596" s="19">
        <f t="shared" si="761"/>
        <v>4396077.3195289988</v>
      </c>
      <c r="AK2596" s="20">
        <f t="shared" si="767"/>
        <v>0.13845607946397598</v>
      </c>
      <c r="AL2596" s="17"/>
      <c r="AM2596" s="17"/>
      <c r="AN2596" s="17"/>
      <c r="AO2596" s="17"/>
      <c r="AP2596" s="28" t="str">
        <f t="shared" si="768"/>
        <v>20222</v>
      </c>
      <c r="AQ2596" s="28" t="str">
        <f t="shared" si="769"/>
        <v>20222JPY</v>
      </c>
      <c r="AR2596" s="206" t="str">
        <f t="shared" si="770"/>
        <v>YAMAHA_Mounter</v>
      </c>
      <c r="AS2596" s="22">
        <f t="shared" si="771"/>
        <v>11</v>
      </c>
      <c r="AT2596" s="24" t="str">
        <f t="shared" si="772"/>
        <v>&gt; 6 months</v>
      </c>
      <c r="AU2596" s="22" t="s">
        <v>3744</v>
      </c>
    </row>
    <row r="2597" spans="1:47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775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774"/>
        <v>10100000</v>
      </c>
      <c r="AA2597" s="13">
        <v>7.0400000000000004E-2</v>
      </c>
      <c r="AB2597" s="21">
        <f t="shared" si="777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0"/>
        <v>29840797.698275864</v>
      </c>
      <c r="AJ2597" s="19">
        <f t="shared" si="761"/>
        <v>3940167.6555448272</v>
      </c>
      <c r="AK2597" s="20">
        <f t="shared" si="767"/>
        <v>0.13203962224416277</v>
      </c>
      <c r="AL2597" s="17"/>
      <c r="AM2597" s="17"/>
      <c r="AN2597" s="17"/>
      <c r="AO2597" s="17"/>
      <c r="AP2597" s="28" t="str">
        <f t="shared" si="768"/>
        <v>201812</v>
      </c>
      <c r="AQ2597" s="28" t="str">
        <f t="shared" si="769"/>
        <v>201812JPY</v>
      </c>
      <c r="AR2597" s="206" t="str">
        <f t="shared" si="770"/>
        <v>YAMAHA_Mounter</v>
      </c>
      <c r="AS2597" s="22">
        <f t="shared" si="771"/>
        <v>4</v>
      </c>
      <c r="AT2597" s="24" t="str">
        <f t="shared" si="772"/>
        <v>4-6 months</v>
      </c>
      <c r="AU2597" s="22" t="s">
        <v>3240</v>
      </c>
    </row>
    <row r="2598" spans="1:47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775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774"/>
        <v>10100000</v>
      </c>
      <c r="AA2598" s="13">
        <v>7.0400000000000004E-2</v>
      </c>
      <c r="AB2598" s="21">
        <f t="shared" si="777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0"/>
        <v>29840797.698275864</v>
      </c>
      <c r="AJ2598" s="19">
        <f t="shared" si="761"/>
        <v>3940167.6555448272</v>
      </c>
      <c r="AK2598" s="20">
        <f t="shared" si="767"/>
        <v>0.13203962224416277</v>
      </c>
      <c r="AL2598" s="17"/>
      <c r="AM2598" s="17"/>
      <c r="AN2598" s="17"/>
      <c r="AO2598" s="17"/>
      <c r="AP2598" s="28" t="str">
        <f t="shared" si="768"/>
        <v>201812</v>
      </c>
      <c r="AQ2598" s="28" t="str">
        <f t="shared" si="769"/>
        <v>201812JPY</v>
      </c>
      <c r="AR2598" s="206" t="str">
        <f t="shared" si="770"/>
        <v>YAMAHA_Mounter</v>
      </c>
      <c r="AS2598" s="22">
        <f t="shared" si="771"/>
        <v>4</v>
      </c>
      <c r="AT2598" s="24" t="str">
        <f t="shared" si="772"/>
        <v>4-6 months</v>
      </c>
      <c r="AU2598" s="22" t="s">
        <v>3240</v>
      </c>
    </row>
    <row r="2599" spans="1:47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775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774"/>
        <v>10100000</v>
      </c>
      <c r="AA2599" s="13">
        <v>7.0400000000000004E-2</v>
      </c>
      <c r="AB2599" s="21">
        <f t="shared" si="777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0"/>
        <v>29840797.698275864</v>
      </c>
      <c r="AJ2599" s="19">
        <f t="shared" si="761"/>
        <v>3940167.6555448272</v>
      </c>
      <c r="AK2599" s="20">
        <f t="shared" si="767"/>
        <v>0.13203962224416277</v>
      </c>
      <c r="AL2599" s="17"/>
      <c r="AM2599" s="17"/>
      <c r="AN2599" s="17"/>
      <c r="AO2599" s="17"/>
      <c r="AP2599" s="28" t="str">
        <f t="shared" si="768"/>
        <v>201812</v>
      </c>
      <c r="AQ2599" s="28" t="str">
        <f t="shared" si="769"/>
        <v>201812JPY</v>
      </c>
      <c r="AR2599" s="206" t="str">
        <f t="shared" si="770"/>
        <v>YAMAHA_Mounter</v>
      </c>
      <c r="AS2599" s="22">
        <f t="shared" si="771"/>
        <v>4</v>
      </c>
      <c r="AT2599" s="24" t="str">
        <f t="shared" si="772"/>
        <v>4-6 months</v>
      </c>
      <c r="AU2599" s="22" t="s">
        <v>3240</v>
      </c>
    </row>
    <row r="2600" spans="1:47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764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775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774"/>
        <v>12120000</v>
      </c>
      <c r="AA2600" s="13">
        <v>7.22E-2</v>
      </c>
      <c r="AB2600" s="21">
        <f t="shared" si="777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0"/>
        <v>499582152.5142017</v>
      </c>
      <c r="AJ2600" s="19">
        <f t="shared" si="761"/>
        <v>59520528.679470733</v>
      </c>
      <c r="AK2600" s="20">
        <f t="shared" si="767"/>
        <v>0.11914062257814291</v>
      </c>
      <c r="AL2600" s="17"/>
      <c r="AM2600" s="17"/>
      <c r="AN2600" s="17"/>
      <c r="AO2600" s="17"/>
      <c r="AP2600" s="28" t="str">
        <f t="shared" si="768"/>
        <v>CancelCancel</v>
      </c>
      <c r="AQ2600" s="28" t="str">
        <f t="shared" si="769"/>
        <v>CancelCancelJPY</v>
      </c>
      <c r="AR2600" s="206" t="str">
        <f t="shared" si="770"/>
        <v>YAMAHA_Mounter</v>
      </c>
      <c r="AS2600" s="22" t="str">
        <f t="shared" si="771"/>
        <v/>
      </c>
      <c r="AT2600" s="24" t="str">
        <f t="shared" si="772"/>
        <v/>
      </c>
      <c r="AU2600" s="22" t="s">
        <v>3240</v>
      </c>
    </row>
    <row r="2601" spans="1:47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764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775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774"/>
        <v>12120000</v>
      </c>
      <c r="AA2601" s="13">
        <v>7.22E-2</v>
      </c>
      <c r="AB2601" s="21">
        <f t="shared" si="777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0"/>
        <v>499582152.5142017</v>
      </c>
      <c r="AJ2601" s="19">
        <f t="shared" si="761"/>
        <v>59520528.679470733</v>
      </c>
      <c r="AK2601" s="20">
        <f t="shared" si="767"/>
        <v>0.11914062257814291</v>
      </c>
      <c r="AL2601" s="17"/>
      <c r="AM2601" s="17"/>
      <c r="AN2601" s="17"/>
      <c r="AO2601" s="17"/>
      <c r="AP2601" s="28" t="str">
        <f t="shared" si="768"/>
        <v>CancelCancel</v>
      </c>
      <c r="AQ2601" s="28" t="str">
        <f t="shared" si="769"/>
        <v>CancelCancelJPY</v>
      </c>
      <c r="AR2601" s="206" t="str">
        <f t="shared" si="770"/>
        <v>YAMAHA_Mounter</v>
      </c>
      <c r="AS2601" s="22" t="str">
        <f t="shared" si="771"/>
        <v/>
      </c>
      <c r="AT2601" s="24" t="str">
        <f t="shared" si="772"/>
        <v/>
      </c>
      <c r="AU2601" s="22" t="s">
        <v>3240</v>
      </c>
    </row>
    <row r="2602" spans="1:47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775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774"/>
        <v>12320000</v>
      </c>
      <c r="AA2602" s="13">
        <v>7.2300000000000003E-2</v>
      </c>
      <c r="AB2602" s="21">
        <f t="shared" si="777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0"/>
        <v>32843736.557277881</v>
      </c>
      <c r="AJ2602" s="19">
        <f t="shared" si="761"/>
        <v>3921470.6822663117</v>
      </c>
      <c r="AK2602" s="20">
        <f t="shared" si="767"/>
        <v>0.11939782416131177</v>
      </c>
      <c r="AL2602" s="17"/>
      <c r="AM2602" s="17"/>
      <c r="AN2602" s="17"/>
      <c r="AO2602" s="17"/>
      <c r="AP2602" s="28" t="str">
        <f t="shared" si="768"/>
        <v>20194</v>
      </c>
      <c r="AQ2602" s="28" t="str">
        <f t="shared" si="769"/>
        <v>20194JPY</v>
      </c>
      <c r="AR2602" s="206" t="str">
        <f t="shared" si="770"/>
        <v>YAMAHA_Mounter</v>
      </c>
      <c r="AS2602" s="22">
        <f t="shared" si="771"/>
        <v>1</v>
      </c>
      <c r="AT2602" s="24" t="str">
        <f t="shared" si="772"/>
        <v>0-3 months</v>
      </c>
      <c r="AU2602" s="22" t="s">
        <v>3744</v>
      </c>
    </row>
    <row r="2603" spans="1:47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775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774"/>
        <v>12320000</v>
      </c>
      <c r="AA2603" s="13">
        <v>7.2300000000000003E-2</v>
      </c>
      <c r="AB2603" s="21">
        <f t="shared" si="777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0"/>
        <v>32843736.557277881</v>
      </c>
      <c r="AJ2603" s="19">
        <f t="shared" si="761"/>
        <v>3921470.6822663117</v>
      </c>
      <c r="AK2603" s="20">
        <f t="shared" si="767"/>
        <v>0.11939782416131177</v>
      </c>
      <c r="AL2603" s="17"/>
      <c r="AM2603" s="17"/>
      <c r="AN2603" s="17"/>
      <c r="AO2603" s="17"/>
      <c r="AP2603" s="28" t="str">
        <f t="shared" si="768"/>
        <v>20194</v>
      </c>
      <c r="AQ2603" s="28" t="str">
        <f t="shared" si="769"/>
        <v>20194JPY</v>
      </c>
      <c r="AR2603" s="206" t="str">
        <f t="shared" si="770"/>
        <v>YAMAHA_Mounter</v>
      </c>
      <c r="AS2603" s="22">
        <f t="shared" si="771"/>
        <v>1</v>
      </c>
      <c r="AT2603" s="24" t="str">
        <f t="shared" si="772"/>
        <v>0-3 months</v>
      </c>
      <c r="AU2603" s="22" t="s">
        <v>3744</v>
      </c>
    </row>
    <row r="2604" spans="1:47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775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774"/>
        <v>570000</v>
      </c>
      <c r="AA2604" s="13">
        <v>1.135</v>
      </c>
      <c r="AB2604" s="21">
        <f t="shared" si="777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0"/>
        <v>15948576.102654871</v>
      </c>
      <c r="AJ2604" s="19">
        <f t="shared" si="761"/>
        <v>2739848.7004853105</v>
      </c>
      <c r="AK2604" s="20">
        <f t="shared" si="767"/>
        <v>0.17179268436567344</v>
      </c>
      <c r="AL2604" s="17"/>
      <c r="AM2604" s="17"/>
      <c r="AN2604" s="17"/>
      <c r="AO2604" s="17"/>
      <c r="AP2604" s="28" t="str">
        <f t="shared" si="768"/>
        <v>20229</v>
      </c>
      <c r="AQ2604" s="28" t="str">
        <f t="shared" si="769"/>
        <v>20229RMB</v>
      </c>
      <c r="AR2604" s="206" t="str">
        <f t="shared" si="770"/>
        <v>YAMAHA_Mounter</v>
      </c>
      <c r="AS2604" s="22">
        <f t="shared" si="771"/>
        <v>1</v>
      </c>
      <c r="AT2604" s="24" t="str">
        <f t="shared" si="772"/>
        <v>0-3 months</v>
      </c>
      <c r="AU2604" s="22" t="s">
        <v>3750</v>
      </c>
    </row>
    <row r="2605" spans="1:47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775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774"/>
        <v>800000</v>
      </c>
      <c r="AA2605" s="13">
        <v>1.135</v>
      </c>
      <c r="AB2605" s="21">
        <f t="shared" si="777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0"/>
        <v>15948576.102654871</v>
      </c>
      <c r="AJ2605" s="19">
        <f t="shared" si="761"/>
        <v>2739848.7004853105</v>
      </c>
      <c r="AK2605" s="20">
        <f t="shared" si="767"/>
        <v>0.17179268436567344</v>
      </c>
      <c r="AL2605" s="17"/>
      <c r="AM2605" s="17"/>
      <c r="AN2605" s="17"/>
      <c r="AO2605" s="17"/>
      <c r="AP2605" s="28" t="str">
        <f t="shared" si="768"/>
        <v>20229</v>
      </c>
      <c r="AQ2605" s="28" t="str">
        <f t="shared" si="769"/>
        <v>20229RMB</v>
      </c>
      <c r="AR2605" s="206" t="str">
        <f t="shared" si="770"/>
        <v>YAMAHA_Mounter</v>
      </c>
      <c r="AS2605" s="22">
        <f t="shared" si="771"/>
        <v>1</v>
      </c>
      <c r="AT2605" s="24" t="str">
        <f t="shared" si="772"/>
        <v>0-3 months</v>
      </c>
      <c r="AU2605" s="22" t="s">
        <v>3750</v>
      </c>
    </row>
    <row r="2606" spans="1:47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775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774"/>
        <v>10140000</v>
      </c>
      <c r="AA2606" s="13">
        <v>7.2099999999999997E-2</v>
      </c>
      <c r="AB2606" s="21">
        <f t="shared" si="777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0"/>
        <v>26492741.106427077</v>
      </c>
      <c r="AJ2606" s="19">
        <f t="shared" si="761"/>
        <v>3348032.1325698122</v>
      </c>
      <c r="AK2606" s="20">
        <f t="shared" si="767"/>
        <v>0.12637545201985867</v>
      </c>
      <c r="AL2606" s="17"/>
      <c r="AM2606" s="17"/>
      <c r="AN2606" s="17"/>
      <c r="AO2606" s="17"/>
      <c r="AP2606" s="28" t="str">
        <f t="shared" si="768"/>
        <v>20189</v>
      </c>
      <c r="AQ2606" s="28" t="str">
        <f t="shared" si="769"/>
        <v>20189JPY</v>
      </c>
      <c r="AR2606" s="206" t="str">
        <f t="shared" si="770"/>
        <v>YAMAHA_Mounter</v>
      </c>
      <c r="AS2606" s="22">
        <f t="shared" si="771"/>
        <v>8</v>
      </c>
      <c r="AT2606" s="24" t="str">
        <f t="shared" si="772"/>
        <v>&gt; 6 months</v>
      </c>
      <c r="AU2606" s="22" t="s">
        <v>3745</v>
      </c>
    </row>
    <row r="2607" spans="1:47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775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774"/>
        <v>11930000</v>
      </c>
      <c r="AA2607" s="13">
        <v>7.6100000000000001E-2</v>
      </c>
      <c r="AB2607" s="21">
        <f t="shared" si="777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0"/>
        <v>48763143.537654862</v>
      </c>
      <c r="AJ2607" s="19">
        <f t="shared" si="761"/>
        <v>5924029.9702154724</v>
      </c>
      <c r="AK2607" s="20">
        <f t="shared" si="767"/>
        <v>0.1214858095774925</v>
      </c>
      <c r="AL2607" s="17"/>
      <c r="AM2607" s="17"/>
      <c r="AN2607" s="17"/>
      <c r="AO2607" s="17"/>
      <c r="AP2607" s="28" t="str">
        <f t="shared" si="768"/>
        <v>202012</v>
      </c>
      <c r="AQ2607" s="28" t="str">
        <f t="shared" si="769"/>
        <v>202012JPY</v>
      </c>
      <c r="AR2607" s="206" t="str">
        <f t="shared" si="770"/>
        <v>YAMAHA_Mounter</v>
      </c>
      <c r="AS2607" s="22">
        <f t="shared" si="771"/>
        <v>2</v>
      </c>
      <c r="AT2607" s="24" t="str">
        <f t="shared" si="772"/>
        <v>0-3 months</v>
      </c>
      <c r="AU2607" s="22" t="s">
        <v>3744</v>
      </c>
    </row>
    <row r="2608" spans="1:47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775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774"/>
        <v>8500000</v>
      </c>
      <c r="AA2608" s="13">
        <v>6.54E-2</v>
      </c>
      <c r="AB2608" s="21">
        <f t="shared" si="777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0"/>
        <v>46600814.041769907</v>
      </c>
      <c r="AJ2608" s="19">
        <f t="shared" si="761"/>
        <v>5956366.3435927071</v>
      </c>
      <c r="AK2608" s="20">
        <f t="shared" si="767"/>
        <v>0.1278167874546958</v>
      </c>
      <c r="AL2608" s="17"/>
      <c r="AM2608" s="17"/>
      <c r="AN2608" s="17"/>
      <c r="AO2608" s="17"/>
      <c r="AP2608" s="28" t="str">
        <f t="shared" si="768"/>
        <v>20224</v>
      </c>
      <c r="AQ2608" s="28" t="str">
        <f t="shared" si="769"/>
        <v>20224JPY</v>
      </c>
      <c r="AR2608" s="206" t="str">
        <f t="shared" si="770"/>
        <v>YAMAHA_Mounter</v>
      </c>
      <c r="AS2608" s="22">
        <f t="shared" si="771"/>
        <v>4</v>
      </c>
      <c r="AT2608" s="24" t="str">
        <f t="shared" si="772"/>
        <v>4-6 months</v>
      </c>
      <c r="AU2608" s="22" t="s">
        <v>3744</v>
      </c>
    </row>
    <row r="2609" spans="1:47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775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774"/>
        <v>6900000</v>
      </c>
      <c r="AA2609" s="22">
        <v>5.3100000000000001E-2</v>
      </c>
      <c r="AB2609" s="21">
        <f t="shared" si="777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0"/>
        <v>21241742.157380536</v>
      </c>
      <c r="AJ2609" s="27">
        <f t="shared" si="761"/>
        <v>2987081.1613773629</v>
      </c>
      <c r="AK2609" s="28">
        <f t="shared" si="767"/>
        <v>0.14062317201884914</v>
      </c>
      <c r="AL2609" s="24"/>
      <c r="AM2609" s="24"/>
      <c r="AN2609" s="24"/>
      <c r="AO2609" s="24"/>
      <c r="AP2609" s="28" t="str">
        <f t="shared" si="768"/>
        <v>20243</v>
      </c>
      <c r="AQ2609" s="28" t="str">
        <f t="shared" si="769"/>
        <v>20243JPY</v>
      </c>
      <c r="AR2609" s="206" t="str">
        <f t="shared" si="770"/>
        <v>YAMAHA_Mounter</v>
      </c>
      <c r="AS2609" s="22">
        <f t="shared" si="771"/>
        <v>0</v>
      </c>
      <c r="AT2609" s="24" t="str">
        <f t="shared" si="772"/>
        <v>0-3 months</v>
      </c>
      <c r="AU2609" s="22" t="s">
        <v>3744</v>
      </c>
    </row>
    <row r="2610" spans="1:47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775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774"/>
        <v>455000</v>
      </c>
      <c r="AA2610" s="22">
        <v>1.075</v>
      </c>
      <c r="AB2610" s="197">
        <f t="shared" si="777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0"/>
        <v>25458266.694690265</v>
      </c>
      <c r="AJ2610" s="200">
        <f t="shared" si="761"/>
        <v>4116526.778578762</v>
      </c>
      <c r="AK2610" s="201">
        <f t="shared" si="767"/>
        <v>0.16169705612508689</v>
      </c>
      <c r="AL2610" s="24"/>
      <c r="AM2610" s="24"/>
      <c r="AN2610" s="24"/>
      <c r="AO2610" s="24"/>
      <c r="AP2610" s="105" t="str">
        <f t="shared" si="768"/>
        <v>20247</v>
      </c>
      <c r="AQ2610" s="28" t="str">
        <f t="shared" si="769"/>
        <v>20247RMB</v>
      </c>
      <c r="AR2610" s="206" t="str">
        <f t="shared" si="770"/>
        <v>YAMAHA_Mounter</v>
      </c>
      <c r="AS2610" s="22">
        <f t="shared" si="771"/>
        <v>0</v>
      </c>
      <c r="AT2610" s="24" t="str">
        <f t="shared" si="772"/>
        <v>0-3 months</v>
      </c>
      <c r="AU2610" s="22" t="s">
        <v>3240</v>
      </c>
    </row>
    <row r="2611" spans="1:47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775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774"/>
        <v>350000</v>
      </c>
      <c r="AA2611" s="22">
        <v>1.075</v>
      </c>
      <c r="AB2611" s="21">
        <f t="shared" si="777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0"/>
        <v>25458266.694690265</v>
      </c>
      <c r="AJ2611" s="27">
        <f t="shared" si="761"/>
        <v>4116526.778578762</v>
      </c>
      <c r="AK2611" s="28">
        <f t="shared" si="767"/>
        <v>0.16169705612508689</v>
      </c>
      <c r="AL2611" s="24"/>
      <c r="AM2611" s="24"/>
      <c r="AN2611" s="24"/>
      <c r="AO2611" s="24"/>
      <c r="AP2611" s="28" t="str">
        <f t="shared" si="768"/>
        <v>20247</v>
      </c>
      <c r="AQ2611" s="28" t="str">
        <f t="shared" si="769"/>
        <v>20247RMB</v>
      </c>
      <c r="AR2611" s="206" t="str">
        <f t="shared" si="770"/>
        <v>YAMAHA_Non_Mounter</v>
      </c>
      <c r="AS2611" s="22">
        <f t="shared" si="771"/>
        <v>7</v>
      </c>
      <c r="AT2611" s="24" t="str">
        <f t="shared" si="772"/>
        <v>&gt; 6 months</v>
      </c>
      <c r="AU2611" s="22" t="s">
        <v>3240</v>
      </c>
    </row>
    <row r="2612" spans="1:47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764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775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774"/>
        <v>7800000</v>
      </c>
      <c r="AA2612" s="13">
        <v>5.2900000000000003E-2</v>
      </c>
      <c r="AB2612" s="21">
        <f t="shared" si="777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0"/>
        <v>499582152.5142017</v>
      </c>
      <c r="AJ2612" s="27">
        <f t="shared" si="761"/>
        <v>59520528.679470733</v>
      </c>
      <c r="AK2612" s="28">
        <f t="shared" si="767"/>
        <v>0.11914062257814291</v>
      </c>
      <c r="AL2612" s="24"/>
      <c r="AM2612" s="24"/>
      <c r="AN2612" s="24"/>
      <c r="AO2612" s="24"/>
      <c r="AP2612" s="28" t="str">
        <f t="shared" si="768"/>
        <v>CancelCancel</v>
      </c>
      <c r="AQ2612" s="28" t="str">
        <f t="shared" si="769"/>
        <v>CancelCancelJPY</v>
      </c>
      <c r="AR2612" s="206" t="str">
        <f t="shared" si="770"/>
        <v>YAMAHA_Non_Mounter</v>
      </c>
      <c r="AS2612" s="22" t="str">
        <f t="shared" si="771"/>
        <v/>
      </c>
      <c r="AT2612" s="24" t="str">
        <f t="shared" si="772"/>
        <v/>
      </c>
      <c r="AU2612" s="22" t="s">
        <v>3744</v>
      </c>
    </row>
    <row r="2613" spans="1:47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764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775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774"/>
        <v>7800000</v>
      </c>
      <c r="AA2613" s="13">
        <v>5.2900000000000003E-2</v>
      </c>
      <c r="AB2613" s="21">
        <f t="shared" si="777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0"/>
        <v>499582152.5142017</v>
      </c>
      <c r="AJ2613" s="27">
        <f t="shared" si="761"/>
        <v>59520528.679470733</v>
      </c>
      <c r="AK2613" s="28">
        <f t="shared" si="767"/>
        <v>0.11914062257814291</v>
      </c>
      <c r="AL2613" s="24"/>
      <c r="AM2613" s="24"/>
      <c r="AN2613" s="24"/>
      <c r="AO2613" s="24"/>
      <c r="AP2613" s="28" t="str">
        <f t="shared" si="768"/>
        <v>CancelCancel</v>
      </c>
      <c r="AQ2613" s="28" t="str">
        <f t="shared" si="769"/>
        <v>CancelCancelJPY</v>
      </c>
      <c r="AR2613" s="206" t="str">
        <f t="shared" si="770"/>
        <v>YAMAHA_Non_Mounter</v>
      </c>
      <c r="AS2613" s="22" t="str">
        <f t="shared" si="771"/>
        <v/>
      </c>
      <c r="AT2613" s="24" t="str">
        <f t="shared" si="772"/>
        <v/>
      </c>
      <c r="AU2613" s="22" t="s">
        <v>3744</v>
      </c>
    </row>
    <row r="2614" spans="1:47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775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774"/>
        <v>8221500</v>
      </c>
      <c r="AA2614" s="13">
        <v>6.9199999999999998E-2</v>
      </c>
      <c r="AB2614" s="21">
        <f t="shared" si="777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0"/>
        <v>26407088.359292038</v>
      </c>
      <c r="AJ2614" s="19">
        <f t="shared" si="761"/>
        <v>3424510.6998470789</v>
      </c>
      <c r="AK2614" s="20">
        <f t="shared" si="767"/>
        <v>0.12968149510667554</v>
      </c>
      <c r="AL2614" s="17"/>
      <c r="AM2614" s="17"/>
      <c r="AN2614" s="17"/>
      <c r="AO2614" s="17"/>
      <c r="AP2614" s="28" t="str">
        <f t="shared" si="768"/>
        <v>20221</v>
      </c>
      <c r="AQ2614" s="28" t="str">
        <f t="shared" si="769"/>
        <v>20221JPY</v>
      </c>
      <c r="AR2614" s="206" t="str">
        <f t="shared" si="770"/>
        <v>YAMAHA_Mounter</v>
      </c>
      <c r="AS2614" s="22">
        <f t="shared" si="771"/>
        <v>8</v>
      </c>
      <c r="AT2614" s="24" t="str">
        <f t="shared" si="772"/>
        <v>&gt; 6 months</v>
      </c>
      <c r="AU2614" s="22" t="s">
        <v>3744</v>
      </c>
    </row>
    <row r="2615" spans="1:47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775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774"/>
        <v>600000</v>
      </c>
      <c r="AA2615" s="13">
        <v>1.0900000000000001</v>
      </c>
      <c r="AB2615" s="21">
        <f t="shared" si="777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0"/>
        <v>17329060.066371687</v>
      </c>
      <c r="AJ2615" s="19">
        <f t="shared" si="761"/>
        <v>2472600.2142256643</v>
      </c>
      <c r="AK2615" s="20">
        <f t="shared" si="767"/>
        <v>0.14268518919984163</v>
      </c>
      <c r="AL2615" s="17"/>
      <c r="AM2615" s="17"/>
      <c r="AN2615" s="17"/>
      <c r="AO2615" s="17"/>
      <c r="AP2615" s="28" t="str">
        <f t="shared" si="768"/>
        <v>202212</v>
      </c>
      <c r="AQ2615" s="28" t="str">
        <f t="shared" si="769"/>
        <v>202212RMB</v>
      </c>
      <c r="AR2615" s="206" t="str">
        <f t="shared" si="770"/>
        <v>YAMAHA_Mounter</v>
      </c>
      <c r="AS2615" s="22">
        <f t="shared" si="771"/>
        <v>1</v>
      </c>
      <c r="AT2615" s="24" t="str">
        <f t="shared" si="772"/>
        <v>0-3 months</v>
      </c>
      <c r="AU2615" s="22" t="s">
        <v>3750</v>
      </c>
    </row>
    <row r="2616" spans="1:47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775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774"/>
        <v>660000</v>
      </c>
      <c r="AA2616" s="22">
        <v>1.095</v>
      </c>
      <c r="AB2616" s="21">
        <f t="shared" si="777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0"/>
        <v>10271727.486725664</v>
      </c>
      <c r="AJ2616" s="27">
        <f t="shared" si="761"/>
        <v>1227228.7260761063</v>
      </c>
      <c r="AK2616" s="28">
        <f t="shared" si="767"/>
        <v>0.11947637120066472</v>
      </c>
      <c r="AL2616" s="24"/>
      <c r="AM2616" s="24"/>
      <c r="AN2616" s="24"/>
      <c r="AO2616" s="24"/>
      <c r="AP2616" s="28" t="str">
        <f t="shared" si="768"/>
        <v>202312</v>
      </c>
      <c r="AQ2616" s="28" t="str">
        <f t="shared" si="769"/>
        <v>202312RMB</v>
      </c>
      <c r="AR2616" s="206" t="str">
        <f t="shared" si="770"/>
        <v>YAMAHA_Mounter</v>
      </c>
      <c r="AS2616" s="22">
        <f t="shared" si="771"/>
        <v>0</v>
      </c>
      <c r="AT2616" s="24" t="str">
        <f t="shared" si="772"/>
        <v>0-3 months</v>
      </c>
      <c r="AU2616" s="22" t="s">
        <v>3750</v>
      </c>
    </row>
    <row r="2617" spans="1:47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775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774"/>
        <v>39697</v>
      </c>
      <c r="AA2617" s="22">
        <v>1.075</v>
      </c>
      <c r="AB2617" s="197">
        <f t="shared" si="777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0"/>
        <v>25458266.694690265</v>
      </c>
      <c r="AJ2617" s="200">
        <f t="shared" si="761"/>
        <v>4116526.778578762</v>
      </c>
      <c r="AK2617" s="201">
        <f t="shared" si="767"/>
        <v>0.16169705612508689</v>
      </c>
      <c r="AL2617" s="24"/>
      <c r="AM2617" s="24"/>
      <c r="AN2617" s="24"/>
      <c r="AO2617" s="24"/>
      <c r="AP2617" s="105" t="str">
        <f t="shared" si="768"/>
        <v>20247</v>
      </c>
      <c r="AQ2617" s="28" t="str">
        <f t="shared" si="769"/>
        <v>20247RMB</v>
      </c>
      <c r="AR2617" s="206" t="str">
        <f t="shared" si="770"/>
        <v>SOLDERSTAR</v>
      </c>
      <c r="AS2617" s="22">
        <f t="shared" si="771"/>
        <v>1</v>
      </c>
      <c r="AT2617" s="24" t="str">
        <f t="shared" si="772"/>
        <v>0-3 months</v>
      </c>
      <c r="AU2617" s="22" t="s">
        <v>3240</v>
      </c>
    </row>
    <row r="2618" spans="1:47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775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4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0"/>
        <v>25458266.694690265</v>
      </c>
      <c r="AJ2618" s="200">
        <f t="shared" si="761"/>
        <v>4116526.778578762</v>
      </c>
      <c r="AK2618" s="201">
        <f t="shared" si="767"/>
        <v>0.16169705612508689</v>
      </c>
      <c r="AL2618" s="24"/>
      <c r="AM2618" s="24"/>
      <c r="AN2618" s="24"/>
      <c r="AO2618" s="24"/>
      <c r="AP2618" s="105" t="str">
        <f t="shared" si="768"/>
        <v>20247</v>
      </c>
      <c r="AQ2618" s="28" t="str">
        <f t="shared" si="769"/>
        <v/>
      </c>
      <c r="AR2618" s="206" t="str">
        <f t="shared" si="770"/>
        <v>C66 SERVICE</v>
      </c>
      <c r="AS2618" s="22" t="str">
        <f t="shared" si="771"/>
        <v/>
      </c>
      <c r="AT2618" s="24" t="str">
        <f t="shared" si="772"/>
        <v/>
      </c>
      <c r="AU2618" s="22">
        <v>0</v>
      </c>
    </row>
    <row r="2619" spans="1:47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764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775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774"/>
        <v>8900000</v>
      </c>
      <c r="AA2619" s="13">
        <v>5.0599999999999999E-2</v>
      </c>
      <c r="AB2619" s="21">
        <f t="shared" ref="AB2619:AB2647" si="778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0"/>
        <v>4327756</v>
      </c>
      <c r="AJ2619" s="19">
        <f t="shared" si="761"/>
        <v>519330.72</v>
      </c>
      <c r="AK2619" s="20">
        <f t="shared" si="767"/>
        <v>0.12</v>
      </c>
      <c r="AL2619" s="17"/>
      <c r="AM2619" s="17"/>
      <c r="AN2619" s="17"/>
      <c r="AO2619" s="17"/>
      <c r="AP2619" s="28" t="str">
        <f t="shared" si="768"/>
        <v>CancelCancel</v>
      </c>
      <c r="AQ2619" s="28" t="str">
        <f t="shared" si="769"/>
        <v>CancelCancelJPY</v>
      </c>
      <c r="AR2619" s="206" t="str">
        <f t="shared" si="770"/>
        <v>YAMAHA_Mounter</v>
      </c>
      <c r="AS2619" s="22" t="str">
        <f t="shared" si="771"/>
        <v/>
      </c>
      <c r="AT2619" s="24" t="str">
        <f t="shared" si="772"/>
        <v/>
      </c>
      <c r="AU2619" s="22" t="s">
        <v>3744</v>
      </c>
    </row>
    <row r="2620" spans="1:47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775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774"/>
        <v>25000000</v>
      </c>
      <c r="AA2620" s="13">
        <v>6.25E-2</v>
      </c>
      <c r="AB2620" s="21">
        <f t="shared" si="778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0"/>
        <v>35682787.057522126</v>
      </c>
      <c r="AJ2620" s="19">
        <f t="shared" si="761"/>
        <v>5833368.3789623892</v>
      </c>
      <c r="AK2620" s="20">
        <f t="shared" si="767"/>
        <v>0.16347849649632912</v>
      </c>
      <c r="AL2620" s="17"/>
      <c r="AM2620" s="17"/>
      <c r="AN2620" s="17"/>
      <c r="AO2620" s="17"/>
      <c r="AP2620" s="28" t="str">
        <f t="shared" si="768"/>
        <v>20226</v>
      </c>
      <c r="AQ2620" s="28" t="str">
        <f t="shared" si="769"/>
        <v>20226JPY</v>
      </c>
      <c r="AR2620" s="206" t="str">
        <f t="shared" si="770"/>
        <v>YAMAHA_Mounter</v>
      </c>
      <c r="AS2620" s="22">
        <f t="shared" si="771"/>
        <v>3</v>
      </c>
      <c r="AT2620" s="24" t="str">
        <f t="shared" si="772"/>
        <v>0-3 months</v>
      </c>
      <c r="AU2620" s="22" t="s">
        <v>3240</v>
      </c>
    </row>
    <row r="2621" spans="1:47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775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774"/>
        <v>6700000</v>
      </c>
      <c r="AA2621" s="13">
        <v>6.25E-2</v>
      </c>
      <c r="AB2621" s="21">
        <f t="shared" si="778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0"/>
        <v>35682787.057522126</v>
      </c>
      <c r="AJ2621" s="19">
        <f t="shared" si="761"/>
        <v>5833368.3789623892</v>
      </c>
      <c r="AK2621" s="20">
        <f t="shared" si="767"/>
        <v>0.16347849649632912</v>
      </c>
      <c r="AL2621" s="17"/>
      <c r="AM2621" s="17"/>
      <c r="AN2621" s="17"/>
      <c r="AO2621" s="17"/>
      <c r="AP2621" s="28" t="str">
        <f t="shared" si="768"/>
        <v>20226</v>
      </c>
      <c r="AQ2621" s="28" t="str">
        <f t="shared" si="769"/>
        <v>20226JPY</v>
      </c>
      <c r="AR2621" s="206" t="str">
        <f t="shared" si="770"/>
        <v>YAMAHA_Non_Mounter</v>
      </c>
      <c r="AS2621" s="22">
        <f t="shared" si="771"/>
        <v>3</v>
      </c>
      <c r="AT2621" s="24" t="str">
        <f t="shared" si="772"/>
        <v>0-3 months</v>
      </c>
      <c r="AU2621" s="22" t="s">
        <v>3240</v>
      </c>
    </row>
    <row r="2622" spans="1:47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775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774"/>
        <v>12800000</v>
      </c>
      <c r="AA2622" s="13">
        <v>6.25E-2</v>
      </c>
      <c r="AB2622" s="21">
        <f t="shared" si="778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0"/>
        <v>35682787.057522126</v>
      </c>
      <c r="AJ2622" s="19">
        <f t="shared" si="761"/>
        <v>5833368.3789623892</v>
      </c>
      <c r="AK2622" s="20">
        <f t="shared" si="767"/>
        <v>0.16347849649632912</v>
      </c>
      <c r="AL2622" s="17"/>
      <c r="AM2622" s="17"/>
      <c r="AN2622" s="17"/>
      <c r="AO2622" s="17"/>
      <c r="AP2622" s="28" t="str">
        <f t="shared" si="768"/>
        <v>20226</v>
      </c>
      <c r="AQ2622" s="28" t="str">
        <f t="shared" si="769"/>
        <v>20226JPY</v>
      </c>
      <c r="AR2622" s="206" t="str">
        <f t="shared" si="770"/>
        <v>YAMAHA_Non_Mounter</v>
      </c>
      <c r="AS2622" s="22">
        <f t="shared" si="771"/>
        <v>3</v>
      </c>
      <c r="AT2622" s="24" t="str">
        <f t="shared" si="772"/>
        <v>0-3 months</v>
      </c>
      <c r="AU2622" s="22" t="s">
        <v>3240</v>
      </c>
    </row>
    <row r="2623" spans="1:47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775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774"/>
        <v>57000</v>
      </c>
      <c r="AA2623" s="13">
        <v>7.8</v>
      </c>
      <c r="AB2623" s="21">
        <f t="shared" si="778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0"/>
        <v>35682787.057522126</v>
      </c>
      <c r="AJ2623" s="19">
        <f t="shared" si="761"/>
        <v>5833368.3789623892</v>
      </c>
      <c r="AK2623" s="20">
        <f t="shared" si="767"/>
        <v>0.16347849649632912</v>
      </c>
      <c r="AL2623" s="17"/>
      <c r="AM2623" s="17"/>
      <c r="AN2623" s="17"/>
      <c r="AO2623" s="17"/>
      <c r="AP2623" s="28" t="str">
        <f t="shared" si="768"/>
        <v>20226</v>
      </c>
      <c r="AQ2623" s="28" t="str">
        <f t="shared" si="769"/>
        <v>20226USD</v>
      </c>
      <c r="AR2623" s="206" t="str">
        <f t="shared" si="770"/>
        <v>HELLER</v>
      </c>
      <c r="AS2623" s="22">
        <f t="shared" si="771"/>
        <v>3</v>
      </c>
      <c r="AT2623" s="24" t="str">
        <f t="shared" si="772"/>
        <v>0-3 months</v>
      </c>
      <c r="AU2623" s="22" t="s">
        <v>3240</v>
      </c>
    </row>
    <row r="2624" spans="1:47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775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774"/>
        <v>11820000</v>
      </c>
      <c r="AA2624" s="13">
        <v>7.2099999999999997E-2</v>
      </c>
      <c r="AB2624" s="21">
        <f t="shared" si="778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0"/>
        <v>26754147.763010349</v>
      </c>
      <c r="AJ2624" s="19">
        <f t="shared" si="761"/>
        <v>3429137.9965357962</v>
      </c>
      <c r="AK2624" s="20">
        <f t="shared" si="767"/>
        <v>0.12817220069617921</v>
      </c>
      <c r="AL2624" s="17"/>
      <c r="AM2624" s="17"/>
      <c r="AN2624" s="17"/>
      <c r="AO2624" s="17"/>
      <c r="AP2624" s="28" t="str">
        <f t="shared" si="768"/>
        <v>20188</v>
      </c>
      <c r="AQ2624" s="28" t="str">
        <f t="shared" si="769"/>
        <v>20188JPY</v>
      </c>
      <c r="AR2624" s="206" t="str">
        <f t="shared" si="770"/>
        <v>YAMAHA_Mounter</v>
      </c>
      <c r="AS2624" s="22">
        <f t="shared" si="771"/>
        <v>8</v>
      </c>
      <c r="AT2624" s="24" t="str">
        <f t="shared" si="772"/>
        <v>&gt; 6 months</v>
      </c>
      <c r="AU2624" s="22" t="s">
        <v>3745</v>
      </c>
    </row>
    <row r="2625" spans="1:47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775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774"/>
        <v>11000000</v>
      </c>
      <c r="AA2625" s="13">
        <v>7.0199999999999999E-2</v>
      </c>
      <c r="AB2625" s="21">
        <f t="shared" si="778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0"/>
        <v>10786543.370020689</v>
      </c>
      <c r="AJ2625" s="19">
        <f t="shared" si="761"/>
        <v>1330367.5841569281</v>
      </c>
      <c r="AK2625" s="20">
        <f t="shared" si="767"/>
        <v>0.123335858255987</v>
      </c>
      <c r="AL2625" s="17"/>
      <c r="AM2625" s="17"/>
      <c r="AN2625" s="17"/>
      <c r="AO2625" s="17"/>
      <c r="AP2625" s="28" t="str">
        <f t="shared" si="768"/>
        <v>201810</v>
      </c>
      <c r="AQ2625" s="28" t="str">
        <f t="shared" si="769"/>
        <v>201810JPY</v>
      </c>
      <c r="AR2625" s="206" t="str">
        <f t="shared" si="770"/>
        <v>YAMAHA_Mounter</v>
      </c>
      <c r="AS2625" s="22">
        <f t="shared" si="771"/>
        <v>2</v>
      </c>
      <c r="AT2625" s="24" t="str">
        <f t="shared" si="772"/>
        <v>0-3 months</v>
      </c>
      <c r="AU2625" s="22" t="s">
        <v>3745</v>
      </c>
    </row>
    <row r="2626" spans="1:47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775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774"/>
        <v>500000</v>
      </c>
      <c r="AA2626" s="13">
        <v>1.155</v>
      </c>
      <c r="AB2626" s="21">
        <f t="shared" si="778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ref="AI2626:AI2689" si="779">IF(P2626="C66 SERVICE","",SUMIFS(AB:AB,F:F,F2626,G:G,G2626,E:E,E2626))</f>
        <v>44078731.611185849</v>
      </c>
      <c r="AJ2626" s="19">
        <f t="shared" ref="AJ2626:AJ2689" si="780">IF(P2626="C66 SERVICE","",SUMIFS(AC:AC,F:F,F2626,G:G,G2626,E:E,E2626))</f>
        <v>5508173.2163771465</v>
      </c>
      <c r="AK2626" s="20">
        <f t="shared" si="767"/>
        <v>0.12496215328889679</v>
      </c>
      <c r="AL2626" s="17"/>
      <c r="AM2626" s="17"/>
      <c r="AN2626" s="17"/>
      <c r="AO2626" s="17"/>
      <c r="AP2626" s="28" t="str">
        <f t="shared" si="768"/>
        <v>202011</v>
      </c>
      <c r="AQ2626" s="28" t="str">
        <f t="shared" si="769"/>
        <v>202011RMB</v>
      </c>
      <c r="AR2626" s="206" t="str">
        <f t="shared" si="770"/>
        <v>YAMAHA_Mounter</v>
      </c>
      <c r="AS2626" s="22">
        <f t="shared" si="771"/>
        <v>3</v>
      </c>
      <c r="AT2626" s="24" t="str">
        <f t="shared" si="772"/>
        <v>0-3 months</v>
      </c>
      <c r="AU2626" s="22" t="s">
        <v>3743</v>
      </c>
    </row>
    <row r="2627" spans="1:47" s="12" customFormat="1">
      <c r="A2627" s="33" t="str">
        <f t="shared" si="762"/>
        <v>cancel</v>
      </c>
      <c r="B2627" s="152"/>
      <c r="C2627" s="152" t="s">
        <v>185</v>
      </c>
      <c r="D2627" s="33" t="str">
        <f t="shared" si="763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764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775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774"/>
        <v>11000000</v>
      </c>
      <c r="AA2627" s="13">
        <v>7.0199999999999999E-2</v>
      </c>
      <c r="AB2627" s="21">
        <f t="shared" si="778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79"/>
        <v>499582152.5142017</v>
      </c>
      <c r="AJ2627" s="19">
        <f t="shared" si="780"/>
        <v>59520528.679470733</v>
      </c>
      <c r="AK2627" s="20">
        <f t="shared" si="767"/>
        <v>0.11914062257814291</v>
      </c>
      <c r="AL2627" s="17"/>
      <c r="AM2627" s="17"/>
      <c r="AN2627" s="17"/>
      <c r="AO2627" s="17"/>
      <c r="AP2627" s="28" t="str">
        <f t="shared" si="768"/>
        <v>CancelCancel</v>
      </c>
      <c r="AQ2627" s="28" t="str">
        <f t="shared" si="769"/>
        <v>CancelCancelJPY</v>
      </c>
      <c r="AR2627" s="206" t="str">
        <f t="shared" si="770"/>
        <v>YAMAHA_Mounter</v>
      </c>
      <c r="AS2627" s="22" t="str">
        <f t="shared" si="771"/>
        <v/>
      </c>
      <c r="AT2627" s="24" t="str">
        <f t="shared" si="772"/>
        <v/>
      </c>
      <c r="AU2627" s="22" t="s">
        <v>3745</v>
      </c>
    </row>
    <row r="2628" spans="1:47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775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774"/>
        <v>10100000</v>
      </c>
      <c r="AA2628" s="13">
        <v>7.0000000000000007E-2</v>
      </c>
      <c r="AB2628" s="21">
        <f t="shared" si="778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79"/>
        <v>29500529.005044252</v>
      </c>
      <c r="AJ2628" s="19">
        <f t="shared" si="780"/>
        <v>3253064.846231177</v>
      </c>
      <c r="AK2628" s="20">
        <f t="shared" si="767"/>
        <v>0.11027140718984871</v>
      </c>
      <c r="AL2628" s="17"/>
      <c r="AM2628" s="17"/>
      <c r="AN2628" s="17"/>
      <c r="AO2628" s="17"/>
      <c r="AP2628" s="28" t="str">
        <f t="shared" si="768"/>
        <v>202111</v>
      </c>
      <c r="AQ2628" s="28" t="str">
        <f t="shared" si="769"/>
        <v>202111JPY</v>
      </c>
      <c r="AR2628" s="206" t="str">
        <f t="shared" si="770"/>
        <v>YAMAHA_Mounter</v>
      </c>
      <c r="AS2628" s="22">
        <f t="shared" si="771"/>
        <v>8</v>
      </c>
      <c r="AT2628" s="24" t="str">
        <f t="shared" si="772"/>
        <v>&gt; 6 months</v>
      </c>
      <c r="AU2628" s="22" t="s">
        <v>3744</v>
      </c>
    </row>
    <row r="2629" spans="1:47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775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774"/>
        <v>420000</v>
      </c>
      <c r="AA2629" s="13">
        <v>1.0920000000000001</v>
      </c>
      <c r="AB2629" s="21">
        <f t="shared" si="778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79"/>
        <v>22953677.784070797</v>
      </c>
      <c r="AJ2629" s="19">
        <f t="shared" si="780"/>
        <v>4168706.6744155753</v>
      </c>
      <c r="AK2629" s="20">
        <f t="shared" si="767"/>
        <v>0.18161388835511752</v>
      </c>
      <c r="AL2629" s="17"/>
      <c r="AM2629" s="17"/>
      <c r="AN2629" s="17"/>
      <c r="AO2629" s="17"/>
      <c r="AP2629" s="28" t="str">
        <f t="shared" si="768"/>
        <v>20238</v>
      </c>
      <c r="AQ2629" s="28" t="str">
        <f t="shared" si="769"/>
        <v>20238RMB</v>
      </c>
      <c r="AR2629" s="206" t="str">
        <f t="shared" si="770"/>
        <v>YAMAHA_Mounter</v>
      </c>
      <c r="AS2629" s="22">
        <f t="shared" si="771"/>
        <v>1</v>
      </c>
      <c r="AT2629" s="24" t="str">
        <f t="shared" si="772"/>
        <v>0-3 months</v>
      </c>
      <c r="AU2629" s="22" t="s">
        <v>3750</v>
      </c>
    </row>
    <row r="2630" spans="1:47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775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774"/>
        <v>785000</v>
      </c>
      <c r="AA2630" s="13">
        <v>1.095</v>
      </c>
      <c r="AB2630" s="21">
        <f t="shared" si="778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si="779"/>
        <v>37599388.802345134</v>
      </c>
      <c r="AJ2630" s="19">
        <f t="shared" si="780"/>
        <v>4866784.3630338367</v>
      </c>
      <c r="AK2630" s="20">
        <f t="shared" ref="AK2630:AK2693" si="786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7">IF(F2630="","",F2630&amp;G2630)</f>
        <v>20199</v>
      </c>
      <c r="AQ2630" s="28" t="str">
        <f t="shared" ref="AQ2630:AQ2693" si="788">IF(W2630="","",F2630&amp;G2630&amp;W2630)</f>
        <v>20199RMB</v>
      </c>
      <c r="AR2630" s="206" t="str">
        <f t="shared" ref="AR2630:AR2693" si="789">IFERROR(IF(AND(M2630="YAMAHA", R2630="C28"), "YAMAHA_Non_Mounter", IF(AND(M2630="YAMAHA", R2630="C49"), "YAMAHA_Mounter", M2630)),"")</f>
        <v>YAMAHA_Mounter</v>
      </c>
      <c r="AS2630" s="22">
        <f t="shared" ref="AS2630:AS2693" si="790">IFERROR(IF(OR(G2630="TBA", G2630=""), "", DATEDIF(DATE(B2630, C2630, 1), DATE(F2630, G2630, 1), "M")),"")</f>
        <v>1</v>
      </c>
      <c r="AT2630" s="24" t="str">
        <f t="shared" ref="AT2630:AT2693" si="791">IF(ISNUMBER(AS2630), IF(AS2630&gt;=0, IF(AS2630&lt;=3, "0-3 months", IF(AS2630&lt;=6, "4-6 months", "&gt; 6 months"))), "")</f>
        <v>0-3 months</v>
      </c>
      <c r="AU2630" s="22" t="s">
        <v>3743</v>
      </c>
    </row>
    <row r="2631" spans="1:47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775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774"/>
        <v>590000</v>
      </c>
      <c r="AA2631" s="13">
        <v>1.095</v>
      </c>
      <c r="AB2631" s="21">
        <f t="shared" si="778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79"/>
        <v>35384300.169380538</v>
      </c>
      <c r="AJ2631" s="19">
        <f t="shared" si="780"/>
        <v>5044538.8896988509</v>
      </c>
      <c r="AK2631" s="20">
        <f t="shared" si="786"/>
        <v>0.14256432557804533</v>
      </c>
      <c r="AL2631" s="17"/>
      <c r="AM2631" s="17"/>
      <c r="AN2631" s="17"/>
      <c r="AO2631" s="17"/>
      <c r="AP2631" s="28" t="str">
        <f t="shared" si="787"/>
        <v>20207</v>
      </c>
      <c r="AQ2631" s="28" t="str">
        <f t="shared" si="788"/>
        <v>20207RMB</v>
      </c>
      <c r="AR2631" s="206" t="str">
        <f t="shared" si="789"/>
        <v>YAMAHA_Mounter</v>
      </c>
      <c r="AS2631" s="22">
        <f t="shared" si="790"/>
        <v>1</v>
      </c>
      <c r="AT2631" s="24" t="str">
        <f t="shared" si="791"/>
        <v>0-3 months</v>
      </c>
      <c r="AU2631" s="22" t="s">
        <v>3743</v>
      </c>
    </row>
    <row r="2632" spans="1:47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775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774"/>
        <v>530000</v>
      </c>
      <c r="AA2632" s="13">
        <v>1.095</v>
      </c>
      <c r="AB2632" s="21">
        <f t="shared" si="778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79"/>
        <v>33477255.428389374</v>
      </c>
      <c r="AJ2632" s="19">
        <f t="shared" si="780"/>
        <v>4578663.362915583</v>
      </c>
      <c r="AK2632" s="20">
        <f t="shared" si="786"/>
        <v>0.13676937682988152</v>
      </c>
      <c r="AL2632" s="17"/>
      <c r="AM2632" s="17"/>
      <c r="AN2632" s="17"/>
      <c r="AO2632" s="17"/>
      <c r="AP2632" s="28" t="str">
        <f t="shared" si="787"/>
        <v>20204</v>
      </c>
      <c r="AQ2632" s="28" t="str">
        <f t="shared" si="788"/>
        <v>20204RMB</v>
      </c>
      <c r="AR2632" s="206" t="str">
        <f t="shared" si="789"/>
        <v>YAMAHA_Mounter</v>
      </c>
      <c r="AS2632" s="22">
        <f t="shared" si="790"/>
        <v>0</v>
      </c>
      <c r="AT2632" s="24" t="str">
        <f t="shared" si="791"/>
        <v>0-3 months</v>
      </c>
      <c r="AU2632" s="22" t="s">
        <v>3743</v>
      </c>
    </row>
    <row r="2633" spans="1:47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775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774"/>
        <v>500000</v>
      </c>
      <c r="AA2633" s="13">
        <v>1.18</v>
      </c>
      <c r="AB2633" s="21">
        <f t="shared" si="778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79"/>
        <v>43684091.636631854</v>
      </c>
      <c r="AJ2633" s="19">
        <f t="shared" si="780"/>
        <v>6483951.8242071122</v>
      </c>
      <c r="AK2633" s="20">
        <f t="shared" si="786"/>
        <v>0.14842821680123736</v>
      </c>
      <c r="AL2633" s="17"/>
      <c r="AM2633" s="17"/>
      <c r="AN2633" s="17"/>
      <c r="AO2633" s="17"/>
      <c r="AP2633" s="28" t="str">
        <f t="shared" si="787"/>
        <v>20214</v>
      </c>
      <c r="AQ2633" s="28" t="str">
        <f t="shared" si="788"/>
        <v>20214RMB</v>
      </c>
      <c r="AR2633" s="206" t="str">
        <f t="shared" si="789"/>
        <v>YAMAHA_Mounter</v>
      </c>
      <c r="AS2633" s="22">
        <f t="shared" si="790"/>
        <v>2</v>
      </c>
      <c r="AT2633" s="24" t="str">
        <f t="shared" si="791"/>
        <v>0-3 months</v>
      </c>
      <c r="AU2633" s="22" t="s">
        <v>3743</v>
      </c>
    </row>
    <row r="2634" spans="1:47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775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92">IF(X2634="","",X2634*MAX(O2634,N2634))</f>
        <v>475000</v>
      </c>
      <c r="AA2634" s="13">
        <v>1.163</v>
      </c>
      <c r="AB2634" s="21">
        <f t="shared" si="778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79"/>
        <v>35073581.838938057</v>
      </c>
      <c r="AJ2634" s="19">
        <f t="shared" si="780"/>
        <v>5034113.9728989396</v>
      </c>
      <c r="AK2634" s="20">
        <f t="shared" si="786"/>
        <v>0.14353007902118958</v>
      </c>
      <c r="AL2634" s="17"/>
      <c r="AM2634" s="17"/>
      <c r="AN2634" s="17"/>
      <c r="AO2634" s="17"/>
      <c r="AP2634" s="28" t="str">
        <f t="shared" si="787"/>
        <v>20228</v>
      </c>
      <c r="AQ2634" s="28" t="str">
        <f t="shared" si="788"/>
        <v>20228RMB</v>
      </c>
      <c r="AR2634" s="206" t="str">
        <f t="shared" si="789"/>
        <v>YAMAHA_Mounter</v>
      </c>
      <c r="AS2634" s="22">
        <f t="shared" si="790"/>
        <v>1</v>
      </c>
      <c r="AT2634" s="24" t="str">
        <f t="shared" si="791"/>
        <v>0-3 months</v>
      </c>
      <c r="AU2634" s="22" t="s">
        <v>3240</v>
      </c>
    </row>
    <row r="2635" spans="1:47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775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92"/>
        <v>475000</v>
      </c>
      <c r="AA2635" s="13">
        <v>1.135</v>
      </c>
      <c r="AB2635" s="21">
        <f t="shared" si="778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79"/>
        <v>15948576.102654871</v>
      </c>
      <c r="AJ2635" s="19">
        <f t="shared" si="780"/>
        <v>2739848.7004853105</v>
      </c>
      <c r="AK2635" s="20">
        <f t="shared" si="786"/>
        <v>0.17179268436567344</v>
      </c>
      <c r="AL2635" s="17"/>
      <c r="AM2635" s="17"/>
      <c r="AN2635" s="17"/>
      <c r="AO2635" s="17"/>
      <c r="AP2635" s="28" t="str">
        <f t="shared" si="787"/>
        <v>20229</v>
      </c>
      <c r="AQ2635" s="28" t="str">
        <f t="shared" si="788"/>
        <v>20229RMB</v>
      </c>
      <c r="AR2635" s="206" t="str">
        <f t="shared" si="789"/>
        <v>YAMAHA_Mounter</v>
      </c>
      <c r="AS2635" s="22">
        <f t="shared" si="790"/>
        <v>2</v>
      </c>
      <c r="AT2635" s="24" t="str">
        <f t="shared" si="791"/>
        <v>0-3 months</v>
      </c>
      <c r="AU2635" s="22" t="s">
        <v>3240</v>
      </c>
    </row>
    <row r="2636" spans="1:47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775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92"/>
        <v>18000000</v>
      </c>
      <c r="AA2636" s="13">
        <v>5.5399999999999998E-2</v>
      </c>
      <c r="AB2636" s="21">
        <f t="shared" si="778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79"/>
        <v>22717528.991150443</v>
      </c>
      <c r="AJ2636" s="19">
        <f t="shared" si="780"/>
        <v>3947747.192555753</v>
      </c>
      <c r="AK2636" s="20">
        <f t="shared" si="786"/>
        <v>0.1737753782153679</v>
      </c>
      <c r="AL2636" s="17"/>
      <c r="AM2636" s="17"/>
      <c r="AN2636" s="17"/>
      <c r="AO2636" s="17"/>
      <c r="AP2636" s="28" t="str">
        <f t="shared" si="787"/>
        <v>202210</v>
      </c>
      <c r="AQ2636" s="28" t="str">
        <f t="shared" si="788"/>
        <v>202210JPY</v>
      </c>
      <c r="AR2636" s="206" t="str">
        <f t="shared" si="789"/>
        <v>YAMAHA_Mounter</v>
      </c>
      <c r="AS2636" s="22">
        <f t="shared" si="790"/>
        <v>0</v>
      </c>
      <c r="AT2636" s="24" t="str">
        <f t="shared" si="791"/>
        <v>0-3 months</v>
      </c>
      <c r="AU2636" s="22" t="s">
        <v>3744</v>
      </c>
    </row>
    <row r="2637" spans="1:47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775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92"/>
        <v>11500000</v>
      </c>
      <c r="AA2637" s="13">
        <v>5.5399999999999998E-2</v>
      </c>
      <c r="AB2637" s="21">
        <f t="shared" si="778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79"/>
        <v>22717528.991150443</v>
      </c>
      <c r="AJ2637" s="19">
        <f t="shared" si="780"/>
        <v>3947747.192555753</v>
      </c>
      <c r="AK2637" s="20">
        <f t="shared" si="786"/>
        <v>0.1737753782153679</v>
      </c>
      <c r="AL2637" s="17"/>
      <c r="AM2637" s="17"/>
      <c r="AN2637" s="17"/>
      <c r="AO2637" s="17"/>
      <c r="AP2637" s="28" t="str">
        <f t="shared" si="787"/>
        <v>202210</v>
      </c>
      <c r="AQ2637" s="28" t="str">
        <f t="shared" si="788"/>
        <v>202210JPY</v>
      </c>
      <c r="AR2637" s="206" t="str">
        <f t="shared" si="789"/>
        <v>YAMAHA_Mounter</v>
      </c>
      <c r="AS2637" s="22">
        <f t="shared" si="790"/>
        <v>0</v>
      </c>
      <c r="AT2637" s="24" t="str">
        <f t="shared" si="791"/>
        <v>0-3 months</v>
      </c>
      <c r="AU2637" s="22" t="s">
        <v>3744</v>
      </c>
    </row>
    <row r="2638" spans="1:47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775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92"/>
        <v>1600000</v>
      </c>
      <c r="AA2638" s="13">
        <v>1.135</v>
      </c>
      <c r="AB2638" s="21">
        <f t="shared" si="778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79"/>
        <v>28011162.254106201</v>
      </c>
      <c r="AJ2638" s="19">
        <f t="shared" si="780"/>
        <v>3401347.1124888416</v>
      </c>
      <c r="AK2638" s="20">
        <f t="shared" si="786"/>
        <v>0.12142827497242578</v>
      </c>
      <c r="AL2638" s="17"/>
      <c r="AM2638" s="17"/>
      <c r="AN2638" s="17"/>
      <c r="AO2638" s="17"/>
      <c r="AP2638" s="28" t="str">
        <f t="shared" si="787"/>
        <v>202010</v>
      </c>
      <c r="AQ2638" s="28" t="str">
        <f t="shared" si="788"/>
        <v>202010RMB</v>
      </c>
      <c r="AR2638" s="206" t="str">
        <f t="shared" si="789"/>
        <v>YAMAHA_Mounter</v>
      </c>
      <c r="AS2638" s="22">
        <f t="shared" si="790"/>
        <v>3</v>
      </c>
      <c r="AT2638" s="24" t="str">
        <f t="shared" si="791"/>
        <v>0-3 months</v>
      </c>
      <c r="AU2638" s="22" t="s">
        <v>3750</v>
      </c>
    </row>
    <row r="2639" spans="1:47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775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93">IF(W2639="RMB","1.13", "1")</f>
        <v>1</v>
      </c>
      <c r="Z2639" s="18">
        <f t="shared" si="792"/>
        <v>14500000</v>
      </c>
      <c r="AA2639" s="13">
        <v>6.9199999999999998E-2</v>
      </c>
      <c r="AB2639" s="21">
        <f t="shared" si="778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79"/>
        <v>31750699.113741599</v>
      </c>
      <c r="AJ2639" s="19">
        <f t="shared" si="780"/>
        <v>4396077.3195289988</v>
      </c>
      <c r="AK2639" s="20">
        <f t="shared" si="786"/>
        <v>0.13845607946397598</v>
      </c>
      <c r="AL2639" s="17"/>
      <c r="AM2639" s="17"/>
      <c r="AN2639" s="17"/>
      <c r="AO2639" s="17"/>
      <c r="AP2639" s="28" t="str">
        <f t="shared" si="787"/>
        <v>20222</v>
      </c>
      <c r="AQ2639" s="28" t="str">
        <f t="shared" si="788"/>
        <v>20222JPY</v>
      </c>
      <c r="AR2639" s="206" t="str">
        <f t="shared" si="789"/>
        <v>YAMAHA_Mounter</v>
      </c>
      <c r="AS2639" s="22">
        <f t="shared" si="790"/>
        <v>3</v>
      </c>
      <c r="AT2639" s="24" t="str">
        <f t="shared" si="791"/>
        <v>0-3 months</v>
      </c>
      <c r="AU2639" s="22" t="s">
        <v>3744</v>
      </c>
    </row>
    <row r="2640" spans="1:47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775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93"/>
        <v>1</v>
      </c>
      <c r="Z2640" s="18">
        <f t="shared" si="792"/>
        <v>14500000</v>
      </c>
      <c r="AA2640" s="13">
        <v>6.9199999999999998E-2</v>
      </c>
      <c r="AB2640" s="21">
        <f t="shared" si="778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79"/>
        <v>31750699.113741599</v>
      </c>
      <c r="AJ2640" s="19">
        <f t="shared" si="780"/>
        <v>4396077.3195289988</v>
      </c>
      <c r="AK2640" s="20">
        <f t="shared" si="786"/>
        <v>0.13845607946397598</v>
      </c>
      <c r="AL2640" s="17"/>
      <c r="AM2640" s="17"/>
      <c r="AN2640" s="17"/>
      <c r="AO2640" s="17"/>
      <c r="AP2640" s="28" t="str">
        <f t="shared" si="787"/>
        <v>20222</v>
      </c>
      <c r="AQ2640" s="28" t="str">
        <f t="shared" si="788"/>
        <v>20222JPY</v>
      </c>
      <c r="AR2640" s="206" t="str">
        <f t="shared" si="789"/>
        <v>YAMAHA_Mounter</v>
      </c>
      <c r="AS2640" s="22">
        <f t="shared" si="790"/>
        <v>3</v>
      </c>
      <c r="AT2640" s="24" t="str">
        <f t="shared" si="791"/>
        <v>0-3 months</v>
      </c>
      <c r="AU2640" s="22" t="s">
        <v>3744</v>
      </c>
    </row>
    <row r="2641" spans="1:47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775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93"/>
        <v>1</v>
      </c>
      <c r="Z2641" s="18">
        <f t="shared" si="792"/>
        <v>10000000</v>
      </c>
      <c r="AA2641" s="13">
        <v>6.9199999999999998E-2</v>
      </c>
      <c r="AB2641" s="21">
        <f t="shared" si="778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79"/>
        <v>31750699.113741599</v>
      </c>
      <c r="AJ2641" s="19">
        <f t="shared" si="780"/>
        <v>4396077.3195289988</v>
      </c>
      <c r="AK2641" s="20">
        <f t="shared" si="786"/>
        <v>0.13845607946397598</v>
      </c>
      <c r="AL2641" s="17"/>
      <c r="AM2641" s="17"/>
      <c r="AN2641" s="17"/>
      <c r="AO2641" s="17"/>
      <c r="AP2641" s="28" t="str">
        <f t="shared" si="787"/>
        <v>20222</v>
      </c>
      <c r="AQ2641" s="28" t="str">
        <f t="shared" si="788"/>
        <v>20222JPY</v>
      </c>
      <c r="AR2641" s="206" t="str">
        <f t="shared" si="789"/>
        <v>YAMAHA_Mounter</v>
      </c>
      <c r="AS2641" s="22">
        <f t="shared" si="790"/>
        <v>3</v>
      </c>
      <c r="AT2641" s="24" t="str">
        <f t="shared" si="791"/>
        <v>0-3 months</v>
      </c>
      <c r="AU2641" s="22" t="s">
        <v>3744</v>
      </c>
    </row>
    <row r="2642" spans="1:47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783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775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93"/>
        <v>1</v>
      </c>
      <c r="Z2642" s="18">
        <f t="shared" si="792"/>
        <v>15000000</v>
      </c>
      <c r="AA2642" s="13">
        <v>5.3400000000000003E-2</v>
      </c>
      <c r="AB2642" s="21">
        <f t="shared" si="778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79"/>
        <v>499582152.5142017</v>
      </c>
      <c r="AJ2642" s="19">
        <f t="shared" si="780"/>
        <v>59520528.679470733</v>
      </c>
      <c r="AK2642" s="20">
        <f t="shared" si="786"/>
        <v>0.11914062257814291</v>
      </c>
      <c r="AL2642" s="17"/>
      <c r="AM2642" s="17"/>
      <c r="AN2642" s="17"/>
      <c r="AO2642" s="17"/>
      <c r="AP2642" s="28" t="str">
        <f t="shared" si="787"/>
        <v>CancelCancel</v>
      </c>
      <c r="AQ2642" s="28" t="str">
        <f t="shared" si="788"/>
        <v>CancelCancelJPY</v>
      </c>
      <c r="AR2642" s="206" t="str">
        <f t="shared" si="789"/>
        <v>YAMAHA_Mounter</v>
      </c>
      <c r="AS2642" s="22" t="str">
        <f t="shared" si="790"/>
        <v/>
      </c>
      <c r="AT2642" s="24" t="str">
        <f t="shared" si="791"/>
        <v/>
      </c>
      <c r="AU2642" s="22" t="s">
        <v>3744</v>
      </c>
    </row>
    <row r="2643" spans="1:47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783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775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93"/>
        <v>1</v>
      </c>
      <c r="Z2643" s="18">
        <f t="shared" si="792"/>
        <v>15000000</v>
      </c>
      <c r="AA2643" s="13">
        <v>5.3400000000000003E-2</v>
      </c>
      <c r="AB2643" s="21">
        <f t="shared" si="778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79"/>
        <v>499582152.5142017</v>
      </c>
      <c r="AJ2643" s="19">
        <f t="shared" si="780"/>
        <v>59520528.679470733</v>
      </c>
      <c r="AK2643" s="20">
        <f t="shared" si="786"/>
        <v>0.11914062257814291</v>
      </c>
      <c r="AL2643" s="17"/>
      <c r="AM2643" s="17"/>
      <c r="AN2643" s="17"/>
      <c r="AO2643" s="17"/>
      <c r="AP2643" s="28" t="str">
        <f t="shared" si="787"/>
        <v>CancelCancel</v>
      </c>
      <c r="AQ2643" s="28" t="str">
        <f t="shared" si="788"/>
        <v>CancelCancelJPY</v>
      </c>
      <c r="AR2643" s="206" t="str">
        <f t="shared" si="789"/>
        <v>YAMAHA_Mounter</v>
      </c>
      <c r="AS2643" s="22" t="str">
        <f t="shared" si="790"/>
        <v/>
      </c>
      <c r="AT2643" s="24" t="str">
        <f t="shared" si="791"/>
        <v/>
      </c>
      <c r="AU2643" s="22" t="s">
        <v>3744</v>
      </c>
    </row>
    <row r="2644" spans="1:47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775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93"/>
        <v>1</v>
      </c>
      <c r="Z2644" s="18">
        <f t="shared" si="792"/>
        <v>15000000</v>
      </c>
      <c r="AA2644" s="13">
        <v>5.3400000000000003E-2</v>
      </c>
      <c r="AB2644" s="21">
        <f t="shared" si="778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79"/>
        <v>11730565.00042478</v>
      </c>
      <c r="AJ2644" s="19">
        <f t="shared" si="780"/>
        <v>1439625.5685810833</v>
      </c>
      <c r="AK2644" s="20">
        <f t="shared" si="786"/>
        <v>0.12272431622253084</v>
      </c>
      <c r="AL2644" s="17"/>
      <c r="AM2644" s="17"/>
      <c r="AN2644" s="17"/>
      <c r="AO2644" s="17"/>
      <c r="AP2644" s="28" t="str">
        <f t="shared" si="787"/>
        <v>202311</v>
      </c>
      <c r="AQ2644" s="28" t="str">
        <f t="shared" si="788"/>
        <v>202311JPY</v>
      </c>
      <c r="AR2644" s="206" t="str">
        <f t="shared" si="789"/>
        <v>YAMAHA_Mounter</v>
      </c>
      <c r="AS2644" s="22">
        <f t="shared" si="790"/>
        <v>4</v>
      </c>
      <c r="AT2644" s="24" t="str">
        <f t="shared" si="791"/>
        <v>4-6 months</v>
      </c>
      <c r="AU2644" s="22" t="s">
        <v>3744</v>
      </c>
    </row>
    <row r="2645" spans="1:47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775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93"/>
        <v>1</v>
      </c>
      <c r="Z2645" s="18">
        <f t="shared" si="792"/>
        <v>15000000</v>
      </c>
      <c r="AA2645" s="13">
        <v>5.3400000000000003E-2</v>
      </c>
      <c r="AB2645" s="21">
        <f t="shared" si="778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79"/>
        <v>11730565.00042478</v>
      </c>
      <c r="AJ2645" s="19">
        <f t="shared" si="780"/>
        <v>1439625.5685810833</v>
      </c>
      <c r="AK2645" s="20">
        <f t="shared" si="786"/>
        <v>0.12272431622253084</v>
      </c>
      <c r="AL2645" s="17"/>
      <c r="AM2645" s="17"/>
      <c r="AN2645" s="17"/>
      <c r="AO2645" s="17"/>
      <c r="AP2645" s="28" t="str">
        <f t="shared" si="787"/>
        <v>202311</v>
      </c>
      <c r="AQ2645" s="28" t="str">
        <f t="shared" si="788"/>
        <v>202311JPY</v>
      </c>
      <c r="AR2645" s="206" t="str">
        <f t="shared" si="789"/>
        <v>YAMAHA_Mounter</v>
      </c>
      <c r="AS2645" s="22">
        <f t="shared" si="790"/>
        <v>4</v>
      </c>
      <c r="AT2645" s="24" t="str">
        <f t="shared" si="791"/>
        <v>4-6 months</v>
      </c>
      <c r="AU2645" s="22" t="s">
        <v>3744</v>
      </c>
    </row>
    <row r="2646" spans="1:47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783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94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93"/>
        <v>1</v>
      </c>
      <c r="Z2646" s="18">
        <f t="shared" si="792"/>
        <v>15000000</v>
      </c>
      <c r="AA2646" s="13">
        <v>5.4199999999999998E-2</v>
      </c>
      <c r="AB2646" s="21">
        <f t="shared" si="778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79"/>
        <v>499582152.5142017</v>
      </c>
      <c r="AJ2646" s="19">
        <f t="shared" si="780"/>
        <v>59520528.679470733</v>
      </c>
      <c r="AK2646" s="20">
        <f t="shared" si="786"/>
        <v>0.11914062257814291</v>
      </c>
      <c r="AL2646" s="17"/>
      <c r="AM2646" s="17"/>
      <c r="AN2646" s="17"/>
      <c r="AO2646" s="17"/>
      <c r="AP2646" s="28" t="str">
        <f t="shared" si="787"/>
        <v>CancelCancel</v>
      </c>
      <c r="AQ2646" s="28" t="str">
        <f t="shared" si="788"/>
        <v>CancelCancelJPY</v>
      </c>
      <c r="AR2646" s="206" t="str">
        <f t="shared" si="789"/>
        <v>YAMAHA_Mounter</v>
      </c>
      <c r="AS2646" s="22" t="str">
        <f t="shared" si="790"/>
        <v/>
      </c>
      <c r="AT2646" s="24" t="str">
        <f t="shared" si="791"/>
        <v/>
      </c>
      <c r="AU2646" s="22" t="s">
        <v>3744</v>
      </c>
    </row>
    <row r="2647" spans="1:47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783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94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93"/>
        <v>1</v>
      </c>
      <c r="Z2647" s="18">
        <f t="shared" si="792"/>
        <v>15000000</v>
      </c>
      <c r="AA2647" s="13">
        <v>5.4199999999999998E-2</v>
      </c>
      <c r="AB2647" s="21">
        <f t="shared" si="778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79"/>
        <v>499582152.5142017</v>
      </c>
      <c r="AJ2647" s="19">
        <f t="shared" si="780"/>
        <v>59520528.679470733</v>
      </c>
      <c r="AK2647" s="20">
        <f t="shared" si="786"/>
        <v>0.11914062257814291</v>
      </c>
      <c r="AL2647" s="17"/>
      <c r="AM2647" s="17"/>
      <c r="AN2647" s="17"/>
      <c r="AO2647" s="17"/>
      <c r="AP2647" s="28" t="str">
        <f t="shared" si="787"/>
        <v>CancelCancel</v>
      </c>
      <c r="AQ2647" s="28" t="str">
        <f t="shared" si="788"/>
        <v>CancelCancelJPY</v>
      </c>
      <c r="AR2647" s="206" t="str">
        <f t="shared" si="789"/>
        <v>YAMAHA_Mounter</v>
      </c>
      <c r="AS2647" s="22" t="str">
        <f t="shared" si="790"/>
        <v/>
      </c>
      <c r="AT2647" s="24" t="str">
        <f t="shared" si="791"/>
        <v/>
      </c>
      <c r="AU2647" s="22" t="s">
        <v>3744</v>
      </c>
    </row>
    <row r="2648" spans="1:47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94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2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79"/>
        <v>25458266.694690265</v>
      </c>
      <c r="AJ2648" s="200">
        <f t="shared" si="780"/>
        <v>4116526.778578762</v>
      </c>
      <c r="AK2648" s="201">
        <f t="shared" si="786"/>
        <v>0.16169705612508689</v>
      </c>
      <c r="AL2648" s="24"/>
      <c r="AM2648" s="24"/>
      <c r="AN2648" s="24"/>
      <c r="AO2648" s="24"/>
      <c r="AP2648" s="105" t="str">
        <f t="shared" si="787"/>
        <v>20247</v>
      </c>
      <c r="AQ2648" s="28" t="str">
        <f t="shared" si="788"/>
        <v/>
      </c>
      <c r="AR2648" s="206" t="str">
        <f t="shared" si="789"/>
        <v>C66 SERVICE</v>
      </c>
      <c r="AS2648" s="22" t="str">
        <f t="shared" si="790"/>
        <v/>
      </c>
      <c r="AT2648" s="24" t="str">
        <f t="shared" si="791"/>
        <v/>
      </c>
      <c r="AU2648" s="22">
        <v>0</v>
      </c>
    </row>
    <row r="2649" spans="1:47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94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92"/>
        <v>768000</v>
      </c>
      <c r="AA2649" s="13">
        <v>1.1950000000000001</v>
      </c>
      <c r="AB2649" s="21">
        <f t="shared" ref="AB2649:AB2677" si="795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79"/>
        <v>44014086.982070789</v>
      </c>
      <c r="AJ2649" s="19">
        <f t="shared" si="780"/>
        <v>6419974.0221889298</v>
      </c>
      <c r="AK2649" s="20">
        <f t="shared" si="786"/>
        <v>0.14586180158193709</v>
      </c>
      <c r="AL2649" s="17"/>
      <c r="AM2649" s="17"/>
      <c r="AN2649" s="17"/>
      <c r="AO2649" s="17"/>
      <c r="AP2649" s="28" t="str">
        <f t="shared" si="787"/>
        <v>20225</v>
      </c>
      <c r="AQ2649" s="28" t="str">
        <f t="shared" si="788"/>
        <v>20225RMB</v>
      </c>
      <c r="AR2649" s="206" t="str">
        <f t="shared" si="789"/>
        <v>YAMAHA_Mounter</v>
      </c>
      <c r="AS2649" s="22">
        <f t="shared" si="790"/>
        <v>5</v>
      </c>
      <c r="AT2649" s="24" t="str">
        <f t="shared" si="791"/>
        <v>4-6 months</v>
      </c>
      <c r="AU2649" s="22" t="s">
        <v>3240</v>
      </c>
    </row>
    <row r="2650" spans="1:47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94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92"/>
        <v>11400000</v>
      </c>
      <c r="AA2650" s="13">
        <v>7.2099999999999997E-2</v>
      </c>
      <c r="AB2650" s="21">
        <f t="shared" si="795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79"/>
        <v>26492741.106427077</v>
      </c>
      <c r="AJ2650" s="19">
        <f t="shared" si="780"/>
        <v>3348032.1325698122</v>
      </c>
      <c r="AK2650" s="20">
        <f t="shared" si="786"/>
        <v>0.12637545201985867</v>
      </c>
      <c r="AL2650" s="17"/>
      <c r="AM2650" s="17"/>
      <c r="AN2650" s="17"/>
      <c r="AO2650" s="17"/>
      <c r="AP2650" s="28" t="str">
        <f t="shared" si="787"/>
        <v>20189</v>
      </c>
      <c r="AQ2650" s="28" t="str">
        <f t="shared" si="788"/>
        <v>20189JPY</v>
      </c>
      <c r="AR2650" s="206" t="str">
        <f t="shared" si="789"/>
        <v>YAMAHA_Mounter</v>
      </c>
      <c r="AS2650" s="22">
        <f t="shared" si="790"/>
        <v>3</v>
      </c>
      <c r="AT2650" s="24" t="str">
        <f t="shared" si="791"/>
        <v>0-3 months</v>
      </c>
      <c r="AU2650" s="22" t="s">
        <v>3745</v>
      </c>
    </row>
    <row r="2651" spans="1:47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94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92"/>
        <v>9400000</v>
      </c>
      <c r="AA2651" s="13">
        <v>7.2099999999999997E-2</v>
      </c>
      <c r="AB2651" s="21">
        <f t="shared" si="795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79"/>
        <v>26492741.106427077</v>
      </c>
      <c r="AJ2651" s="19">
        <f t="shared" si="780"/>
        <v>3348032.1325698122</v>
      </c>
      <c r="AK2651" s="20">
        <f t="shared" si="786"/>
        <v>0.12637545201985867</v>
      </c>
      <c r="AL2651" s="17"/>
      <c r="AM2651" s="17"/>
      <c r="AN2651" s="17"/>
      <c r="AO2651" s="17"/>
      <c r="AP2651" s="28" t="str">
        <f t="shared" si="787"/>
        <v>20189</v>
      </c>
      <c r="AQ2651" s="28" t="str">
        <f t="shared" si="788"/>
        <v>20189JPY</v>
      </c>
      <c r="AR2651" s="206" t="str">
        <f t="shared" si="789"/>
        <v>YAMAHA_Mounter</v>
      </c>
      <c r="AS2651" s="22">
        <f t="shared" si="790"/>
        <v>3</v>
      </c>
      <c r="AT2651" s="24" t="str">
        <f t="shared" si="791"/>
        <v>0-3 months</v>
      </c>
      <c r="AU2651" s="22" t="s">
        <v>3745</v>
      </c>
    </row>
    <row r="2652" spans="1:47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783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94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92"/>
        <v>17000000</v>
      </c>
      <c r="AA2652" s="13">
        <v>7.2099999999999997E-2</v>
      </c>
      <c r="AB2652" s="21">
        <f t="shared" si="795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79"/>
        <v>499582152.5142017</v>
      </c>
      <c r="AJ2652" s="19">
        <f t="shared" si="780"/>
        <v>59520528.679470733</v>
      </c>
      <c r="AK2652" s="20">
        <f t="shared" si="786"/>
        <v>0.11914062257814291</v>
      </c>
      <c r="AL2652" s="17"/>
      <c r="AM2652" s="17"/>
      <c r="AN2652" s="17"/>
      <c r="AO2652" s="17"/>
      <c r="AP2652" s="28" t="str">
        <f t="shared" si="787"/>
        <v>CancelCancel</v>
      </c>
      <c r="AQ2652" s="28" t="str">
        <f t="shared" si="788"/>
        <v>CancelCancelJPY</v>
      </c>
      <c r="AR2652" s="206" t="str">
        <f t="shared" si="789"/>
        <v>YAMAHA_Mounter</v>
      </c>
      <c r="AS2652" s="22" t="str">
        <f t="shared" si="790"/>
        <v/>
      </c>
      <c r="AT2652" s="24" t="str">
        <f t="shared" si="791"/>
        <v/>
      </c>
      <c r="AU2652" s="22" t="s">
        <v>3745</v>
      </c>
    </row>
    <row r="2653" spans="1:47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94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92"/>
        <v>13200000</v>
      </c>
      <c r="AA2653" s="13">
        <v>7.17E-2</v>
      </c>
      <c r="AB2653" s="21">
        <f t="shared" si="795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79"/>
        <v>14593788.187146019</v>
      </c>
      <c r="AJ2653" s="19">
        <f t="shared" si="780"/>
        <v>1868647.7321969916</v>
      </c>
      <c r="AK2653" s="20">
        <f t="shared" si="786"/>
        <v>0.12804404916900652</v>
      </c>
      <c r="AL2653" s="17"/>
      <c r="AM2653" s="17"/>
      <c r="AN2653" s="17"/>
      <c r="AO2653" s="17"/>
      <c r="AP2653" s="28" t="str">
        <f t="shared" si="787"/>
        <v>20195</v>
      </c>
      <c r="AQ2653" s="28" t="str">
        <f t="shared" si="788"/>
        <v>20195JPY</v>
      </c>
      <c r="AR2653" s="206" t="str">
        <f t="shared" si="789"/>
        <v>YAMAHA_Mounter</v>
      </c>
      <c r="AS2653" s="22">
        <f t="shared" si="790"/>
        <v>2</v>
      </c>
      <c r="AT2653" s="24" t="str">
        <f t="shared" si="791"/>
        <v>0-3 months</v>
      </c>
      <c r="AU2653" s="22" t="s">
        <v>3745</v>
      </c>
    </row>
    <row r="2654" spans="1:47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94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92"/>
        <v>13200000</v>
      </c>
      <c r="AA2654" s="13">
        <v>7.17E-2</v>
      </c>
      <c r="AB2654" s="21">
        <f t="shared" si="795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79"/>
        <v>14593788.187146019</v>
      </c>
      <c r="AJ2654" s="19">
        <f t="shared" si="780"/>
        <v>1868647.7321969916</v>
      </c>
      <c r="AK2654" s="20">
        <f t="shared" si="786"/>
        <v>0.12804404916900652</v>
      </c>
      <c r="AL2654" s="17"/>
      <c r="AM2654" s="17"/>
      <c r="AN2654" s="17"/>
      <c r="AO2654" s="17"/>
      <c r="AP2654" s="28" t="str">
        <f t="shared" si="787"/>
        <v>20195</v>
      </c>
      <c r="AQ2654" s="28" t="str">
        <f t="shared" si="788"/>
        <v>20195JPY</v>
      </c>
      <c r="AR2654" s="206" t="str">
        <f t="shared" si="789"/>
        <v>YAMAHA_Mounter</v>
      </c>
      <c r="AS2654" s="22">
        <f t="shared" si="790"/>
        <v>2</v>
      </c>
      <c r="AT2654" s="24" t="str">
        <f t="shared" si="791"/>
        <v>0-3 months</v>
      </c>
      <c r="AU2654" s="22" t="s">
        <v>3745</v>
      </c>
    </row>
    <row r="2655" spans="1:47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94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92"/>
        <v>9400000</v>
      </c>
      <c r="AA2655" s="13">
        <v>7.17E-2</v>
      </c>
      <c r="AB2655" s="21">
        <f t="shared" si="795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79"/>
        <v>14593788.187146019</v>
      </c>
      <c r="AJ2655" s="19">
        <f t="shared" si="780"/>
        <v>1868647.7321969916</v>
      </c>
      <c r="AK2655" s="20">
        <f t="shared" si="786"/>
        <v>0.12804404916900652</v>
      </c>
      <c r="AL2655" s="17"/>
      <c r="AM2655" s="17"/>
      <c r="AN2655" s="17"/>
      <c r="AO2655" s="17"/>
      <c r="AP2655" s="28" t="str">
        <f t="shared" si="787"/>
        <v>20195</v>
      </c>
      <c r="AQ2655" s="28" t="str">
        <f t="shared" si="788"/>
        <v>20195JPY</v>
      </c>
      <c r="AR2655" s="206" t="str">
        <f t="shared" si="789"/>
        <v>YAMAHA_Mounter</v>
      </c>
      <c r="AS2655" s="22">
        <f t="shared" si="790"/>
        <v>2</v>
      </c>
      <c r="AT2655" s="24" t="str">
        <f t="shared" si="791"/>
        <v>0-3 months</v>
      </c>
      <c r="AU2655" s="22" t="s">
        <v>3745</v>
      </c>
    </row>
    <row r="2656" spans="1:47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94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92"/>
        <v>9400000</v>
      </c>
      <c r="AA2656" s="13">
        <v>7.17E-2</v>
      </c>
      <c r="AB2656" s="21">
        <f t="shared" si="795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79"/>
        <v>14593788.187146019</v>
      </c>
      <c r="AJ2656" s="19">
        <f t="shared" si="780"/>
        <v>1868647.7321969916</v>
      </c>
      <c r="AK2656" s="20">
        <f t="shared" si="786"/>
        <v>0.12804404916900652</v>
      </c>
      <c r="AL2656" s="17"/>
      <c r="AM2656" s="17"/>
      <c r="AN2656" s="17"/>
      <c r="AO2656" s="17"/>
      <c r="AP2656" s="28" t="str">
        <f t="shared" si="787"/>
        <v>20195</v>
      </c>
      <c r="AQ2656" s="28" t="str">
        <f t="shared" si="788"/>
        <v>20195JPY</v>
      </c>
      <c r="AR2656" s="206" t="str">
        <f t="shared" si="789"/>
        <v>YAMAHA_Mounter</v>
      </c>
      <c r="AS2656" s="22">
        <f t="shared" si="790"/>
        <v>2</v>
      </c>
      <c r="AT2656" s="24" t="str">
        <f t="shared" si="791"/>
        <v>0-3 months</v>
      </c>
      <c r="AU2656" s="22" t="s">
        <v>3745</v>
      </c>
    </row>
    <row r="2657" spans="1:47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94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92"/>
        <v>9000000</v>
      </c>
      <c r="AA2657" s="13">
        <v>7.6100000000000001E-2</v>
      </c>
      <c r="AB2657" s="21">
        <f t="shared" si="795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79"/>
        <v>48763143.537654862</v>
      </c>
      <c r="AJ2657" s="19">
        <f t="shared" si="780"/>
        <v>5924029.9702154724</v>
      </c>
      <c r="AK2657" s="20">
        <f t="shared" si="786"/>
        <v>0.1214858095774925</v>
      </c>
      <c r="AL2657" s="17"/>
      <c r="AM2657" s="17"/>
      <c r="AN2657" s="17"/>
      <c r="AO2657" s="17"/>
      <c r="AP2657" s="28" t="str">
        <f t="shared" si="787"/>
        <v>202012</v>
      </c>
      <c r="AQ2657" s="28" t="str">
        <f t="shared" si="788"/>
        <v>202012JPY</v>
      </c>
      <c r="AR2657" s="206" t="str">
        <f t="shared" si="789"/>
        <v>YAMAHA_Mounter</v>
      </c>
      <c r="AS2657" s="22">
        <f t="shared" si="790"/>
        <v>3</v>
      </c>
      <c r="AT2657" s="24" t="str">
        <f t="shared" si="791"/>
        <v>0-3 months</v>
      </c>
      <c r="AU2657" s="22" t="s">
        <v>3745</v>
      </c>
    </row>
    <row r="2658" spans="1:47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94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92"/>
        <v>13300000</v>
      </c>
      <c r="AA2658" s="13">
        <v>7.6100000000000001E-2</v>
      </c>
      <c r="AB2658" s="21">
        <f t="shared" si="795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79"/>
        <v>48763143.537654862</v>
      </c>
      <c r="AJ2658" s="19">
        <f t="shared" si="780"/>
        <v>5924029.9702154724</v>
      </c>
      <c r="AK2658" s="20">
        <f t="shared" si="786"/>
        <v>0.1214858095774925</v>
      </c>
      <c r="AL2658" s="17"/>
      <c r="AM2658" s="17"/>
      <c r="AN2658" s="17"/>
      <c r="AO2658" s="17"/>
      <c r="AP2658" s="28" t="str">
        <f t="shared" si="787"/>
        <v>202012</v>
      </c>
      <c r="AQ2658" s="28" t="str">
        <f t="shared" si="788"/>
        <v>202012JPY</v>
      </c>
      <c r="AR2658" s="206" t="str">
        <f t="shared" si="789"/>
        <v>YAMAHA_Mounter</v>
      </c>
      <c r="AS2658" s="22">
        <f t="shared" si="790"/>
        <v>3</v>
      </c>
      <c r="AT2658" s="24" t="str">
        <f t="shared" si="791"/>
        <v>0-3 months</v>
      </c>
      <c r="AU2658" s="22" t="s">
        <v>3745</v>
      </c>
    </row>
    <row r="2659" spans="1:47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94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92"/>
        <v>12000000</v>
      </c>
      <c r="AA2659" s="13">
        <v>7.6799999999999993E-2</v>
      </c>
      <c r="AB2659" s="21">
        <f t="shared" si="795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79"/>
        <v>45803245.025628321</v>
      </c>
      <c r="AJ2659" s="19">
        <f t="shared" si="780"/>
        <v>5664636.2584379362</v>
      </c>
      <c r="AK2659" s="20">
        <f t="shared" si="786"/>
        <v>0.12367325186825515</v>
      </c>
      <c r="AL2659" s="17"/>
      <c r="AM2659" s="17"/>
      <c r="AN2659" s="17"/>
      <c r="AO2659" s="17"/>
      <c r="AP2659" s="28" t="str">
        <f t="shared" si="787"/>
        <v>20211</v>
      </c>
      <c r="AQ2659" s="28" t="str">
        <f t="shared" si="788"/>
        <v>20211JPY</v>
      </c>
      <c r="AR2659" s="206" t="str">
        <f t="shared" si="789"/>
        <v>YAMAHA_Mounter</v>
      </c>
      <c r="AS2659" s="22">
        <f t="shared" si="790"/>
        <v>3</v>
      </c>
      <c r="AT2659" s="24" t="str">
        <f t="shared" si="791"/>
        <v>0-3 months</v>
      </c>
      <c r="AU2659" s="22" t="s">
        <v>3745</v>
      </c>
    </row>
    <row r="2660" spans="1:47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94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92"/>
        <v>12000000</v>
      </c>
      <c r="AA2660" s="13">
        <v>7.6799999999999993E-2</v>
      </c>
      <c r="AB2660" s="21">
        <f t="shared" si="795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79"/>
        <v>45803245.025628321</v>
      </c>
      <c r="AJ2660" s="19">
        <f t="shared" si="780"/>
        <v>5664636.2584379362</v>
      </c>
      <c r="AK2660" s="20">
        <f t="shared" si="786"/>
        <v>0.12367325186825515</v>
      </c>
      <c r="AL2660" s="17"/>
      <c r="AM2660" s="17"/>
      <c r="AN2660" s="17"/>
      <c r="AO2660" s="17"/>
      <c r="AP2660" s="28" t="str">
        <f t="shared" si="787"/>
        <v>20211</v>
      </c>
      <c r="AQ2660" s="28" t="str">
        <f t="shared" si="788"/>
        <v>20211JPY</v>
      </c>
      <c r="AR2660" s="206" t="str">
        <f t="shared" si="789"/>
        <v>YAMAHA_Mounter</v>
      </c>
      <c r="AS2660" s="22">
        <f t="shared" si="790"/>
        <v>3</v>
      </c>
      <c r="AT2660" s="24" t="str">
        <f t="shared" si="791"/>
        <v>0-3 months</v>
      </c>
      <c r="AU2660" s="22" t="s">
        <v>3745</v>
      </c>
    </row>
    <row r="2661" spans="1:47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94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92"/>
        <v>9000000</v>
      </c>
      <c r="AA2661" s="13">
        <v>7.6799999999999993E-2</v>
      </c>
      <c r="AB2661" s="21">
        <f t="shared" si="795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79"/>
        <v>45803245.025628321</v>
      </c>
      <c r="AJ2661" s="19">
        <f t="shared" si="780"/>
        <v>5664636.2584379362</v>
      </c>
      <c r="AK2661" s="20">
        <f t="shared" si="786"/>
        <v>0.12367325186825515</v>
      </c>
      <c r="AL2661" s="17"/>
      <c r="AM2661" s="17"/>
      <c r="AN2661" s="17"/>
      <c r="AO2661" s="17"/>
      <c r="AP2661" s="28" t="str">
        <f t="shared" si="787"/>
        <v>20211</v>
      </c>
      <c r="AQ2661" s="28" t="str">
        <f t="shared" si="788"/>
        <v>20211JPY</v>
      </c>
      <c r="AR2661" s="206" t="str">
        <f t="shared" si="789"/>
        <v>YAMAHA_Mounter</v>
      </c>
      <c r="AS2661" s="22">
        <f t="shared" si="790"/>
        <v>3</v>
      </c>
      <c r="AT2661" s="24" t="str">
        <f t="shared" si="791"/>
        <v>0-3 months</v>
      </c>
      <c r="AU2661" s="22" t="s">
        <v>3745</v>
      </c>
    </row>
    <row r="2662" spans="1:47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94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92"/>
        <v>12500000</v>
      </c>
      <c r="AA2662" s="13">
        <v>7.2999999999999995E-2</v>
      </c>
      <c r="AB2662" s="21">
        <f t="shared" si="795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79"/>
        <v>11620538.477876106</v>
      </c>
      <c r="AJ2662" s="19">
        <f t="shared" si="780"/>
        <v>1598596.3145221241</v>
      </c>
      <c r="AK2662" s="20">
        <f t="shared" si="786"/>
        <v>0.13756645766163331</v>
      </c>
      <c r="AL2662" s="17"/>
      <c r="AM2662" s="17"/>
      <c r="AN2662" s="17"/>
      <c r="AO2662" s="17"/>
      <c r="AP2662" s="28" t="str">
        <f t="shared" si="787"/>
        <v>20201</v>
      </c>
      <c r="AQ2662" s="28" t="str">
        <f t="shared" si="788"/>
        <v>20201JPY</v>
      </c>
      <c r="AR2662" s="206" t="str">
        <f t="shared" si="789"/>
        <v>YAMAHA_Mounter</v>
      </c>
      <c r="AS2662" s="22">
        <f t="shared" si="790"/>
        <v>1</v>
      </c>
      <c r="AT2662" s="24" t="str">
        <f t="shared" si="791"/>
        <v>0-3 months</v>
      </c>
      <c r="AU2662" s="22" t="s">
        <v>3745</v>
      </c>
    </row>
    <row r="2663" spans="1:47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94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92"/>
        <v>9000000</v>
      </c>
      <c r="AA2663" s="13">
        <v>7.2999999999999995E-2</v>
      </c>
      <c r="AB2663" s="21">
        <f t="shared" si="795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79"/>
        <v>11620538.477876106</v>
      </c>
      <c r="AJ2663" s="19">
        <f t="shared" si="780"/>
        <v>1598596.3145221241</v>
      </c>
      <c r="AK2663" s="20">
        <f t="shared" si="786"/>
        <v>0.13756645766163331</v>
      </c>
      <c r="AL2663" s="17"/>
      <c r="AM2663" s="17"/>
      <c r="AN2663" s="17"/>
      <c r="AO2663" s="17"/>
      <c r="AP2663" s="28" t="str">
        <f t="shared" si="787"/>
        <v>20201</v>
      </c>
      <c r="AQ2663" s="28" t="str">
        <f t="shared" si="788"/>
        <v>20201JPY</v>
      </c>
      <c r="AR2663" s="206" t="str">
        <f t="shared" si="789"/>
        <v>YAMAHA_Mounter</v>
      </c>
      <c r="AS2663" s="22">
        <f t="shared" si="790"/>
        <v>1</v>
      </c>
      <c r="AT2663" s="24" t="str">
        <f t="shared" si="791"/>
        <v>0-3 months</v>
      </c>
      <c r="AU2663" s="22" t="s">
        <v>3745</v>
      </c>
    </row>
    <row r="2664" spans="1:47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94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96">IF(W2664="RMB","1.13", "1")</f>
        <v>1</v>
      </c>
      <c r="Z2664" s="18">
        <f t="shared" si="792"/>
        <v>12700000</v>
      </c>
      <c r="AA2664" s="13">
        <v>6.9199999999999998E-2</v>
      </c>
      <c r="AB2664" s="21">
        <f t="shared" si="795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79"/>
        <v>26407088.359292038</v>
      </c>
      <c r="AJ2664" s="19">
        <f t="shared" si="780"/>
        <v>3424510.6998470789</v>
      </c>
      <c r="AK2664" s="20">
        <f t="shared" si="786"/>
        <v>0.12968149510667554</v>
      </c>
      <c r="AL2664" s="17"/>
      <c r="AM2664" s="17"/>
      <c r="AN2664" s="17"/>
      <c r="AO2664" s="17"/>
      <c r="AP2664" s="28" t="str">
        <f t="shared" si="787"/>
        <v>20221</v>
      </c>
      <c r="AQ2664" s="28" t="str">
        <f t="shared" si="788"/>
        <v>20221JPY</v>
      </c>
      <c r="AR2664" s="206" t="str">
        <f t="shared" si="789"/>
        <v>YAMAHA_Mounter</v>
      </c>
      <c r="AS2664" s="22">
        <f t="shared" si="790"/>
        <v>7</v>
      </c>
      <c r="AT2664" s="24" t="str">
        <f t="shared" si="791"/>
        <v>&gt; 6 months</v>
      </c>
      <c r="AU2664" s="22" t="s">
        <v>3744</v>
      </c>
    </row>
    <row r="2665" spans="1:47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94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96"/>
        <v>1</v>
      </c>
      <c r="Z2665" s="18">
        <f t="shared" si="792"/>
        <v>12700000</v>
      </c>
      <c r="AA2665" s="13">
        <v>6.9199999999999998E-2</v>
      </c>
      <c r="AB2665" s="21">
        <f t="shared" si="795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79"/>
        <v>26407088.359292038</v>
      </c>
      <c r="AJ2665" s="19">
        <f t="shared" si="780"/>
        <v>3424510.6998470789</v>
      </c>
      <c r="AK2665" s="20">
        <f t="shared" si="786"/>
        <v>0.12968149510667554</v>
      </c>
      <c r="AL2665" s="17"/>
      <c r="AM2665" s="17"/>
      <c r="AN2665" s="17"/>
      <c r="AO2665" s="17"/>
      <c r="AP2665" s="28" t="str">
        <f t="shared" si="787"/>
        <v>20221</v>
      </c>
      <c r="AQ2665" s="28" t="str">
        <f t="shared" si="788"/>
        <v>20221JPY</v>
      </c>
      <c r="AR2665" s="206" t="str">
        <f t="shared" si="789"/>
        <v>YAMAHA_Mounter</v>
      </c>
      <c r="AS2665" s="22">
        <f t="shared" si="790"/>
        <v>7</v>
      </c>
      <c r="AT2665" s="24" t="str">
        <f t="shared" si="791"/>
        <v>&gt; 6 months</v>
      </c>
      <c r="AU2665" s="22" t="s">
        <v>3744</v>
      </c>
    </row>
    <row r="2666" spans="1:47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94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96"/>
        <v>1</v>
      </c>
      <c r="Z2666" s="18">
        <f t="shared" si="792"/>
        <v>9880000</v>
      </c>
      <c r="AA2666" s="13">
        <v>6.9199999999999998E-2</v>
      </c>
      <c r="AB2666" s="21">
        <f t="shared" si="795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79"/>
        <v>26407088.359292038</v>
      </c>
      <c r="AJ2666" s="19">
        <f t="shared" si="780"/>
        <v>3424510.6998470789</v>
      </c>
      <c r="AK2666" s="20">
        <f t="shared" si="786"/>
        <v>0.12968149510667554</v>
      </c>
      <c r="AL2666" s="17"/>
      <c r="AM2666" s="17"/>
      <c r="AN2666" s="17"/>
      <c r="AO2666" s="17"/>
      <c r="AP2666" s="28" t="str">
        <f t="shared" si="787"/>
        <v>20221</v>
      </c>
      <c r="AQ2666" s="28" t="str">
        <f t="shared" si="788"/>
        <v>20221JPY</v>
      </c>
      <c r="AR2666" s="206" t="str">
        <f t="shared" si="789"/>
        <v>YAMAHA_Mounter</v>
      </c>
      <c r="AS2666" s="22">
        <f t="shared" si="790"/>
        <v>7</v>
      </c>
      <c r="AT2666" s="24" t="str">
        <f t="shared" si="791"/>
        <v>&gt; 6 months</v>
      </c>
      <c r="AU2666" s="22" t="s">
        <v>3744</v>
      </c>
    </row>
    <row r="2667" spans="1:47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94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96"/>
        <v>1</v>
      </c>
      <c r="Z2667" s="18">
        <f t="shared" si="792"/>
        <v>9880000</v>
      </c>
      <c r="AA2667" s="13">
        <v>6.9199999999999998E-2</v>
      </c>
      <c r="AB2667" s="21">
        <f t="shared" si="795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79"/>
        <v>26407088.359292038</v>
      </c>
      <c r="AJ2667" s="19">
        <f t="shared" si="780"/>
        <v>3424510.6998470789</v>
      </c>
      <c r="AK2667" s="20">
        <f t="shared" si="786"/>
        <v>0.12968149510667554</v>
      </c>
      <c r="AL2667" s="17"/>
      <c r="AM2667" s="17"/>
      <c r="AN2667" s="17"/>
      <c r="AO2667" s="17"/>
      <c r="AP2667" s="28" t="str">
        <f t="shared" si="787"/>
        <v>20221</v>
      </c>
      <c r="AQ2667" s="28" t="str">
        <f t="shared" si="788"/>
        <v>20221JPY</v>
      </c>
      <c r="AR2667" s="206" t="str">
        <f t="shared" si="789"/>
        <v>YAMAHA_Mounter</v>
      </c>
      <c r="AS2667" s="22">
        <f t="shared" si="790"/>
        <v>7</v>
      </c>
      <c r="AT2667" s="24" t="str">
        <f t="shared" si="791"/>
        <v>&gt; 6 months</v>
      </c>
      <c r="AU2667" s="22" t="s">
        <v>3744</v>
      </c>
    </row>
    <row r="2668" spans="1:47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94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96"/>
        <v>1.13</v>
      </c>
      <c r="Z2668" s="18">
        <f t="shared" si="792"/>
        <v>707000</v>
      </c>
      <c r="AA2668" s="13">
        <v>1.1850000000000001</v>
      </c>
      <c r="AB2668" s="21">
        <f t="shared" si="795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79"/>
        <v>45803245.025628321</v>
      </c>
      <c r="AJ2668" s="19">
        <f t="shared" si="780"/>
        <v>5664636.2584379362</v>
      </c>
      <c r="AK2668" s="20">
        <f t="shared" si="786"/>
        <v>0.12367325186825515</v>
      </c>
      <c r="AL2668" s="17"/>
      <c r="AM2668" s="17"/>
      <c r="AN2668" s="17"/>
      <c r="AO2668" s="17"/>
      <c r="AP2668" s="28" t="str">
        <f t="shared" si="787"/>
        <v>20211</v>
      </c>
      <c r="AQ2668" s="28" t="str">
        <f t="shared" si="788"/>
        <v>20211RMB</v>
      </c>
      <c r="AR2668" s="206" t="str">
        <f t="shared" si="789"/>
        <v>YAMAHA_Non_Mounter</v>
      </c>
      <c r="AS2668" s="22">
        <f t="shared" si="790"/>
        <v>2</v>
      </c>
      <c r="AT2668" s="24" t="str">
        <f t="shared" si="791"/>
        <v>0-3 months</v>
      </c>
      <c r="AU2668" s="22" t="s">
        <v>3743</v>
      </c>
    </row>
    <row r="2669" spans="1:47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94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96"/>
        <v>1.13</v>
      </c>
      <c r="Z2669" s="18">
        <f t="shared" si="792"/>
        <v>707000</v>
      </c>
      <c r="AA2669" s="13">
        <v>1.1950000000000001</v>
      </c>
      <c r="AB2669" s="21">
        <f t="shared" si="795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79"/>
        <v>63006605.696460173</v>
      </c>
      <c r="AJ2669" s="19">
        <f t="shared" si="780"/>
        <v>8897485.660753984</v>
      </c>
      <c r="AK2669" s="20">
        <f t="shared" si="786"/>
        <v>0.141215124388995</v>
      </c>
      <c r="AL2669" s="17"/>
      <c r="AM2669" s="17"/>
      <c r="AN2669" s="17"/>
      <c r="AO2669" s="17"/>
      <c r="AP2669" s="28" t="str">
        <f t="shared" si="787"/>
        <v>20215</v>
      </c>
      <c r="AQ2669" s="28" t="str">
        <f t="shared" si="788"/>
        <v>20215RMB</v>
      </c>
      <c r="AR2669" s="206" t="str">
        <f t="shared" si="789"/>
        <v>YAMAHA_Non_Mounter</v>
      </c>
      <c r="AS2669" s="22">
        <f t="shared" si="790"/>
        <v>6</v>
      </c>
      <c r="AT2669" s="24" t="str">
        <f t="shared" si="791"/>
        <v>4-6 months</v>
      </c>
      <c r="AU2669" s="22" t="s">
        <v>3743</v>
      </c>
    </row>
    <row r="2670" spans="1:47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94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96"/>
        <v>1.13</v>
      </c>
      <c r="Z2670" s="18">
        <f t="shared" si="792"/>
        <v>707000</v>
      </c>
      <c r="AA2670" s="13">
        <v>1.1950000000000001</v>
      </c>
      <c r="AB2670" s="21">
        <f t="shared" si="795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79"/>
        <v>63006605.696460173</v>
      </c>
      <c r="AJ2670" s="19">
        <f t="shared" si="780"/>
        <v>8897485.660753984</v>
      </c>
      <c r="AK2670" s="20">
        <f t="shared" si="786"/>
        <v>0.141215124388995</v>
      </c>
      <c r="AL2670" s="17"/>
      <c r="AM2670" s="17"/>
      <c r="AN2670" s="17"/>
      <c r="AO2670" s="17"/>
      <c r="AP2670" s="28" t="str">
        <f t="shared" si="787"/>
        <v>20215</v>
      </c>
      <c r="AQ2670" s="28" t="str">
        <f t="shared" si="788"/>
        <v>20215RMB</v>
      </c>
      <c r="AR2670" s="206" t="str">
        <f t="shared" si="789"/>
        <v>YAMAHA_Non_Mounter</v>
      </c>
      <c r="AS2670" s="22">
        <f t="shared" si="790"/>
        <v>6</v>
      </c>
      <c r="AT2670" s="24" t="str">
        <f t="shared" si="791"/>
        <v>4-6 months</v>
      </c>
      <c r="AU2670" s="22" t="s">
        <v>3743</v>
      </c>
    </row>
    <row r="2671" spans="1:47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94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92"/>
        <v>11500000</v>
      </c>
      <c r="AA2671" s="13">
        <v>5.4100000000000002E-2</v>
      </c>
      <c r="AB2671" s="21">
        <f t="shared" si="795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79"/>
        <v>31017966.201968137</v>
      </c>
      <c r="AJ2671" s="19">
        <f t="shared" si="780"/>
        <v>4704250.3347305888</v>
      </c>
      <c r="AK2671" s="20">
        <f t="shared" si="786"/>
        <v>0.15166211427595458</v>
      </c>
      <c r="AL2671" s="17"/>
      <c r="AM2671" s="17"/>
      <c r="AN2671" s="17"/>
      <c r="AO2671" s="17"/>
      <c r="AP2671" s="28" t="str">
        <f t="shared" si="787"/>
        <v>202211</v>
      </c>
      <c r="AQ2671" s="28" t="str">
        <f t="shared" si="788"/>
        <v>202211JPY</v>
      </c>
      <c r="AR2671" s="206" t="str">
        <f t="shared" si="789"/>
        <v>YAMAHA_Non_Mounter</v>
      </c>
      <c r="AS2671" s="22">
        <f t="shared" si="790"/>
        <v>3</v>
      </c>
      <c r="AT2671" s="24" t="str">
        <f t="shared" si="791"/>
        <v>0-3 months</v>
      </c>
      <c r="AU2671" s="22" t="s">
        <v>3745</v>
      </c>
    </row>
    <row r="2672" spans="1:47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94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92"/>
        <v>10540000</v>
      </c>
      <c r="AA2672" s="13">
        <v>7.2800000000000004E-2</v>
      </c>
      <c r="AB2672" s="21">
        <f t="shared" si="795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79"/>
        <v>63006605.696460173</v>
      </c>
      <c r="AJ2672" s="19">
        <f t="shared" si="780"/>
        <v>8897485.660753984</v>
      </c>
      <c r="AK2672" s="20">
        <f t="shared" si="786"/>
        <v>0.141215124388995</v>
      </c>
      <c r="AL2672" s="17"/>
      <c r="AM2672" s="17"/>
      <c r="AN2672" s="17"/>
      <c r="AO2672" s="17"/>
      <c r="AP2672" s="28" t="str">
        <f t="shared" si="787"/>
        <v>20215</v>
      </c>
      <c r="AQ2672" s="28" t="str">
        <f t="shared" si="788"/>
        <v>20215JPY</v>
      </c>
      <c r="AR2672" s="206" t="str">
        <f t="shared" si="789"/>
        <v>YAMAHA_Mounter</v>
      </c>
      <c r="AS2672" s="22">
        <f t="shared" si="790"/>
        <v>2</v>
      </c>
      <c r="AT2672" s="24" t="str">
        <f t="shared" si="791"/>
        <v>0-3 months</v>
      </c>
      <c r="AU2672" s="22" t="s">
        <v>3744</v>
      </c>
    </row>
    <row r="2673" spans="1:47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7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94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798">IF(W2673="","",IF(W2673="RMB","1.13", "1"))</f>
        <v>1</v>
      </c>
      <c r="Z2673" s="18">
        <f t="shared" si="792"/>
        <v>12750000</v>
      </c>
      <c r="AA2673" s="22">
        <v>5.3100000000000001E-2</v>
      </c>
      <c r="AB2673" s="21">
        <f t="shared" si="795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79"/>
        <v>21241742.157380536</v>
      </c>
      <c r="AJ2673" s="27">
        <f t="shared" si="780"/>
        <v>2987081.1613773629</v>
      </c>
      <c r="AK2673" s="28">
        <f t="shared" si="786"/>
        <v>0.14062317201884914</v>
      </c>
      <c r="AL2673" s="24"/>
      <c r="AM2673" s="24"/>
      <c r="AN2673" s="24"/>
      <c r="AO2673" s="24"/>
      <c r="AP2673" s="28" t="str">
        <f t="shared" si="787"/>
        <v>20243</v>
      </c>
      <c r="AQ2673" s="28" t="str">
        <f t="shared" si="788"/>
        <v>20243JPY</v>
      </c>
      <c r="AR2673" s="206" t="str">
        <f t="shared" si="789"/>
        <v>YAMAHA_Mounter</v>
      </c>
      <c r="AS2673" s="22">
        <f t="shared" si="790"/>
        <v>2</v>
      </c>
      <c r="AT2673" s="24" t="str">
        <f t="shared" si="791"/>
        <v>0-3 months</v>
      </c>
      <c r="AU2673" s="22" t="s">
        <v>3240</v>
      </c>
    </row>
    <row r="2674" spans="1:47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7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94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798"/>
        <v>1</v>
      </c>
      <c r="Z2674" s="18">
        <f t="shared" si="792"/>
        <v>12750000</v>
      </c>
      <c r="AA2674" s="22">
        <v>5.3100000000000001E-2</v>
      </c>
      <c r="AB2674" s="21">
        <f t="shared" si="795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79"/>
        <v>21241742.157380536</v>
      </c>
      <c r="AJ2674" s="27">
        <f t="shared" si="780"/>
        <v>2987081.1613773629</v>
      </c>
      <c r="AK2674" s="28">
        <f t="shared" si="786"/>
        <v>0.14062317201884914</v>
      </c>
      <c r="AL2674" s="24"/>
      <c r="AM2674" s="24"/>
      <c r="AN2674" s="24"/>
      <c r="AO2674" s="24"/>
      <c r="AP2674" s="28" t="str">
        <f t="shared" si="787"/>
        <v>20243</v>
      </c>
      <c r="AQ2674" s="28" t="str">
        <f t="shared" si="788"/>
        <v>20243JPY</v>
      </c>
      <c r="AR2674" s="206" t="str">
        <f t="shared" si="789"/>
        <v>YAMAHA_Mounter</v>
      </c>
      <c r="AS2674" s="22">
        <f t="shared" si="790"/>
        <v>2</v>
      </c>
      <c r="AT2674" s="24" t="str">
        <f t="shared" si="791"/>
        <v>0-3 months</v>
      </c>
      <c r="AU2674" s="22" t="s">
        <v>3240</v>
      </c>
    </row>
    <row r="2675" spans="1:47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7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94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798"/>
        <v>1</v>
      </c>
      <c r="Z2675" s="18">
        <f t="shared" si="792"/>
        <v>8000000</v>
      </c>
      <c r="AA2675" s="22">
        <v>5.3100000000000001E-2</v>
      </c>
      <c r="AB2675" s="21">
        <f t="shared" si="795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79"/>
        <v>21241742.157380536</v>
      </c>
      <c r="AJ2675" s="27">
        <f t="shared" si="780"/>
        <v>2987081.1613773629</v>
      </c>
      <c r="AK2675" s="28">
        <f t="shared" si="786"/>
        <v>0.14062317201884914</v>
      </c>
      <c r="AL2675" s="24"/>
      <c r="AM2675" s="24"/>
      <c r="AN2675" s="24"/>
      <c r="AO2675" s="24"/>
      <c r="AP2675" s="28" t="str">
        <f t="shared" si="787"/>
        <v>20243</v>
      </c>
      <c r="AQ2675" s="28" t="str">
        <f t="shared" si="788"/>
        <v>20243JPY</v>
      </c>
      <c r="AR2675" s="206" t="str">
        <f t="shared" si="789"/>
        <v>YAMAHA_Mounter</v>
      </c>
      <c r="AS2675" s="22">
        <f t="shared" si="790"/>
        <v>2</v>
      </c>
      <c r="AT2675" s="24" t="str">
        <f t="shared" si="791"/>
        <v>0-3 months</v>
      </c>
      <c r="AU2675" s="22" t="s">
        <v>3240</v>
      </c>
    </row>
    <row r="2676" spans="1:47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7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94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798"/>
        <v>1</v>
      </c>
      <c r="Z2676" s="18">
        <f t="shared" si="792"/>
        <v>8000000</v>
      </c>
      <c r="AA2676" s="22">
        <v>5.3100000000000001E-2</v>
      </c>
      <c r="AB2676" s="21">
        <f t="shared" si="795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79"/>
        <v>21241742.157380536</v>
      </c>
      <c r="AJ2676" s="27">
        <f t="shared" si="780"/>
        <v>2987081.1613773629</v>
      </c>
      <c r="AK2676" s="28">
        <f t="shared" si="786"/>
        <v>0.14062317201884914</v>
      </c>
      <c r="AL2676" s="24"/>
      <c r="AM2676" s="24"/>
      <c r="AN2676" s="24"/>
      <c r="AO2676" s="24"/>
      <c r="AP2676" s="28" t="str">
        <f t="shared" si="787"/>
        <v>20243</v>
      </c>
      <c r="AQ2676" s="28" t="str">
        <f t="shared" si="788"/>
        <v>20243JPY</v>
      </c>
      <c r="AR2676" s="206" t="str">
        <f t="shared" si="789"/>
        <v>YAMAHA_Mounter</v>
      </c>
      <c r="AS2676" s="22">
        <f t="shared" si="790"/>
        <v>2</v>
      </c>
      <c r="AT2676" s="24" t="str">
        <f t="shared" si="791"/>
        <v>0-3 months</v>
      </c>
      <c r="AU2676" s="22" t="s">
        <v>3240</v>
      </c>
    </row>
    <row r="2677" spans="1:47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7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94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798"/>
        <v>1</v>
      </c>
      <c r="Z2677" s="18">
        <f t="shared" si="792"/>
        <v>8000000</v>
      </c>
      <c r="AA2677" s="22">
        <v>5.3100000000000001E-2</v>
      </c>
      <c r="AB2677" s="21">
        <f t="shared" si="795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79"/>
        <v>21241742.157380536</v>
      </c>
      <c r="AJ2677" s="27">
        <f t="shared" si="780"/>
        <v>2987081.1613773629</v>
      </c>
      <c r="AK2677" s="28">
        <f t="shared" si="786"/>
        <v>0.14062317201884914</v>
      </c>
      <c r="AL2677" s="24"/>
      <c r="AM2677" s="24"/>
      <c r="AN2677" s="24"/>
      <c r="AO2677" s="24"/>
      <c r="AP2677" s="28" t="str">
        <f t="shared" si="787"/>
        <v>20243</v>
      </c>
      <c r="AQ2677" s="28" t="str">
        <f t="shared" si="788"/>
        <v>20243JPY</v>
      </c>
      <c r="AR2677" s="206" t="str">
        <f t="shared" si="789"/>
        <v>YAMAHA_Mounter</v>
      </c>
      <c r="AS2677" s="22">
        <f t="shared" si="790"/>
        <v>2</v>
      </c>
      <c r="AT2677" s="24" t="str">
        <f t="shared" si="791"/>
        <v>0-3 months</v>
      </c>
      <c r="AU2677" s="22" t="s">
        <v>3240</v>
      </c>
    </row>
    <row r="2678" spans="1:47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7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94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798"/>
        <v/>
      </c>
      <c r="Z2678" s="196" t="str">
        <f t="shared" si="792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79"/>
        <v>25458266.694690265</v>
      </c>
      <c r="AJ2678" s="200">
        <f t="shared" si="780"/>
        <v>4116526.778578762</v>
      </c>
      <c r="AK2678" s="201">
        <f t="shared" si="786"/>
        <v>0.16169705612508689</v>
      </c>
      <c r="AL2678" s="24"/>
      <c r="AM2678" s="24"/>
      <c r="AN2678" s="24"/>
      <c r="AO2678" s="24"/>
      <c r="AP2678" s="105" t="str">
        <f t="shared" si="787"/>
        <v>20247</v>
      </c>
      <c r="AQ2678" s="28" t="str">
        <f t="shared" si="788"/>
        <v/>
      </c>
      <c r="AR2678" s="206" t="str">
        <f t="shared" si="789"/>
        <v>C66 SERVICE</v>
      </c>
      <c r="AS2678" s="22" t="str">
        <f t="shared" si="790"/>
        <v/>
      </c>
      <c r="AT2678" s="24" t="str">
        <f t="shared" si="791"/>
        <v/>
      </c>
      <c r="AU2678" s="22">
        <v>0</v>
      </c>
    </row>
    <row r="2679" spans="1:47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783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94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92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79"/>
        <v>4327756</v>
      </c>
      <c r="AJ2679" s="19">
        <f t="shared" si="780"/>
        <v>519330.72</v>
      </c>
      <c r="AK2679" s="20">
        <f t="shared" si="786"/>
        <v>0.12</v>
      </c>
      <c r="AL2679" s="17"/>
      <c r="AM2679" s="17"/>
      <c r="AN2679" s="17"/>
      <c r="AO2679" s="17"/>
      <c r="AP2679" s="28" t="str">
        <f t="shared" si="787"/>
        <v>CancelCancel</v>
      </c>
      <c r="AQ2679" s="28" t="str">
        <f t="shared" si="788"/>
        <v>CancelCancelJPY</v>
      </c>
      <c r="AR2679" s="206" t="str">
        <f t="shared" si="789"/>
        <v>YAMAHA_Mounter</v>
      </c>
      <c r="AS2679" s="22" t="str">
        <f t="shared" si="790"/>
        <v/>
      </c>
      <c r="AT2679" s="24" t="str">
        <f t="shared" si="791"/>
        <v/>
      </c>
      <c r="AU2679" s="22" t="s">
        <v>3744</v>
      </c>
    </row>
    <row r="2680" spans="1:47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783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94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92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79"/>
        <v>4327756</v>
      </c>
      <c r="AJ2680" s="200">
        <f t="shared" si="780"/>
        <v>519330.72</v>
      </c>
      <c r="AK2680" s="201">
        <f t="shared" si="786"/>
        <v>0.12</v>
      </c>
      <c r="AL2680" s="24"/>
      <c r="AM2680" s="24"/>
      <c r="AN2680" s="24"/>
      <c r="AO2680" s="24"/>
      <c r="AP2680" s="105" t="str">
        <f t="shared" si="787"/>
        <v>CancelCancel</v>
      </c>
      <c r="AQ2680" s="28" t="str">
        <f t="shared" si="788"/>
        <v>CancelCancelJPY</v>
      </c>
      <c r="AR2680" s="206" t="str">
        <f t="shared" si="789"/>
        <v>YAMAHA_Mounter</v>
      </c>
      <c r="AS2680" s="22" t="str">
        <f t="shared" si="790"/>
        <v/>
      </c>
      <c r="AT2680" s="24" t="str">
        <f t="shared" si="791"/>
        <v/>
      </c>
      <c r="AU2680" s="22" t="s">
        <v>3744</v>
      </c>
    </row>
    <row r="2681" spans="1:47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783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94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92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79"/>
        <v>4327756</v>
      </c>
      <c r="AJ2681" s="200">
        <f t="shared" si="780"/>
        <v>519330.72</v>
      </c>
      <c r="AK2681" s="201">
        <f t="shared" si="786"/>
        <v>0.12</v>
      </c>
      <c r="AL2681" s="24"/>
      <c r="AM2681" s="24"/>
      <c r="AN2681" s="24"/>
      <c r="AO2681" s="24"/>
      <c r="AP2681" s="105" t="str">
        <f t="shared" si="787"/>
        <v>CancelCancel</v>
      </c>
      <c r="AQ2681" s="28" t="str">
        <f t="shared" si="788"/>
        <v>CancelCancelJPY</v>
      </c>
      <c r="AR2681" s="206" t="str">
        <f t="shared" si="789"/>
        <v>YAMAHA_Mounter</v>
      </c>
      <c r="AS2681" s="22" t="str">
        <f t="shared" si="790"/>
        <v/>
      </c>
      <c r="AT2681" s="24" t="str">
        <f t="shared" si="791"/>
        <v/>
      </c>
      <c r="AU2681" s="22" t="s">
        <v>3744</v>
      </c>
    </row>
    <row r="2682" spans="1:47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783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94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92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79"/>
        <v>4327756</v>
      </c>
      <c r="AJ2682" s="200">
        <f t="shared" si="780"/>
        <v>519330.72</v>
      </c>
      <c r="AK2682" s="201">
        <f t="shared" si="786"/>
        <v>0.12</v>
      </c>
      <c r="AL2682" s="24"/>
      <c r="AM2682" s="24"/>
      <c r="AN2682" s="24"/>
      <c r="AO2682" s="24"/>
      <c r="AP2682" s="105" t="str">
        <f t="shared" si="787"/>
        <v>CancelCancel</v>
      </c>
      <c r="AQ2682" s="28" t="str">
        <f t="shared" si="788"/>
        <v>CancelCancelJPY</v>
      </c>
      <c r="AR2682" s="206" t="str">
        <f t="shared" si="789"/>
        <v>YAMAHA_Mounter</v>
      </c>
      <c r="AS2682" s="22" t="str">
        <f t="shared" si="790"/>
        <v/>
      </c>
      <c r="AT2682" s="24" t="str">
        <f t="shared" si="791"/>
        <v/>
      </c>
      <c r="AU2682" s="22" t="s">
        <v>3744</v>
      </c>
    </row>
    <row r="2683" spans="1:47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94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2"/>
        <v/>
      </c>
      <c r="AA2683" s="22"/>
      <c r="AB2683" s="197">
        <v>225000</v>
      </c>
      <c r="AC2683" s="198">
        <f t="shared" si="784"/>
        <v>67500</v>
      </c>
      <c r="AD2683" s="22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79"/>
        <v>25458266.694690265</v>
      </c>
      <c r="AJ2683" s="200">
        <f t="shared" si="780"/>
        <v>4116526.778578762</v>
      </c>
      <c r="AK2683" s="201">
        <f t="shared" si="786"/>
        <v>0.16169705612508689</v>
      </c>
      <c r="AL2683" s="24"/>
      <c r="AM2683" s="24"/>
      <c r="AN2683" s="24"/>
      <c r="AO2683" s="24"/>
      <c r="AP2683" s="105" t="str">
        <f t="shared" si="787"/>
        <v>20247</v>
      </c>
      <c r="AQ2683" s="28" t="str">
        <f t="shared" si="788"/>
        <v/>
      </c>
      <c r="AR2683" s="206" t="str">
        <f t="shared" si="789"/>
        <v>C66 SERVICE</v>
      </c>
      <c r="AS2683" s="22" t="str">
        <f t="shared" si="790"/>
        <v/>
      </c>
      <c r="AT2683" s="24" t="str">
        <f t="shared" si="791"/>
        <v/>
      </c>
      <c r="AU2683" s="22">
        <v>0</v>
      </c>
    </row>
    <row r="2684" spans="1:47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94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92"/>
        <v>900000</v>
      </c>
      <c r="AA2684" s="13">
        <v>1.2</v>
      </c>
      <c r="AB2684" s="21">
        <f t="shared" ref="AB2684:AB2747" si="799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79"/>
        <v>41443303.53761062</v>
      </c>
      <c r="AJ2684" s="19">
        <f t="shared" si="780"/>
        <v>6194988.76643031</v>
      </c>
      <c r="AK2684" s="20">
        <f t="shared" si="786"/>
        <v>0.1494810557466355</v>
      </c>
      <c r="AL2684" s="17"/>
      <c r="AM2684" s="17"/>
      <c r="AN2684" s="17"/>
      <c r="AO2684" s="17"/>
      <c r="AP2684" s="28" t="str">
        <f t="shared" si="787"/>
        <v>20217</v>
      </c>
      <c r="AQ2684" s="28" t="str">
        <f t="shared" si="788"/>
        <v>20217RMB</v>
      </c>
      <c r="AR2684" s="206" t="str">
        <f t="shared" si="789"/>
        <v>YAMAHA_Mounter</v>
      </c>
      <c r="AS2684" s="22">
        <f t="shared" si="790"/>
        <v>3</v>
      </c>
      <c r="AT2684" s="24" t="str">
        <f t="shared" si="791"/>
        <v>0-3 months</v>
      </c>
      <c r="AU2684" s="22" t="s">
        <v>3240</v>
      </c>
    </row>
    <row r="2685" spans="1:47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94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92"/>
        <v>710000</v>
      </c>
      <c r="AA2685" s="13">
        <v>1.2</v>
      </c>
      <c r="AB2685" s="21">
        <f t="shared" si="799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79"/>
        <v>15533177.71460177</v>
      </c>
      <c r="AJ2685" s="19">
        <f t="shared" si="780"/>
        <v>1819298.5437526547</v>
      </c>
      <c r="AK2685" s="20">
        <f t="shared" si="786"/>
        <v>0.11712339723265033</v>
      </c>
      <c r="AL2685" s="17"/>
      <c r="AM2685" s="17"/>
      <c r="AN2685" s="17"/>
      <c r="AO2685" s="17"/>
      <c r="AP2685" s="28" t="str">
        <f t="shared" si="787"/>
        <v>202110</v>
      </c>
      <c r="AQ2685" s="28" t="str">
        <f t="shared" si="788"/>
        <v>202110RMB</v>
      </c>
      <c r="AR2685" s="206" t="str">
        <f t="shared" si="789"/>
        <v>YAMAHA_Mounter</v>
      </c>
      <c r="AS2685" s="22">
        <f t="shared" si="790"/>
        <v>6</v>
      </c>
      <c r="AT2685" s="24" t="str">
        <f t="shared" si="791"/>
        <v>4-6 months</v>
      </c>
      <c r="AU2685" s="22" t="s">
        <v>3240</v>
      </c>
    </row>
    <row r="2686" spans="1:47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94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92"/>
        <v>520000</v>
      </c>
      <c r="AA2686" s="13">
        <v>1.0920000000000001</v>
      </c>
      <c r="AB2686" s="21">
        <f t="shared" si="799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79"/>
        <v>22953677.784070797</v>
      </c>
      <c r="AJ2686" s="19">
        <f t="shared" si="780"/>
        <v>4168706.6744155753</v>
      </c>
      <c r="AK2686" s="20">
        <f t="shared" si="786"/>
        <v>0.18161388835511752</v>
      </c>
      <c r="AL2686" s="17"/>
      <c r="AM2686" s="17"/>
      <c r="AN2686" s="17"/>
      <c r="AO2686" s="17"/>
      <c r="AP2686" s="28" t="str">
        <f t="shared" si="787"/>
        <v>20238</v>
      </c>
      <c r="AQ2686" s="28" t="str">
        <f t="shared" si="788"/>
        <v>20238RMB</v>
      </c>
      <c r="AR2686" s="206" t="str">
        <f t="shared" si="789"/>
        <v>YAMAHA_Mounter</v>
      </c>
      <c r="AS2686" s="22">
        <f t="shared" si="790"/>
        <v>3</v>
      </c>
      <c r="AT2686" s="24" t="str">
        <f t="shared" si="791"/>
        <v>0-3 months</v>
      </c>
      <c r="AU2686" s="22" t="s">
        <v>3240</v>
      </c>
    </row>
    <row r="2687" spans="1:47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94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92"/>
        <v>900000</v>
      </c>
      <c r="AA2687" s="13">
        <v>1.0920000000000001</v>
      </c>
      <c r="AB2687" s="21">
        <f t="shared" si="799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79"/>
        <v>22953677.784070797</v>
      </c>
      <c r="AJ2687" s="19">
        <f t="shared" si="780"/>
        <v>4168706.6744155753</v>
      </c>
      <c r="AK2687" s="20">
        <f t="shared" si="786"/>
        <v>0.18161388835511752</v>
      </c>
      <c r="AL2687" s="17"/>
      <c r="AM2687" s="17"/>
      <c r="AN2687" s="17"/>
      <c r="AO2687" s="17"/>
      <c r="AP2687" s="28" t="str">
        <f t="shared" si="787"/>
        <v>20238</v>
      </c>
      <c r="AQ2687" s="28" t="str">
        <f t="shared" si="788"/>
        <v>20238RMB</v>
      </c>
      <c r="AR2687" s="206" t="str">
        <f t="shared" si="789"/>
        <v>YAMAHA_Mounter</v>
      </c>
      <c r="AS2687" s="22">
        <f t="shared" si="790"/>
        <v>3</v>
      </c>
      <c r="AT2687" s="24" t="str">
        <f t="shared" si="791"/>
        <v>0-3 months</v>
      </c>
      <c r="AU2687" s="22" t="s">
        <v>3240</v>
      </c>
    </row>
    <row r="2688" spans="1:47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94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92"/>
        <v>470000</v>
      </c>
      <c r="AA2688" s="13">
        <v>1.0920000000000001</v>
      </c>
      <c r="AB2688" s="21">
        <f t="shared" si="799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79"/>
        <v>22953677.784070797</v>
      </c>
      <c r="AJ2688" s="19">
        <f t="shared" si="780"/>
        <v>4168706.6744155753</v>
      </c>
      <c r="AK2688" s="20">
        <f t="shared" si="786"/>
        <v>0.18161388835511752</v>
      </c>
      <c r="AL2688" s="17"/>
      <c r="AM2688" s="17"/>
      <c r="AN2688" s="17"/>
      <c r="AO2688" s="17"/>
      <c r="AP2688" s="28" t="str">
        <f t="shared" si="787"/>
        <v>20238</v>
      </c>
      <c r="AQ2688" s="28" t="str">
        <f t="shared" si="788"/>
        <v>20238RMB</v>
      </c>
      <c r="AR2688" s="206" t="str">
        <f t="shared" si="789"/>
        <v>YAMAHA_Non_Mounter</v>
      </c>
      <c r="AS2688" s="22">
        <f t="shared" si="790"/>
        <v>3</v>
      </c>
      <c r="AT2688" s="24" t="str">
        <f t="shared" si="791"/>
        <v>0-3 months</v>
      </c>
      <c r="AU2688" s="22" t="s">
        <v>3240</v>
      </c>
    </row>
    <row r="2689" spans="1:47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94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800">IF(W2689="RMB","1.13", "1")</f>
        <v>1.13</v>
      </c>
      <c r="Z2689" s="18">
        <f t="shared" si="792"/>
        <v>1000000</v>
      </c>
      <c r="AA2689" s="13">
        <v>1.2</v>
      </c>
      <c r="AB2689" s="21">
        <f t="shared" si="799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79"/>
        <v>10844605.840707963</v>
      </c>
      <c r="AJ2689" s="19">
        <f t="shared" si="780"/>
        <v>1523130.9860707966</v>
      </c>
      <c r="AK2689" s="20">
        <f t="shared" si="786"/>
        <v>0.14045056209911663</v>
      </c>
      <c r="AL2689" s="17"/>
      <c r="AM2689" s="17"/>
      <c r="AN2689" s="17"/>
      <c r="AO2689" s="17"/>
      <c r="AP2689" s="28" t="str">
        <f t="shared" si="787"/>
        <v>20219</v>
      </c>
      <c r="AQ2689" s="28" t="str">
        <f t="shared" si="788"/>
        <v>20219RMB</v>
      </c>
      <c r="AR2689" s="206" t="str">
        <f t="shared" si="789"/>
        <v>YAMAHA_Mounter</v>
      </c>
      <c r="AS2689" s="22">
        <f t="shared" si="790"/>
        <v>7</v>
      </c>
      <c r="AT2689" s="24" t="str">
        <f t="shared" si="791"/>
        <v>&gt; 6 months</v>
      </c>
      <c r="AU2689" s="22" t="s">
        <v>3240</v>
      </c>
    </row>
    <row r="2690" spans="1:47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94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800"/>
        <v>1.13</v>
      </c>
      <c r="Z2690" s="18">
        <f t="shared" si="792"/>
        <v>1000000</v>
      </c>
      <c r="AA2690" s="13">
        <v>1.2</v>
      </c>
      <c r="AB2690" s="21">
        <f t="shared" si="799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ref="AI2690:AI2753" si="801">IF(P2690="C66 SERVICE","",SUMIFS(AB:AB,F:F,F2690,G:G,G2690,E:E,E2690))</f>
        <v>10844605.840707963</v>
      </c>
      <c r="AJ2690" s="19">
        <f t="shared" ref="AJ2690:AJ2753" si="802">IF(P2690="C66 SERVICE","",SUMIFS(AC:AC,F:F,F2690,G:G,G2690,E:E,E2690))</f>
        <v>1523130.9860707966</v>
      </c>
      <c r="AK2690" s="20">
        <f t="shared" si="786"/>
        <v>0.14045056209911663</v>
      </c>
      <c r="AL2690" s="17"/>
      <c r="AM2690" s="17"/>
      <c r="AN2690" s="17"/>
      <c r="AO2690" s="17"/>
      <c r="AP2690" s="28" t="str">
        <f t="shared" si="787"/>
        <v>20219</v>
      </c>
      <c r="AQ2690" s="28" t="str">
        <f t="shared" si="788"/>
        <v>20219RMB</v>
      </c>
      <c r="AR2690" s="206" t="str">
        <f t="shared" si="789"/>
        <v>YAMAHA_Mounter</v>
      </c>
      <c r="AS2690" s="22">
        <f t="shared" si="790"/>
        <v>7</v>
      </c>
      <c r="AT2690" s="24" t="str">
        <f t="shared" si="791"/>
        <v>&gt; 6 months</v>
      </c>
      <c r="AU2690" s="22" t="s">
        <v>3240</v>
      </c>
    </row>
    <row r="2691" spans="1:47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94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800"/>
        <v>1.13</v>
      </c>
      <c r="Z2691" s="18">
        <f t="shared" si="792"/>
        <v>832700</v>
      </c>
      <c r="AA2691" s="13">
        <v>1.2</v>
      </c>
      <c r="AB2691" s="21">
        <f t="shared" si="799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801"/>
        <v>10844605.840707963</v>
      </c>
      <c r="AJ2691" s="19">
        <f t="shared" si="802"/>
        <v>1523130.9860707966</v>
      </c>
      <c r="AK2691" s="20">
        <f t="shared" si="786"/>
        <v>0.14045056209911663</v>
      </c>
      <c r="AL2691" s="17"/>
      <c r="AM2691" s="17"/>
      <c r="AN2691" s="17"/>
      <c r="AO2691" s="17"/>
      <c r="AP2691" s="28" t="str">
        <f t="shared" si="787"/>
        <v>20219</v>
      </c>
      <c r="AQ2691" s="28" t="str">
        <f t="shared" si="788"/>
        <v>20219RMB</v>
      </c>
      <c r="AR2691" s="206" t="str">
        <f t="shared" si="789"/>
        <v>YAMAHA_Mounter</v>
      </c>
      <c r="AS2691" s="22">
        <f t="shared" si="790"/>
        <v>7</v>
      </c>
      <c r="AT2691" s="24" t="str">
        <f t="shared" si="791"/>
        <v>&gt; 6 months</v>
      </c>
      <c r="AU2691" s="22" t="s">
        <v>3240</v>
      </c>
    </row>
    <row r="2692" spans="1:47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94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800"/>
        <v>1.13</v>
      </c>
      <c r="Z2692" s="18">
        <f t="shared" si="792"/>
        <v>832700</v>
      </c>
      <c r="AA2692" s="13">
        <v>1.2</v>
      </c>
      <c r="AB2692" s="21">
        <f t="shared" si="799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801"/>
        <v>10844605.840707963</v>
      </c>
      <c r="AJ2692" s="19">
        <f t="shared" si="802"/>
        <v>1523130.9860707966</v>
      </c>
      <c r="AK2692" s="20">
        <f t="shared" si="786"/>
        <v>0.14045056209911663</v>
      </c>
      <c r="AL2692" s="17"/>
      <c r="AM2692" s="17"/>
      <c r="AN2692" s="17"/>
      <c r="AO2692" s="17"/>
      <c r="AP2692" s="28" t="str">
        <f t="shared" si="787"/>
        <v>20219</v>
      </c>
      <c r="AQ2692" s="28" t="str">
        <f t="shared" si="788"/>
        <v>20219RMB</v>
      </c>
      <c r="AR2692" s="206" t="str">
        <f t="shared" si="789"/>
        <v>YAMAHA_Mounter</v>
      </c>
      <c r="AS2692" s="22">
        <f t="shared" si="790"/>
        <v>7</v>
      </c>
      <c r="AT2692" s="24" t="str">
        <f t="shared" si="791"/>
        <v>&gt; 6 months</v>
      </c>
      <c r="AU2692" s="22" t="s">
        <v>3240</v>
      </c>
    </row>
    <row r="2693" spans="1:47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94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800"/>
        <v>1</v>
      </c>
      <c r="Z2693" s="18">
        <f t="shared" si="792"/>
        <v>19000000</v>
      </c>
      <c r="AA2693" s="13">
        <v>7.5700000000000003E-2</v>
      </c>
      <c r="AB2693" s="21">
        <f t="shared" si="799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801"/>
        <v>31097187.02948761</v>
      </c>
      <c r="AJ2693" s="19">
        <f t="shared" si="802"/>
        <v>3892353.6644401965</v>
      </c>
      <c r="AK2693" s="20">
        <f t="shared" si="786"/>
        <v>0.12516738767237401</v>
      </c>
      <c r="AL2693" s="17"/>
      <c r="AM2693" s="17"/>
      <c r="AN2693" s="17"/>
      <c r="AO2693" s="17"/>
      <c r="AP2693" s="28" t="str">
        <f t="shared" si="787"/>
        <v>20212</v>
      </c>
      <c r="AQ2693" s="28" t="str">
        <f t="shared" si="788"/>
        <v>20212JPY</v>
      </c>
      <c r="AR2693" s="206" t="str">
        <f t="shared" si="789"/>
        <v>YAMAHA_Mounter</v>
      </c>
      <c r="AS2693" s="22">
        <f t="shared" si="790"/>
        <v>2</v>
      </c>
      <c r="AT2693" s="24" t="str">
        <f t="shared" si="791"/>
        <v>0-3 months</v>
      </c>
      <c r="AU2693" s="22" t="s">
        <v>3745</v>
      </c>
    </row>
    <row r="2694" spans="1:47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94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800"/>
        <v>1</v>
      </c>
      <c r="Z2694" s="18">
        <f t="shared" si="792"/>
        <v>19000000</v>
      </c>
      <c r="AA2694" s="13">
        <v>7.5700000000000003E-2</v>
      </c>
      <c r="AB2694" s="21">
        <f t="shared" si="799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si="801"/>
        <v>31097187.02948761</v>
      </c>
      <c r="AJ2694" s="19">
        <f t="shared" si="802"/>
        <v>3892353.6644401965</v>
      </c>
      <c r="AK2694" s="20">
        <f t="shared" ref="AK2694:AK2757" si="808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09">IF(F2694="","",F2694&amp;G2694)</f>
        <v>20212</v>
      </c>
      <c r="AQ2694" s="28" t="str">
        <f t="shared" ref="AQ2694:AQ2757" si="810">IF(W2694="","",F2694&amp;G2694&amp;W2694)</f>
        <v>20212JPY</v>
      </c>
      <c r="AR2694" s="206" t="str">
        <f t="shared" ref="AR2694:AR2757" si="811">IFERROR(IF(AND(M2694="YAMAHA", R2694="C28"), "YAMAHA_Non_Mounter", IF(AND(M2694="YAMAHA", R2694="C49"), "YAMAHA_Mounter", M2694)),"")</f>
        <v>YAMAHA_Mounter</v>
      </c>
      <c r="AS2694" s="22">
        <f t="shared" ref="AS2694:AS2757" si="812">IFERROR(IF(OR(G2694="TBA", G2694=""), "", DATEDIF(DATE(B2694, C2694, 1), DATE(F2694, G2694, 1), "M")),"")</f>
        <v>2</v>
      </c>
      <c r="AT2694" s="24" t="str">
        <f t="shared" ref="AT2694:AT2757" si="813">IF(ISNUMBER(AS2694), IF(AS2694&gt;=0, IF(AS2694&lt;=3, "0-3 months", IF(AS2694&lt;=6, "4-6 months", "&gt; 6 months"))), "")</f>
        <v>0-3 months</v>
      </c>
      <c r="AU2694" s="22" t="s">
        <v>3745</v>
      </c>
    </row>
    <row r="2695" spans="1:47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94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800"/>
        <v>1</v>
      </c>
      <c r="Z2695" s="18">
        <f t="shared" si="792"/>
        <v>11000000</v>
      </c>
      <c r="AA2695" s="13">
        <v>7.5700000000000003E-2</v>
      </c>
      <c r="AB2695" s="21">
        <f t="shared" si="799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1"/>
        <v>31097187.02948761</v>
      </c>
      <c r="AJ2695" s="19">
        <f t="shared" si="802"/>
        <v>3892353.6644401965</v>
      </c>
      <c r="AK2695" s="20">
        <f t="shared" si="808"/>
        <v>0.12516738767237401</v>
      </c>
      <c r="AL2695" s="17"/>
      <c r="AM2695" s="17"/>
      <c r="AN2695" s="17"/>
      <c r="AO2695" s="17"/>
      <c r="AP2695" s="28" t="str">
        <f t="shared" si="809"/>
        <v>20212</v>
      </c>
      <c r="AQ2695" s="28" t="str">
        <f t="shared" si="810"/>
        <v>20212JPY</v>
      </c>
      <c r="AR2695" s="206" t="str">
        <f t="shared" si="811"/>
        <v>YAMAHA_Mounter</v>
      </c>
      <c r="AS2695" s="22">
        <f t="shared" si="812"/>
        <v>2</v>
      </c>
      <c r="AT2695" s="24" t="str">
        <f t="shared" si="813"/>
        <v>0-3 months</v>
      </c>
      <c r="AU2695" s="22" t="s">
        <v>3745</v>
      </c>
    </row>
    <row r="2696" spans="1:47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94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800"/>
        <v>1</v>
      </c>
      <c r="Z2696" s="18">
        <f t="shared" si="792"/>
        <v>11000000</v>
      </c>
      <c r="AA2696" s="13">
        <v>7.4499999999999997E-2</v>
      </c>
      <c r="AB2696" s="21">
        <f t="shared" si="799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1"/>
        <v>57778307.282035396</v>
      </c>
      <c r="AJ2696" s="19">
        <f t="shared" si="802"/>
        <v>7259860.7225420559</v>
      </c>
      <c r="AK2696" s="20">
        <f t="shared" si="808"/>
        <v>0.12565028406083667</v>
      </c>
      <c r="AL2696" s="17"/>
      <c r="AM2696" s="17"/>
      <c r="AN2696" s="17"/>
      <c r="AO2696" s="17"/>
      <c r="AP2696" s="28" t="str">
        <f t="shared" si="809"/>
        <v>20213</v>
      </c>
      <c r="AQ2696" s="28" t="str">
        <f t="shared" si="810"/>
        <v>20213JPY</v>
      </c>
      <c r="AR2696" s="206" t="str">
        <f t="shared" si="811"/>
        <v>YAMAHA_Mounter</v>
      </c>
      <c r="AS2696" s="22">
        <f t="shared" si="812"/>
        <v>3</v>
      </c>
      <c r="AT2696" s="24" t="str">
        <f t="shared" si="813"/>
        <v>0-3 months</v>
      </c>
      <c r="AU2696" s="22" t="s">
        <v>3745</v>
      </c>
    </row>
    <row r="2697" spans="1:47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94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92"/>
        <v>65400</v>
      </c>
      <c r="AA2697" s="13">
        <v>1.23</v>
      </c>
      <c r="AB2697" s="21">
        <f t="shared" si="799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1"/>
        <v>24398045.86045352</v>
      </c>
      <c r="AJ2697" s="19">
        <f t="shared" si="802"/>
        <v>3478417.4064663448</v>
      </c>
      <c r="AK2697" s="20">
        <f t="shared" si="808"/>
        <v>0.14256950849102498</v>
      </c>
      <c r="AL2697" s="17"/>
      <c r="AM2697" s="17"/>
      <c r="AN2697" s="17"/>
      <c r="AO2697" s="17"/>
      <c r="AP2697" s="28" t="str">
        <f t="shared" si="809"/>
        <v>20186</v>
      </c>
      <c r="AQ2697" s="28" t="str">
        <f t="shared" si="810"/>
        <v>20186RMB</v>
      </c>
      <c r="AR2697" s="206" t="str">
        <f t="shared" si="811"/>
        <v>NUTEK</v>
      </c>
      <c r="AS2697" s="22">
        <f t="shared" si="812"/>
        <v>3</v>
      </c>
      <c r="AT2697" s="24" t="str">
        <f t="shared" si="813"/>
        <v>0-3 months</v>
      </c>
      <c r="AU2697" s="22" t="s">
        <v>3240</v>
      </c>
    </row>
    <row r="2698" spans="1:47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94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814">IF(X2698="","",X2698*MAX(O2698,N2698))</f>
        <v>54700</v>
      </c>
      <c r="AA2698" s="13">
        <v>1.23</v>
      </c>
      <c r="AB2698" s="21">
        <f t="shared" si="799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1"/>
        <v>24398045.86045352</v>
      </c>
      <c r="AJ2698" s="19">
        <f t="shared" si="802"/>
        <v>3478417.4064663448</v>
      </c>
      <c r="AK2698" s="20">
        <f t="shared" si="808"/>
        <v>0.14256950849102498</v>
      </c>
      <c r="AL2698" s="17"/>
      <c r="AM2698" s="17"/>
      <c r="AN2698" s="17"/>
      <c r="AO2698" s="17"/>
      <c r="AP2698" s="28" t="str">
        <f t="shared" si="809"/>
        <v>20186</v>
      </c>
      <c r="AQ2698" s="28" t="str">
        <f t="shared" si="810"/>
        <v>20186RMB</v>
      </c>
      <c r="AR2698" s="206" t="str">
        <f t="shared" si="811"/>
        <v>NUTEK</v>
      </c>
      <c r="AS2698" s="22">
        <f t="shared" si="812"/>
        <v>3</v>
      </c>
      <c r="AT2698" s="24" t="str">
        <f t="shared" si="813"/>
        <v>0-3 months</v>
      </c>
      <c r="AU2698" s="22" t="s">
        <v>3240</v>
      </c>
    </row>
    <row r="2699" spans="1:47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94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814"/>
        <v>45300</v>
      </c>
      <c r="AA2699" s="13">
        <v>1.23</v>
      </c>
      <c r="AB2699" s="21">
        <f t="shared" si="799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1"/>
        <v>24398045.86045352</v>
      </c>
      <c r="AJ2699" s="19">
        <f t="shared" si="802"/>
        <v>3478417.4064663448</v>
      </c>
      <c r="AK2699" s="20">
        <f t="shared" si="808"/>
        <v>0.14256950849102498</v>
      </c>
      <c r="AL2699" s="17"/>
      <c r="AM2699" s="17"/>
      <c r="AN2699" s="17"/>
      <c r="AO2699" s="17"/>
      <c r="AP2699" s="28" t="str">
        <f t="shared" si="809"/>
        <v>20186</v>
      </c>
      <c r="AQ2699" s="28" t="str">
        <f t="shared" si="810"/>
        <v>20186RMB</v>
      </c>
      <c r="AR2699" s="206" t="str">
        <f t="shared" si="811"/>
        <v>NUTEK</v>
      </c>
      <c r="AS2699" s="22">
        <f t="shared" si="812"/>
        <v>3</v>
      </c>
      <c r="AT2699" s="24" t="str">
        <f t="shared" si="813"/>
        <v>0-3 months</v>
      </c>
      <c r="AU2699" s="22" t="s">
        <v>3240</v>
      </c>
    </row>
    <row r="2700" spans="1:47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94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814"/>
        <v>840000</v>
      </c>
      <c r="AA2700" s="13">
        <v>1.1100000000000001</v>
      </c>
      <c r="AB2700" s="21">
        <f t="shared" si="799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1"/>
        <v>26147030.909862842</v>
      </c>
      <c r="AJ2700" s="19">
        <f t="shared" si="802"/>
        <v>2743862.8630715334</v>
      </c>
      <c r="AK2700" s="20">
        <f t="shared" si="808"/>
        <v>0.10493974908778378</v>
      </c>
      <c r="AL2700" s="17"/>
      <c r="AM2700" s="17"/>
      <c r="AN2700" s="17"/>
      <c r="AO2700" s="17"/>
      <c r="AP2700" s="28" t="str">
        <f t="shared" si="809"/>
        <v>201911</v>
      </c>
      <c r="AQ2700" s="28" t="str">
        <f t="shared" si="810"/>
        <v>201911RMB</v>
      </c>
      <c r="AR2700" s="206" t="str">
        <f t="shared" si="811"/>
        <v>YAMAHA_Mounter</v>
      </c>
      <c r="AS2700" s="22">
        <f t="shared" si="812"/>
        <v>2</v>
      </c>
      <c r="AT2700" s="24" t="str">
        <f t="shared" si="813"/>
        <v>0-3 months</v>
      </c>
      <c r="AU2700" s="22" t="s">
        <v>3743</v>
      </c>
    </row>
    <row r="2701" spans="1:47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94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814"/>
        <v>840000</v>
      </c>
      <c r="AA2701" s="13">
        <v>1.1100000000000001</v>
      </c>
      <c r="AB2701" s="21">
        <f t="shared" si="799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1"/>
        <v>26147030.909862842</v>
      </c>
      <c r="AJ2701" s="19">
        <f t="shared" si="802"/>
        <v>2743862.8630715334</v>
      </c>
      <c r="AK2701" s="20">
        <f t="shared" si="808"/>
        <v>0.10493974908778378</v>
      </c>
      <c r="AL2701" s="17"/>
      <c r="AM2701" s="17"/>
      <c r="AN2701" s="17"/>
      <c r="AO2701" s="17"/>
      <c r="AP2701" s="28" t="str">
        <f t="shared" si="809"/>
        <v>201911</v>
      </c>
      <c r="AQ2701" s="28" t="str">
        <f t="shared" si="810"/>
        <v>201911RMB</v>
      </c>
      <c r="AR2701" s="206" t="str">
        <f t="shared" si="811"/>
        <v>YAMAHA_Mounter</v>
      </c>
      <c r="AS2701" s="22">
        <f t="shared" si="812"/>
        <v>2</v>
      </c>
      <c r="AT2701" s="24" t="str">
        <f t="shared" si="813"/>
        <v>0-3 months</v>
      </c>
      <c r="AU2701" s="22" t="s">
        <v>3743</v>
      </c>
    </row>
    <row r="2702" spans="1:47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94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814"/>
        <v>840000</v>
      </c>
      <c r="AA2702" s="13">
        <v>1.1100000000000001</v>
      </c>
      <c r="AB2702" s="21">
        <f t="shared" si="799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1"/>
        <v>26147030.909862842</v>
      </c>
      <c r="AJ2702" s="19">
        <f t="shared" si="802"/>
        <v>2743862.8630715334</v>
      </c>
      <c r="AK2702" s="20">
        <f t="shared" si="808"/>
        <v>0.10493974908778378</v>
      </c>
      <c r="AL2702" s="17"/>
      <c r="AM2702" s="17"/>
      <c r="AN2702" s="17"/>
      <c r="AO2702" s="17"/>
      <c r="AP2702" s="28" t="str">
        <f t="shared" si="809"/>
        <v>201911</v>
      </c>
      <c r="AQ2702" s="28" t="str">
        <f t="shared" si="810"/>
        <v>201911RMB</v>
      </c>
      <c r="AR2702" s="206" t="str">
        <f t="shared" si="811"/>
        <v>YAMAHA_Mounter</v>
      </c>
      <c r="AS2702" s="22">
        <f t="shared" si="812"/>
        <v>2</v>
      </c>
      <c r="AT2702" s="24" t="str">
        <f t="shared" si="813"/>
        <v>0-3 months</v>
      </c>
      <c r="AU2702" s="22" t="s">
        <v>3743</v>
      </c>
    </row>
    <row r="2703" spans="1:47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94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814"/>
        <v>840000</v>
      </c>
      <c r="AA2703" s="13">
        <v>1.1100000000000001</v>
      </c>
      <c r="AB2703" s="21">
        <f t="shared" si="799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1"/>
        <v>26147030.909862842</v>
      </c>
      <c r="AJ2703" s="19">
        <f t="shared" si="802"/>
        <v>2743862.8630715334</v>
      </c>
      <c r="AK2703" s="20">
        <f t="shared" si="808"/>
        <v>0.10493974908778378</v>
      </c>
      <c r="AL2703" s="17"/>
      <c r="AM2703" s="17"/>
      <c r="AN2703" s="17"/>
      <c r="AO2703" s="17"/>
      <c r="AP2703" s="28" t="str">
        <f t="shared" si="809"/>
        <v>201911</v>
      </c>
      <c r="AQ2703" s="28" t="str">
        <f t="shared" si="810"/>
        <v>201911RMB</v>
      </c>
      <c r="AR2703" s="206" t="str">
        <f t="shared" si="811"/>
        <v>YAMAHA_Mounter</v>
      </c>
      <c r="AS2703" s="22">
        <f t="shared" si="812"/>
        <v>2</v>
      </c>
      <c r="AT2703" s="24" t="str">
        <f t="shared" si="813"/>
        <v>0-3 months</v>
      </c>
      <c r="AU2703" s="22" t="s">
        <v>3743</v>
      </c>
    </row>
    <row r="2704" spans="1:47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94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814"/>
        <v>624100</v>
      </c>
      <c r="AA2704" s="13">
        <v>1.1100000000000001</v>
      </c>
      <c r="AB2704" s="21">
        <f t="shared" si="799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1"/>
        <v>26147030.909862842</v>
      </c>
      <c r="AJ2704" s="19">
        <f t="shared" si="802"/>
        <v>2743862.8630715334</v>
      </c>
      <c r="AK2704" s="20">
        <f t="shared" si="808"/>
        <v>0.10493974908778378</v>
      </c>
      <c r="AL2704" s="17"/>
      <c r="AM2704" s="17"/>
      <c r="AN2704" s="17"/>
      <c r="AO2704" s="17"/>
      <c r="AP2704" s="28" t="str">
        <f t="shared" si="809"/>
        <v>201911</v>
      </c>
      <c r="AQ2704" s="28" t="str">
        <f t="shared" si="810"/>
        <v>201911RMB</v>
      </c>
      <c r="AR2704" s="206" t="str">
        <f t="shared" si="811"/>
        <v>YAMAHA_Mounter</v>
      </c>
      <c r="AS2704" s="22">
        <f t="shared" si="812"/>
        <v>2</v>
      </c>
      <c r="AT2704" s="24" t="str">
        <f t="shared" si="813"/>
        <v>0-3 months</v>
      </c>
      <c r="AU2704" s="22" t="s">
        <v>3743</v>
      </c>
    </row>
    <row r="2705" spans="1:47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94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814"/>
        <v>624100</v>
      </c>
      <c r="AA2705" s="13">
        <v>1.1100000000000001</v>
      </c>
      <c r="AB2705" s="21">
        <f t="shared" si="799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1"/>
        <v>26147030.909862842</v>
      </c>
      <c r="AJ2705" s="19">
        <f t="shared" si="802"/>
        <v>2743862.8630715334</v>
      </c>
      <c r="AK2705" s="20">
        <f t="shared" si="808"/>
        <v>0.10493974908778378</v>
      </c>
      <c r="AL2705" s="17"/>
      <c r="AM2705" s="17"/>
      <c r="AN2705" s="17"/>
      <c r="AO2705" s="17"/>
      <c r="AP2705" s="28" t="str">
        <f t="shared" si="809"/>
        <v>201911</v>
      </c>
      <c r="AQ2705" s="28" t="str">
        <f t="shared" si="810"/>
        <v>201911RMB</v>
      </c>
      <c r="AR2705" s="206" t="str">
        <f t="shared" si="811"/>
        <v>YAMAHA_Mounter</v>
      </c>
      <c r="AS2705" s="22">
        <f t="shared" si="812"/>
        <v>2</v>
      </c>
      <c r="AT2705" s="24" t="str">
        <f t="shared" si="813"/>
        <v>0-3 months</v>
      </c>
      <c r="AU2705" s="22" t="s">
        <v>3743</v>
      </c>
    </row>
    <row r="2706" spans="1:47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94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814"/>
        <v>840000</v>
      </c>
      <c r="AA2706" s="13">
        <v>1.095</v>
      </c>
      <c r="AB2706" s="21">
        <f t="shared" si="799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1"/>
        <v>37599388.802345134</v>
      </c>
      <c r="AJ2706" s="19">
        <f t="shared" si="802"/>
        <v>4866784.3630338367</v>
      </c>
      <c r="AK2706" s="20">
        <f t="shared" si="808"/>
        <v>0.12943785838163113</v>
      </c>
      <c r="AL2706" s="17"/>
      <c r="AM2706" s="17"/>
      <c r="AN2706" s="17"/>
      <c r="AO2706" s="17"/>
      <c r="AP2706" s="28" t="str">
        <f t="shared" si="809"/>
        <v>20199</v>
      </c>
      <c r="AQ2706" s="28" t="str">
        <f t="shared" si="810"/>
        <v>20199RMB</v>
      </c>
      <c r="AR2706" s="206" t="str">
        <f t="shared" si="811"/>
        <v>YAMAHA_Mounter</v>
      </c>
      <c r="AS2706" s="22">
        <f t="shared" si="812"/>
        <v>0</v>
      </c>
      <c r="AT2706" s="24" t="str">
        <f t="shared" si="813"/>
        <v>0-3 months</v>
      </c>
      <c r="AU2706" s="22" t="s">
        <v>3743</v>
      </c>
    </row>
    <row r="2707" spans="1:47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94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814"/>
        <v>840000</v>
      </c>
      <c r="AA2707" s="13">
        <v>1.095</v>
      </c>
      <c r="AB2707" s="21">
        <f t="shared" si="799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1"/>
        <v>37599388.802345134</v>
      </c>
      <c r="AJ2707" s="19">
        <f t="shared" si="802"/>
        <v>4866784.3630338367</v>
      </c>
      <c r="AK2707" s="20">
        <f t="shared" si="808"/>
        <v>0.12943785838163113</v>
      </c>
      <c r="AL2707" s="17"/>
      <c r="AM2707" s="17"/>
      <c r="AN2707" s="17"/>
      <c r="AO2707" s="17"/>
      <c r="AP2707" s="28" t="str">
        <f t="shared" si="809"/>
        <v>20199</v>
      </c>
      <c r="AQ2707" s="28" t="str">
        <f t="shared" si="810"/>
        <v>20199RMB</v>
      </c>
      <c r="AR2707" s="206" t="str">
        <f t="shared" si="811"/>
        <v>YAMAHA_Mounter</v>
      </c>
      <c r="AS2707" s="22">
        <f t="shared" si="812"/>
        <v>0</v>
      </c>
      <c r="AT2707" s="24" t="str">
        <f t="shared" si="813"/>
        <v>0-3 months</v>
      </c>
      <c r="AU2707" s="22" t="s">
        <v>3743</v>
      </c>
    </row>
    <row r="2708" spans="1:47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94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814"/>
        <v>840000</v>
      </c>
      <c r="AA2708" s="13">
        <v>1.095</v>
      </c>
      <c r="AB2708" s="21">
        <f t="shared" si="799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1"/>
        <v>37599388.802345134</v>
      </c>
      <c r="AJ2708" s="19">
        <f t="shared" si="802"/>
        <v>4866784.3630338367</v>
      </c>
      <c r="AK2708" s="20">
        <f t="shared" si="808"/>
        <v>0.12943785838163113</v>
      </c>
      <c r="AL2708" s="17"/>
      <c r="AM2708" s="17"/>
      <c r="AN2708" s="17"/>
      <c r="AO2708" s="17"/>
      <c r="AP2708" s="28" t="str">
        <f t="shared" si="809"/>
        <v>20199</v>
      </c>
      <c r="AQ2708" s="28" t="str">
        <f t="shared" si="810"/>
        <v>20199RMB</v>
      </c>
      <c r="AR2708" s="206" t="str">
        <f t="shared" si="811"/>
        <v>YAMAHA_Mounter</v>
      </c>
      <c r="AS2708" s="22">
        <f t="shared" si="812"/>
        <v>0</v>
      </c>
      <c r="AT2708" s="24" t="str">
        <f t="shared" si="813"/>
        <v>0-3 months</v>
      </c>
      <c r="AU2708" s="22" t="s">
        <v>3743</v>
      </c>
    </row>
    <row r="2709" spans="1:47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94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814"/>
        <v>840000</v>
      </c>
      <c r="AA2709" s="13">
        <v>1.095</v>
      </c>
      <c r="AB2709" s="21">
        <f t="shared" si="799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1"/>
        <v>37599388.802345134</v>
      </c>
      <c r="AJ2709" s="19">
        <f t="shared" si="802"/>
        <v>4866784.3630338367</v>
      </c>
      <c r="AK2709" s="20">
        <f t="shared" si="808"/>
        <v>0.12943785838163113</v>
      </c>
      <c r="AL2709" s="17"/>
      <c r="AM2709" s="17"/>
      <c r="AN2709" s="17"/>
      <c r="AO2709" s="17"/>
      <c r="AP2709" s="28" t="str">
        <f t="shared" si="809"/>
        <v>20199</v>
      </c>
      <c r="AQ2709" s="28" t="str">
        <f t="shared" si="810"/>
        <v>20199RMB</v>
      </c>
      <c r="AR2709" s="206" t="str">
        <f t="shared" si="811"/>
        <v>YAMAHA_Mounter</v>
      </c>
      <c r="AS2709" s="22">
        <f t="shared" si="812"/>
        <v>0</v>
      </c>
      <c r="AT2709" s="24" t="str">
        <f t="shared" si="813"/>
        <v>0-3 months</v>
      </c>
      <c r="AU2709" s="22" t="s">
        <v>3743</v>
      </c>
    </row>
    <row r="2710" spans="1:47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815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814"/>
        <v>624100</v>
      </c>
      <c r="AA2710" s="13">
        <v>1.095</v>
      </c>
      <c r="AB2710" s="21">
        <f t="shared" si="799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1"/>
        <v>37599388.802345134</v>
      </c>
      <c r="AJ2710" s="19">
        <f t="shared" si="802"/>
        <v>4866784.3630338367</v>
      </c>
      <c r="AK2710" s="20">
        <f t="shared" si="808"/>
        <v>0.12943785838163113</v>
      </c>
      <c r="AL2710" s="17"/>
      <c r="AM2710" s="17"/>
      <c r="AN2710" s="17"/>
      <c r="AO2710" s="17"/>
      <c r="AP2710" s="28" t="str">
        <f t="shared" si="809"/>
        <v>20199</v>
      </c>
      <c r="AQ2710" s="28" t="str">
        <f t="shared" si="810"/>
        <v>20199RMB</v>
      </c>
      <c r="AR2710" s="206" t="str">
        <f t="shared" si="811"/>
        <v>YAMAHA_Mounter</v>
      </c>
      <c r="AS2710" s="22">
        <f t="shared" si="812"/>
        <v>0</v>
      </c>
      <c r="AT2710" s="24" t="str">
        <f t="shared" si="813"/>
        <v>0-3 months</v>
      </c>
      <c r="AU2710" s="22" t="s">
        <v>3743</v>
      </c>
    </row>
    <row r="2711" spans="1:47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815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814"/>
        <v>624100</v>
      </c>
      <c r="AA2711" s="13">
        <v>1.095</v>
      </c>
      <c r="AB2711" s="21">
        <f t="shared" si="799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1"/>
        <v>37599388.802345134</v>
      </c>
      <c r="AJ2711" s="19">
        <f t="shared" si="802"/>
        <v>4866784.3630338367</v>
      </c>
      <c r="AK2711" s="20">
        <f t="shared" si="808"/>
        <v>0.12943785838163113</v>
      </c>
      <c r="AL2711" s="17"/>
      <c r="AM2711" s="17"/>
      <c r="AN2711" s="17"/>
      <c r="AO2711" s="17"/>
      <c r="AP2711" s="28" t="str">
        <f t="shared" si="809"/>
        <v>20199</v>
      </c>
      <c r="AQ2711" s="28" t="str">
        <f t="shared" si="810"/>
        <v>20199RMB</v>
      </c>
      <c r="AR2711" s="206" t="str">
        <f t="shared" si="811"/>
        <v>YAMAHA_Mounter</v>
      </c>
      <c r="AS2711" s="22">
        <f t="shared" si="812"/>
        <v>0</v>
      </c>
      <c r="AT2711" s="24" t="str">
        <f t="shared" si="813"/>
        <v>0-3 months</v>
      </c>
      <c r="AU2711" s="22" t="s">
        <v>3743</v>
      </c>
    </row>
    <row r="2712" spans="1:47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815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816">IF(W2712="RMB","1.13", "1")</f>
        <v>1</v>
      </c>
      <c r="Z2712" s="18">
        <f t="shared" si="814"/>
        <v>7000000</v>
      </c>
      <c r="AA2712" s="13">
        <v>7.4499999999999997E-2</v>
      </c>
      <c r="AB2712" s="21">
        <f t="shared" si="799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1"/>
        <v>57778307.282035396</v>
      </c>
      <c r="AJ2712" s="19">
        <f t="shared" si="802"/>
        <v>7259860.7225420559</v>
      </c>
      <c r="AK2712" s="20">
        <f t="shared" si="808"/>
        <v>0.12565028406083667</v>
      </c>
      <c r="AL2712" s="17"/>
      <c r="AM2712" s="17"/>
      <c r="AN2712" s="17"/>
      <c r="AO2712" s="17"/>
      <c r="AP2712" s="28" t="str">
        <f t="shared" si="809"/>
        <v>20213</v>
      </c>
      <c r="AQ2712" s="28" t="str">
        <f t="shared" si="810"/>
        <v>20213JPY</v>
      </c>
      <c r="AR2712" s="206" t="str">
        <f t="shared" si="811"/>
        <v>YAMAHA_Mounter</v>
      </c>
      <c r="AS2712" s="22">
        <f t="shared" si="812"/>
        <v>4</v>
      </c>
      <c r="AT2712" s="24" t="str">
        <f t="shared" si="813"/>
        <v>4-6 months</v>
      </c>
      <c r="AU2712" s="22" t="s">
        <v>3744</v>
      </c>
    </row>
    <row r="2713" spans="1:47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815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816"/>
        <v>1.13</v>
      </c>
      <c r="Z2713" s="18">
        <f t="shared" si="814"/>
        <v>900000</v>
      </c>
      <c r="AA2713" s="13">
        <v>1.1299999999999999</v>
      </c>
      <c r="AB2713" s="21">
        <f t="shared" si="799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1"/>
        <v>33543315.897345133</v>
      </c>
      <c r="AJ2713" s="19">
        <f t="shared" si="802"/>
        <v>4706169.3252984071</v>
      </c>
      <c r="AK2713" s="20">
        <f t="shared" si="808"/>
        <v>0.14030125523967318</v>
      </c>
      <c r="AL2713" s="17"/>
      <c r="AM2713" s="17"/>
      <c r="AN2713" s="17"/>
      <c r="AO2713" s="17"/>
      <c r="AP2713" s="28" t="str">
        <f t="shared" si="809"/>
        <v>20233</v>
      </c>
      <c r="AQ2713" s="28" t="str">
        <f t="shared" si="810"/>
        <v>20233RMB</v>
      </c>
      <c r="AR2713" s="206" t="str">
        <f t="shared" si="811"/>
        <v>YAMAHA_Mounter</v>
      </c>
      <c r="AS2713" s="22">
        <f t="shared" si="812"/>
        <v>0</v>
      </c>
      <c r="AT2713" s="24" t="str">
        <f t="shared" si="813"/>
        <v>0-3 months</v>
      </c>
      <c r="AU2713" s="22" t="s">
        <v>3750</v>
      </c>
    </row>
    <row r="2714" spans="1:47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815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816"/>
        <v>1.13</v>
      </c>
      <c r="Z2714" s="18">
        <f t="shared" si="814"/>
        <v>690000</v>
      </c>
      <c r="AA2714" s="13">
        <v>1.135</v>
      </c>
      <c r="AB2714" s="21">
        <f t="shared" si="799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1"/>
        <v>33543315.897345133</v>
      </c>
      <c r="AJ2714" s="19">
        <f t="shared" si="802"/>
        <v>4706169.3252984071</v>
      </c>
      <c r="AK2714" s="20">
        <f t="shared" si="808"/>
        <v>0.14030125523967318</v>
      </c>
      <c r="AL2714" s="17"/>
      <c r="AM2714" s="17"/>
      <c r="AN2714" s="17"/>
      <c r="AO2714" s="17"/>
      <c r="AP2714" s="28" t="str">
        <f t="shared" si="809"/>
        <v>20233</v>
      </c>
      <c r="AQ2714" s="28" t="str">
        <f t="shared" si="810"/>
        <v>20233RMB</v>
      </c>
      <c r="AR2714" s="206" t="str">
        <f t="shared" si="811"/>
        <v>YAMAHA_Mounter</v>
      </c>
      <c r="AS2714" s="22">
        <f t="shared" si="812"/>
        <v>0</v>
      </c>
      <c r="AT2714" s="24" t="str">
        <f t="shared" si="813"/>
        <v>0-3 months</v>
      </c>
      <c r="AU2714" s="22" t="s">
        <v>3750</v>
      </c>
    </row>
    <row r="2715" spans="1:47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815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816"/>
        <v>1.13</v>
      </c>
      <c r="Z2715" s="18">
        <f t="shared" si="814"/>
        <v>900000</v>
      </c>
      <c r="AA2715" s="13">
        <v>1.081</v>
      </c>
      <c r="AB2715" s="21">
        <f t="shared" si="799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1"/>
        <v>15951056.41591504</v>
      </c>
      <c r="AJ2715" s="19">
        <f t="shared" si="802"/>
        <v>1966354.6022462982</v>
      </c>
      <c r="AK2715" s="20">
        <f t="shared" si="808"/>
        <v>0.12327425538313459</v>
      </c>
      <c r="AL2715" s="17"/>
      <c r="AM2715" s="17"/>
      <c r="AN2715" s="17"/>
      <c r="AO2715" s="17"/>
      <c r="AP2715" s="28" t="str">
        <f t="shared" si="809"/>
        <v>20237</v>
      </c>
      <c r="AQ2715" s="28" t="str">
        <f t="shared" si="810"/>
        <v>20237RMB</v>
      </c>
      <c r="AR2715" s="206" t="str">
        <f t="shared" si="811"/>
        <v>YAMAHA_Mounter</v>
      </c>
      <c r="AS2715" s="22">
        <f t="shared" si="812"/>
        <v>4</v>
      </c>
      <c r="AT2715" s="24" t="str">
        <f t="shared" si="813"/>
        <v>4-6 months</v>
      </c>
      <c r="AU2715" s="22" t="s">
        <v>3750</v>
      </c>
    </row>
    <row r="2716" spans="1:47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815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816"/>
        <v>1.13</v>
      </c>
      <c r="Z2716" s="18">
        <f t="shared" si="814"/>
        <v>690000</v>
      </c>
      <c r="AA2716" s="13">
        <v>1.081</v>
      </c>
      <c r="AB2716" s="21">
        <f t="shared" si="799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1"/>
        <v>15951056.41591504</v>
      </c>
      <c r="AJ2716" s="19">
        <f t="shared" si="802"/>
        <v>1966354.6022462982</v>
      </c>
      <c r="AK2716" s="20">
        <f t="shared" si="808"/>
        <v>0.12327425538313459</v>
      </c>
      <c r="AL2716" s="17"/>
      <c r="AM2716" s="17"/>
      <c r="AN2716" s="17"/>
      <c r="AO2716" s="17"/>
      <c r="AP2716" s="28" t="str">
        <f t="shared" si="809"/>
        <v>20237</v>
      </c>
      <c r="AQ2716" s="28" t="str">
        <f t="shared" si="810"/>
        <v>20237RMB</v>
      </c>
      <c r="AR2716" s="206" t="str">
        <f t="shared" si="811"/>
        <v>YAMAHA_Mounter</v>
      </c>
      <c r="AS2716" s="22">
        <f t="shared" si="812"/>
        <v>4</v>
      </c>
      <c r="AT2716" s="24" t="str">
        <f t="shared" si="813"/>
        <v>4-6 months</v>
      </c>
      <c r="AU2716" s="22" t="s">
        <v>3750</v>
      </c>
    </row>
    <row r="2717" spans="1:47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815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816"/>
        <v>1.13</v>
      </c>
      <c r="Z2717" s="18">
        <f t="shared" si="814"/>
        <v>500000</v>
      </c>
      <c r="AA2717" s="13">
        <v>1.175</v>
      </c>
      <c r="AB2717" s="21">
        <f t="shared" si="799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1"/>
        <v>48763143.537654862</v>
      </c>
      <c r="AJ2717" s="19">
        <f t="shared" si="802"/>
        <v>5924029.9702154724</v>
      </c>
      <c r="AK2717" s="20">
        <f t="shared" si="808"/>
        <v>0.1214858095774925</v>
      </c>
      <c r="AL2717" s="17"/>
      <c r="AM2717" s="17"/>
      <c r="AN2717" s="17"/>
      <c r="AO2717" s="17"/>
      <c r="AP2717" s="28" t="str">
        <f t="shared" si="809"/>
        <v>202012</v>
      </c>
      <c r="AQ2717" s="28" t="str">
        <f t="shared" si="810"/>
        <v>202012RMB</v>
      </c>
      <c r="AR2717" s="206" t="str">
        <f t="shared" si="811"/>
        <v>YAMAHA_Mounter</v>
      </c>
      <c r="AS2717" s="22">
        <f t="shared" si="812"/>
        <v>3</v>
      </c>
      <c r="AT2717" s="24" t="str">
        <f t="shared" si="813"/>
        <v>0-3 months</v>
      </c>
      <c r="AU2717" s="22" t="s">
        <v>3743</v>
      </c>
    </row>
    <row r="2718" spans="1:47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805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815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816"/>
        <v>1.13</v>
      </c>
      <c r="Z2718" s="18">
        <f t="shared" si="814"/>
        <v>850000</v>
      </c>
      <c r="AA2718" s="13">
        <v>1.21</v>
      </c>
      <c r="AB2718" s="21">
        <f t="shared" si="799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1"/>
        <v>499582152.5142017</v>
      </c>
      <c r="AJ2718" s="19">
        <f t="shared" si="802"/>
        <v>59520528.679470733</v>
      </c>
      <c r="AK2718" s="20">
        <f t="shared" si="808"/>
        <v>0.11914062257814291</v>
      </c>
      <c r="AL2718" s="17"/>
      <c r="AM2718" s="17"/>
      <c r="AN2718" s="17"/>
      <c r="AO2718" s="17"/>
      <c r="AP2718" s="28" t="str">
        <f t="shared" si="809"/>
        <v>CancelCancel</v>
      </c>
      <c r="AQ2718" s="28" t="str">
        <f t="shared" si="810"/>
        <v>CancelCancelRMB</v>
      </c>
      <c r="AR2718" s="206" t="str">
        <f t="shared" si="811"/>
        <v>YAMAHA_Mounter</v>
      </c>
      <c r="AS2718" s="22" t="str">
        <f t="shared" si="812"/>
        <v/>
      </c>
      <c r="AT2718" s="24" t="str">
        <f t="shared" si="813"/>
        <v/>
      </c>
      <c r="AU2718" s="22" t="s">
        <v>3750</v>
      </c>
    </row>
    <row r="2719" spans="1:47" s="12" customFormat="1">
      <c r="A2719" s="33" t="str">
        <f t="shared" si="803"/>
        <v>cancel</v>
      </c>
      <c r="B2719" s="152"/>
      <c r="C2719" s="152" t="s">
        <v>185</v>
      </c>
      <c r="D2719" s="33" t="str">
        <f t="shared" si="804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805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815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816"/>
        <v>1</v>
      </c>
      <c r="Z2719" s="18">
        <f t="shared" si="814"/>
        <v>12300000</v>
      </c>
      <c r="AA2719" s="13">
        <v>6.25E-2</v>
      </c>
      <c r="AB2719" s="21">
        <f t="shared" si="799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1"/>
        <v>499582152.5142017</v>
      </c>
      <c r="AJ2719" s="19">
        <f t="shared" si="802"/>
        <v>59520528.679470733</v>
      </c>
      <c r="AK2719" s="20">
        <f t="shared" si="808"/>
        <v>0.11914062257814291</v>
      </c>
      <c r="AL2719" s="17"/>
      <c r="AM2719" s="17"/>
      <c r="AN2719" s="17"/>
      <c r="AO2719" s="17"/>
      <c r="AP2719" s="28" t="str">
        <f t="shared" si="809"/>
        <v>CancelCancel</v>
      </c>
      <c r="AQ2719" s="28" t="str">
        <f t="shared" si="810"/>
        <v>CancelCancelJPY</v>
      </c>
      <c r="AR2719" s="206" t="str">
        <f t="shared" si="811"/>
        <v>YAMAHA_Mounter</v>
      </c>
      <c r="AS2719" s="22" t="str">
        <f t="shared" si="812"/>
        <v/>
      </c>
      <c r="AT2719" s="24" t="str">
        <f t="shared" si="813"/>
        <v/>
      </c>
      <c r="AU2719" s="22" t="s">
        <v>3744</v>
      </c>
    </row>
    <row r="2720" spans="1:47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815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814"/>
        <v>9398800</v>
      </c>
      <c r="AA2720" s="22">
        <v>5.2299999999999999E-2</v>
      </c>
      <c r="AB2720" s="197">
        <f t="shared" si="799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1"/>
        <v>25354039.366920356</v>
      </c>
      <c r="AJ2720" s="200">
        <f t="shared" si="802"/>
        <v>3028631.2816309328</v>
      </c>
      <c r="AK2720" s="201">
        <f t="shared" si="808"/>
        <v>0.11945360018579192</v>
      </c>
      <c r="AL2720" s="24"/>
      <c r="AM2720" s="24"/>
      <c r="AN2720" s="24"/>
      <c r="AO2720" s="24"/>
      <c r="AP2720" s="105" t="str">
        <f t="shared" si="809"/>
        <v>20248</v>
      </c>
      <c r="AQ2720" s="28" t="str">
        <f t="shared" si="810"/>
        <v>20248JPY</v>
      </c>
      <c r="AR2720" s="206" t="str">
        <f t="shared" si="811"/>
        <v>YAMAHA_Mounter</v>
      </c>
      <c r="AS2720" s="22">
        <f t="shared" si="812"/>
        <v>3</v>
      </c>
      <c r="AT2720" s="24" t="str">
        <f t="shared" si="813"/>
        <v>0-3 months</v>
      </c>
      <c r="AU2720" s="22" t="s">
        <v>3744</v>
      </c>
    </row>
    <row r="2721" spans="1:47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815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814"/>
        <v>11000000</v>
      </c>
      <c r="AA2721" s="13">
        <v>7.2700000000000001E-2</v>
      </c>
      <c r="AB2721" s="21">
        <f t="shared" si="799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1"/>
        <v>14005204.685000001</v>
      </c>
      <c r="AJ2721" s="19">
        <f t="shared" si="802"/>
        <v>1436995.246084</v>
      </c>
      <c r="AK2721" s="20">
        <f t="shared" si="808"/>
        <v>0.10260437304590525</v>
      </c>
      <c r="AL2721" s="17"/>
      <c r="AM2721" s="17"/>
      <c r="AN2721" s="17"/>
      <c r="AO2721" s="17"/>
      <c r="AP2721" s="28" t="str">
        <f t="shared" si="809"/>
        <v>20202</v>
      </c>
      <c r="AQ2721" s="28" t="str">
        <f t="shared" si="810"/>
        <v>20202JPY</v>
      </c>
      <c r="AR2721" s="206" t="str">
        <f t="shared" si="811"/>
        <v>YAMAHA_Mounter</v>
      </c>
      <c r="AS2721" s="22">
        <f t="shared" si="812"/>
        <v>2</v>
      </c>
      <c r="AT2721" s="24" t="str">
        <f t="shared" si="813"/>
        <v>0-3 months</v>
      </c>
      <c r="AU2721" s="22" t="s">
        <v>3745</v>
      </c>
    </row>
    <row r="2722" spans="1:47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815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814"/>
        <v>11000000</v>
      </c>
      <c r="AA2722" s="13">
        <v>7.2700000000000001E-2</v>
      </c>
      <c r="AB2722" s="21">
        <f t="shared" si="799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1"/>
        <v>14005204.685000001</v>
      </c>
      <c r="AJ2722" s="19">
        <f t="shared" si="802"/>
        <v>1436995.246084</v>
      </c>
      <c r="AK2722" s="20">
        <f t="shared" si="808"/>
        <v>0.10260437304590525</v>
      </c>
      <c r="AL2722" s="17"/>
      <c r="AM2722" s="17"/>
      <c r="AN2722" s="17"/>
      <c r="AO2722" s="17"/>
      <c r="AP2722" s="28" t="str">
        <f t="shared" si="809"/>
        <v>20202</v>
      </c>
      <c r="AQ2722" s="28" t="str">
        <f t="shared" si="810"/>
        <v>20202JPY</v>
      </c>
      <c r="AR2722" s="206" t="str">
        <f t="shared" si="811"/>
        <v>YAMAHA_Mounter</v>
      </c>
      <c r="AS2722" s="22">
        <f t="shared" si="812"/>
        <v>2</v>
      </c>
      <c r="AT2722" s="24" t="str">
        <f t="shared" si="813"/>
        <v>0-3 months</v>
      </c>
      <c r="AU2722" s="22" t="s">
        <v>3745</v>
      </c>
    </row>
    <row r="2723" spans="1:47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815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814"/>
        <v>11000000</v>
      </c>
      <c r="AA2723" s="13">
        <v>7.2700000000000001E-2</v>
      </c>
      <c r="AB2723" s="21">
        <f t="shared" si="799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1"/>
        <v>14005204.685000001</v>
      </c>
      <c r="AJ2723" s="19">
        <f t="shared" si="802"/>
        <v>1436995.246084</v>
      </c>
      <c r="AK2723" s="20">
        <f t="shared" si="808"/>
        <v>0.10260437304590525</v>
      </c>
      <c r="AL2723" s="17"/>
      <c r="AM2723" s="17"/>
      <c r="AN2723" s="17"/>
      <c r="AO2723" s="17"/>
      <c r="AP2723" s="28" t="str">
        <f t="shared" si="809"/>
        <v>20202</v>
      </c>
      <c r="AQ2723" s="28" t="str">
        <f t="shared" si="810"/>
        <v>20202JPY</v>
      </c>
      <c r="AR2723" s="206" t="str">
        <f t="shared" si="811"/>
        <v>YAMAHA_Mounter</v>
      </c>
      <c r="AS2723" s="22">
        <f t="shared" si="812"/>
        <v>2</v>
      </c>
      <c r="AT2723" s="24" t="str">
        <f t="shared" si="813"/>
        <v>0-3 months</v>
      </c>
      <c r="AU2723" s="22" t="s">
        <v>3745</v>
      </c>
    </row>
    <row r="2724" spans="1:47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815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814"/>
        <v>11000000</v>
      </c>
      <c r="AA2724" s="13">
        <v>7.2700000000000001E-2</v>
      </c>
      <c r="AB2724" s="21">
        <f t="shared" si="799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1"/>
        <v>14005204.685000001</v>
      </c>
      <c r="AJ2724" s="19">
        <f t="shared" si="802"/>
        <v>1436995.246084</v>
      </c>
      <c r="AK2724" s="20">
        <f t="shared" si="808"/>
        <v>0.10260437304590525</v>
      </c>
      <c r="AL2724" s="17"/>
      <c r="AM2724" s="17"/>
      <c r="AN2724" s="17"/>
      <c r="AO2724" s="17"/>
      <c r="AP2724" s="28" t="str">
        <f t="shared" si="809"/>
        <v>20202</v>
      </c>
      <c r="AQ2724" s="28" t="str">
        <f t="shared" si="810"/>
        <v>20202JPY</v>
      </c>
      <c r="AR2724" s="206" t="str">
        <f t="shared" si="811"/>
        <v>YAMAHA_Mounter</v>
      </c>
      <c r="AS2724" s="22">
        <f t="shared" si="812"/>
        <v>2</v>
      </c>
      <c r="AT2724" s="24" t="str">
        <f t="shared" si="813"/>
        <v>0-3 months</v>
      </c>
      <c r="AU2724" s="22" t="s">
        <v>3745</v>
      </c>
    </row>
    <row r="2725" spans="1:47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815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814"/>
        <v>11000000</v>
      </c>
      <c r="AA2725" s="13">
        <v>7.2700000000000001E-2</v>
      </c>
      <c r="AB2725" s="21">
        <f t="shared" si="799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1"/>
        <v>14005204.685000001</v>
      </c>
      <c r="AJ2725" s="19">
        <f t="shared" si="802"/>
        <v>1436995.246084</v>
      </c>
      <c r="AK2725" s="20">
        <f t="shared" si="808"/>
        <v>0.10260437304590525</v>
      </c>
      <c r="AL2725" s="17"/>
      <c r="AM2725" s="17"/>
      <c r="AN2725" s="17"/>
      <c r="AO2725" s="17"/>
      <c r="AP2725" s="28" t="str">
        <f t="shared" si="809"/>
        <v>20202</v>
      </c>
      <c r="AQ2725" s="28" t="str">
        <f t="shared" si="810"/>
        <v>20202JPY</v>
      </c>
      <c r="AR2725" s="206" t="str">
        <f t="shared" si="811"/>
        <v>YAMAHA_Mounter</v>
      </c>
      <c r="AS2725" s="22">
        <f t="shared" si="812"/>
        <v>2</v>
      </c>
      <c r="AT2725" s="24" t="str">
        <f t="shared" si="813"/>
        <v>0-3 months</v>
      </c>
      <c r="AU2725" s="22" t="s">
        <v>3745</v>
      </c>
    </row>
    <row r="2726" spans="1:47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815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814"/>
        <v>7722000</v>
      </c>
      <c r="AA2726" s="13">
        <v>7.2700000000000001E-2</v>
      </c>
      <c r="AB2726" s="21">
        <f t="shared" si="799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1"/>
        <v>14005204.685000001</v>
      </c>
      <c r="AJ2726" s="19">
        <f t="shared" si="802"/>
        <v>1436995.246084</v>
      </c>
      <c r="AK2726" s="20">
        <f t="shared" si="808"/>
        <v>0.10260437304590525</v>
      </c>
      <c r="AL2726" s="17"/>
      <c r="AM2726" s="17"/>
      <c r="AN2726" s="17"/>
      <c r="AO2726" s="17"/>
      <c r="AP2726" s="28" t="str">
        <f t="shared" si="809"/>
        <v>20202</v>
      </c>
      <c r="AQ2726" s="28" t="str">
        <f t="shared" si="810"/>
        <v>20202JPY</v>
      </c>
      <c r="AR2726" s="206" t="str">
        <f t="shared" si="811"/>
        <v>YAMAHA_Mounter</v>
      </c>
      <c r="AS2726" s="22">
        <f t="shared" si="812"/>
        <v>2</v>
      </c>
      <c r="AT2726" s="24" t="str">
        <f t="shared" si="813"/>
        <v>0-3 months</v>
      </c>
      <c r="AU2726" s="22" t="s">
        <v>3745</v>
      </c>
    </row>
    <row r="2727" spans="1:47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815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814"/>
        <v>7722000</v>
      </c>
      <c r="AA2727" s="13">
        <v>7.2700000000000001E-2</v>
      </c>
      <c r="AB2727" s="21">
        <f t="shared" si="799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1"/>
        <v>14005204.685000001</v>
      </c>
      <c r="AJ2727" s="19">
        <f t="shared" si="802"/>
        <v>1436995.246084</v>
      </c>
      <c r="AK2727" s="20">
        <f t="shared" si="808"/>
        <v>0.10260437304590525</v>
      </c>
      <c r="AL2727" s="17"/>
      <c r="AM2727" s="17"/>
      <c r="AN2727" s="17"/>
      <c r="AO2727" s="17"/>
      <c r="AP2727" s="28" t="str">
        <f t="shared" si="809"/>
        <v>20202</v>
      </c>
      <c r="AQ2727" s="28" t="str">
        <f t="shared" si="810"/>
        <v>20202JPY</v>
      </c>
      <c r="AR2727" s="206" t="str">
        <f t="shared" si="811"/>
        <v>YAMAHA_Mounter</v>
      </c>
      <c r="AS2727" s="22">
        <f t="shared" si="812"/>
        <v>2</v>
      </c>
      <c r="AT2727" s="24" t="str">
        <f t="shared" si="813"/>
        <v>0-3 months</v>
      </c>
      <c r="AU2727" s="22" t="s">
        <v>3745</v>
      </c>
    </row>
    <row r="2728" spans="1:47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815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814"/>
        <v>7722000</v>
      </c>
      <c r="AA2728" s="13">
        <v>7.2700000000000001E-2</v>
      </c>
      <c r="AB2728" s="21">
        <f t="shared" si="799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1"/>
        <v>14005204.685000001</v>
      </c>
      <c r="AJ2728" s="19">
        <f t="shared" si="802"/>
        <v>1436995.246084</v>
      </c>
      <c r="AK2728" s="20">
        <f t="shared" si="808"/>
        <v>0.10260437304590525</v>
      </c>
      <c r="AL2728" s="17"/>
      <c r="AM2728" s="17"/>
      <c r="AN2728" s="17"/>
      <c r="AO2728" s="17"/>
      <c r="AP2728" s="28" t="str">
        <f t="shared" si="809"/>
        <v>20202</v>
      </c>
      <c r="AQ2728" s="28" t="str">
        <f t="shared" si="810"/>
        <v>20202JPY</v>
      </c>
      <c r="AR2728" s="206" t="str">
        <f t="shared" si="811"/>
        <v>YAMAHA_Mounter</v>
      </c>
      <c r="AS2728" s="22">
        <f t="shared" si="812"/>
        <v>2</v>
      </c>
      <c r="AT2728" s="24" t="str">
        <f t="shared" si="813"/>
        <v>0-3 months</v>
      </c>
      <c r="AU2728" s="22" t="s">
        <v>3745</v>
      </c>
    </row>
    <row r="2729" spans="1:47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815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814"/>
        <v>7722000</v>
      </c>
      <c r="AA2729" s="13">
        <v>7.2700000000000001E-2</v>
      </c>
      <c r="AB2729" s="21">
        <f t="shared" si="799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1"/>
        <v>14005204.685000001</v>
      </c>
      <c r="AJ2729" s="19">
        <f t="shared" si="802"/>
        <v>1436995.246084</v>
      </c>
      <c r="AK2729" s="20">
        <f t="shared" si="808"/>
        <v>0.10260437304590525</v>
      </c>
      <c r="AL2729" s="17"/>
      <c r="AM2729" s="17"/>
      <c r="AN2729" s="17"/>
      <c r="AO2729" s="17"/>
      <c r="AP2729" s="28" t="str">
        <f t="shared" si="809"/>
        <v>20202</v>
      </c>
      <c r="AQ2729" s="28" t="str">
        <f t="shared" si="810"/>
        <v>20202JPY</v>
      </c>
      <c r="AR2729" s="206" t="str">
        <f t="shared" si="811"/>
        <v>YAMAHA_Mounter</v>
      </c>
      <c r="AS2729" s="22">
        <f t="shared" si="812"/>
        <v>2</v>
      </c>
      <c r="AT2729" s="24" t="str">
        <f t="shared" si="813"/>
        <v>0-3 months</v>
      </c>
      <c r="AU2729" s="22" t="s">
        <v>3745</v>
      </c>
    </row>
    <row r="2730" spans="1:47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815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814"/>
        <v>7722000</v>
      </c>
      <c r="AA2730" s="13">
        <v>7.2700000000000001E-2</v>
      </c>
      <c r="AB2730" s="21">
        <f t="shared" si="799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1"/>
        <v>14005204.685000001</v>
      </c>
      <c r="AJ2730" s="19">
        <f t="shared" si="802"/>
        <v>1436995.246084</v>
      </c>
      <c r="AK2730" s="20">
        <f t="shared" si="808"/>
        <v>0.10260437304590525</v>
      </c>
      <c r="AL2730" s="17"/>
      <c r="AM2730" s="17"/>
      <c r="AN2730" s="17"/>
      <c r="AO2730" s="17"/>
      <c r="AP2730" s="28" t="str">
        <f t="shared" si="809"/>
        <v>20202</v>
      </c>
      <c r="AQ2730" s="28" t="str">
        <f t="shared" si="810"/>
        <v>20202JPY</v>
      </c>
      <c r="AR2730" s="206" t="str">
        <f t="shared" si="811"/>
        <v>YAMAHA_Mounter</v>
      </c>
      <c r="AS2730" s="22">
        <f t="shared" si="812"/>
        <v>2</v>
      </c>
      <c r="AT2730" s="24" t="str">
        <f t="shared" si="813"/>
        <v>0-3 months</v>
      </c>
      <c r="AU2730" s="22" t="s">
        <v>3745</v>
      </c>
    </row>
    <row r="2731" spans="1:47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815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814"/>
        <v>7722000</v>
      </c>
      <c r="AA2731" s="13">
        <v>7.2700000000000001E-2</v>
      </c>
      <c r="AB2731" s="21">
        <f t="shared" si="799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1"/>
        <v>14005204.685000001</v>
      </c>
      <c r="AJ2731" s="19">
        <f t="shared" si="802"/>
        <v>1436995.246084</v>
      </c>
      <c r="AK2731" s="20">
        <f t="shared" si="808"/>
        <v>0.10260437304590525</v>
      </c>
      <c r="AL2731" s="17"/>
      <c r="AM2731" s="17"/>
      <c r="AN2731" s="17"/>
      <c r="AO2731" s="17"/>
      <c r="AP2731" s="28" t="str">
        <f t="shared" si="809"/>
        <v>20202</v>
      </c>
      <c r="AQ2731" s="28" t="str">
        <f t="shared" si="810"/>
        <v>20202JPY</v>
      </c>
      <c r="AR2731" s="206" t="str">
        <f t="shared" si="811"/>
        <v>YAMAHA_Mounter</v>
      </c>
      <c r="AS2731" s="22">
        <f t="shared" si="812"/>
        <v>2</v>
      </c>
      <c r="AT2731" s="24" t="str">
        <f t="shared" si="813"/>
        <v>0-3 months</v>
      </c>
      <c r="AU2731" s="22" t="s">
        <v>3745</v>
      </c>
    </row>
    <row r="2732" spans="1:47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815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814"/>
        <v>7448000</v>
      </c>
      <c r="AA2732" s="13">
        <v>7.6100000000000001E-2</v>
      </c>
      <c r="AB2732" s="21">
        <f t="shared" si="799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1"/>
        <v>44078731.611185849</v>
      </c>
      <c r="AJ2732" s="19">
        <f t="shared" si="802"/>
        <v>5508173.2163771465</v>
      </c>
      <c r="AK2732" s="20">
        <f t="shared" si="808"/>
        <v>0.12496215328889679</v>
      </c>
      <c r="AL2732" s="17"/>
      <c r="AM2732" s="17"/>
      <c r="AN2732" s="17"/>
      <c r="AO2732" s="17"/>
      <c r="AP2732" s="28" t="str">
        <f t="shared" si="809"/>
        <v>202011</v>
      </c>
      <c r="AQ2732" s="28" t="str">
        <f t="shared" si="810"/>
        <v>202011JPY</v>
      </c>
      <c r="AR2732" s="206" t="str">
        <f t="shared" si="811"/>
        <v>YAMAHA_Mounter</v>
      </c>
      <c r="AS2732" s="22">
        <f t="shared" si="812"/>
        <v>2</v>
      </c>
      <c r="AT2732" s="24" t="str">
        <f t="shared" si="813"/>
        <v>0-3 months</v>
      </c>
      <c r="AU2732" s="22" t="s">
        <v>3744</v>
      </c>
    </row>
    <row r="2733" spans="1:47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815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814"/>
        <v>7448000</v>
      </c>
      <c r="AA2733" s="13">
        <v>7.6100000000000001E-2</v>
      </c>
      <c r="AB2733" s="21">
        <f t="shared" si="799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1"/>
        <v>44078731.611185849</v>
      </c>
      <c r="AJ2733" s="19">
        <f t="shared" si="802"/>
        <v>5508173.2163771465</v>
      </c>
      <c r="AK2733" s="20">
        <f t="shared" si="808"/>
        <v>0.12496215328889679</v>
      </c>
      <c r="AL2733" s="17"/>
      <c r="AM2733" s="17"/>
      <c r="AN2733" s="17"/>
      <c r="AO2733" s="17"/>
      <c r="AP2733" s="28" t="str">
        <f t="shared" si="809"/>
        <v>202011</v>
      </c>
      <c r="AQ2733" s="28" t="str">
        <f t="shared" si="810"/>
        <v>202011JPY</v>
      </c>
      <c r="AR2733" s="206" t="str">
        <f t="shared" si="811"/>
        <v>YAMAHA_Mounter</v>
      </c>
      <c r="AS2733" s="22">
        <f t="shared" si="812"/>
        <v>2</v>
      </c>
      <c r="AT2733" s="24" t="str">
        <f t="shared" si="813"/>
        <v>0-3 months</v>
      </c>
      <c r="AU2733" s="22" t="s">
        <v>3744</v>
      </c>
    </row>
    <row r="2734" spans="1:47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815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814"/>
        <v>6300000</v>
      </c>
      <c r="AA2734" s="13">
        <v>7.6799999999999993E-2</v>
      </c>
      <c r="AB2734" s="21">
        <f t="shared" si="799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1"/>
        <v>45803245.025628321</v>
      </c>
      <c r="AJ2734" s="19">
        <f t="shared" si="802"/>
        <v>5664636.2584379362</v>
      </c>
      <c r="AK2734" s="20">
        <f t="shared" si="808"/>
        <v>0.12367325186825515</v>
      </c>
      <c r="AL2734" s="17"/>
      <c r="AM2734" s="17"/>
      <c r="AN2734" s="17"/>
      <c r="AO2734" s="17"/>
      <c r="AP2734" s="28" t="str">
        <f t="shared" si="809"/>
        <v>20211</v>
      </c>
      <c r="AQ2734" s="28" t="str">
        <f t="shared" si="810"/>
        <v>20211JPY</v>
      </c>
      <c r="AR2734" s="206" t="str">
        <f t="shared" si="811"/>
        <v>YAMAHA_Mounter</v>
      </c>
      <c r="AS2734" s="22">
        <f t="shared" si="812"/>
        <v>3</v>
      </c>
      <c r="AT2734" s="24" t="str">
        <f t="shared" si="813"/>
        <v>0-3 months</v>
      </c>
      <c r="AU2734" s="22" t="s">
        <v>3745</v>
      </c>
    </row>
    <row r="2735" spans="1:47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815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814"/>
        <v>6300000</v>
      </c>
      <c r="AA2735" s="13">
        <v>7.6799999999999993E-2</v>
      </c>
      <c r="AB2735" s="21">
        <f t="shared" si="799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1"/>
        <v>45803245.025628321</v>
      </c>
      <c r="AJ2735" s="19">
        <f t="shared" si="802"/>
        <v>5664636.2584379362</v>
      </c>
      <c r="AK2735" s="20">
        <f t="shared" si="808"/>
        <v>0.12367325186825515</v>
      </c>
      <c r="AL2735" s="17"/>
      <c r="AM2735" s="17"/>
      <c r="AN2735" s="17"/>
      <c r="AO2735" s="17"/>
      <c r="AP2735" s="28" t="str">
        <f t="shared" si="809"/>
        <v>20211</v>
      </c>
      <c r="AQ2735" s="28" t="str">
        <f t="shared" si="810"/>
        <v>20211JPY</v>
      </c>
      <c r="AR2735" s="206" t="str">
        <f t="shared" si="811"/>
        <v>YAMAHA_Mounter</v>
      </c>
      <c r="AS2735" s="22">
        <f t="shared" si="812"/>
        <v>3</v>
      </c>
      <c r="AT2735" s="24" t="str">
        <f t="shared" si="813"/>
        <v>0-3 months</v>
      </c>
      <c r="AU2735" s="22" t="s">
        <v>3745</v>
      </c>
    </row>
    <row r="2736" spans="1:47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805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815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814"/>
        <v>9526667</v>
      </c>
      <c r="AA2736" s="13">
        <v>5.8700000000000002E-2</v>
      </c>
      <c r="AB2736" s="21">
        <f t="shared" si="799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1"/>
        <v>499582152.5142017</v>
      </c>
      <c r="AJ2736" s="19">
        <f t="shared" si="802"/>
        <v>59520528.679470733</v>
      </c>
      <c r="AK2736" s="20">
        <f t="shared" si="808"/>
        <v>0.11914062257814291</v>
      </c>
      <c r="AL2736" s="17"/>
      <c r="AM2736" s="17"/>
      <c r="AN2736" s="17"/>
      <c r="AO2736" s="17"/>
      <c r="AP2736" s="28" t="str">
        <f t="shared" si="809"/>
        <v>CancelCancel</v>
      </c>
      <c r="AQ2736" s="28" t="str">
        <f t="shared" si="810"/>
        <v>CancelCancelJPY</v>
      </c>
      <c r="AR2736" s="206" t="str">
        <f t="shared" si="811"/>
        <v>YAMAHA_Mounter</v>
      </c>
      <c r="AS2736" s="22" t="str">
        <f t="shared" si="812"/>
        <v/>
      </c>
      <c r="AT2736" s="24" t="str">
        <f t="shared" si="813"/>
        <v/>
      </c>
      <c r="AU2736" s="22" t="s">
        <v>3745</v>
      </c>
    </row>
    <row r="2737" spans="1:47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805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815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814"/>
        <v>9526667</v>
      </c>
      <c r="AA2737" s="13">
        <v>5.8700000000000002E-2</v>
      </c>
      <c r="AB2737" s="21">
        <f t="shared" si="799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1"/>
        <v>499582152.5142017</v>
      </c>
      <c r="AJ2737" s="19">
        <f t="shared" si="802"/>
        <v>59520528.679470733</v>
      </c>
      <c r="AK2737" s="20">
        <f t="shared" si="808"/>
        <v>0.11914062257814291</v>
      </c>
      <c r="AL2737" s="17"/>
      <c r="AM2737" s="17"/>
      <c r="AN2737" s="17"/>
      <c r="AO2737" s="17"/>
      <c r="AP2737" s="28" t="str">
        <f t="shared" si="809"/>
        <v>CancelCancel</v>
      </c>
      <c r="AQ2737" s="28" t="str">
        <f t="shared" si="810"/>
        <v>CancelCancelJPY</v>
      </c>
      <c r="AR2737" s="206" t="str">
        <f t="shared" si="811"/>
        <v>YAMAHA_Mounter</v>
      </c>
      <c r="AS2737" s="22" t="str">
        <f t="shared" si="812"/>
        <v/>
      </c>
      <c r="AT2737" s="24" t="str">
        <f t="shared" si="813"/>
        <v/>
      </c>
      <c r="AU2737" s="22" t="s">
        <v>3745</v>
      </c>
    </row>
    <row r="2738" spans="1:47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805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815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814"/>
        <v>9526667</v>
      </c>
      <c r="AA2738" s="13">
        <v>5.8700000000000002E-2</v>
      </c>
      <c r="AB2738" s="21">
        <f t="shared" si="799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1"/>
        <v>499582152.5142017</v>
      </c>
      <c r="AJ2738" s="19">
        <f t="shared" si="802"/>
        <v>59520528.679470733</v>
      </c>
      <c r="AK2738" s="20">
        <f t="shared" si="808"/>
        <v>0.11914062257814291</v>
      </c>
      <c r="AL2738" s="17"/>
      <c r="AM2738" s="17"/>
      <c r="AN2738" s="17"/>
      <c r="AO2738" s="17"/>
      <c r="AP2738" s="28" t="str">
        <f t="shared" si="809"/>
        <v>CancelCancel</v>
      </c>
      <c r="AQ2738" s="28" t="str">
        <f t="shared" si="810"/>
        <v>CancelCancelJPY</v>
      </c>
      <c r="AR2738" s="206" t="str">
        <f t="shared" si="811"/>
        <v>YAMAHA_Mounter</v>
      </c>
      <c r="AS2738" s="22" t="str">
        <f t="shared" si="812"/>
        <v/>
      </c>
      <c r="AT2738" s="24" t="str">
        <f t="shared" si="813"/>
        <v/>
      </c>
      <c r="AU2738" s="22" t="s">
        <v>3745</v>
      </c>
    </row>
    <row r="2739" spans="1:47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815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814"/>
        <v>837083.3</v>
      </c>
      <c r="AA2739" s="22">
        <v>1.08</v>
      </c>
      <c r="AB2739" s="21">
        <f t="shared" si="799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1"/>
        <v>25354039.366920356</v>
      </c>
      <c r="AJ2739" s="27">
        <f t="shared" si="802"/>
        <v>3028631.2816309328</v>
      </c>
      <c r="AK2739" s="28">
        <f t="shared" si="808"/>
        <v>0.11945360018579192</v>
      </c>
      <c r="AL2739" s="24"/>
      <c r="AM2739" s="24"/>
      <c r="AN2739" s="24"/>
      <c r="AO2739" s="24"/>
      <c r="AP2739" s="28" t="str">
        <f t="shared" si="809"/>
        <v>20248</v>
      </c>
      <c r="AQ2739" s="28" t="str">
        <f t="shared" si="810"/>
        <v>20248RMB</v>
      </c>
      <c r="AR2739" s="206" t="str">
        <f t="shared" si="811"/>
        <v>YAMAHA_Mounter</v>
      </c>
      <c r="AS2739" s="22">
        <f t="shared" si="812"/>
        <v>4</v>
      </c>
      <c r="AT2739" s="24" t="str">
        <f t="shared" si="813"/>
        <v>4-6 months</v>
      </c>
      <c r="AU2739" s="22" t="s">
        <v>3750</v>
      </c>
    </row>
    <row r="2740" spans="1:47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815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814"/>
        <v>358750</v>
      </c>
      <c r="AA2740" s="22">
        <v>1.08</v>
      </c>
      <c r="AB2740" s="21">
        <f t="shared" si="799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1"/>
        <v>25354039.366920356</v>
      </c>
      <c r="AJ2740" s="27">
        <f t="shared" si="802"/>
        <v>3028631.2816309328</v>
      </c>
      <c r="AK2740" s="28">
        <f t="shared" si="808"/>
        <v>0.11945360018579192</v>
      </c>
      <c r="AL2740" s="24"/>
      <c r="AM2740" s="24"/>
      <c r="AN2740" s="24"/>
      <c r="AO2740" s="24"/>
      <c r="AP2740" s="28" t="str">
        <f t="shared" si="809"/>
        <v>20248</v>
      </c>
      <c r="AQ2740" s="28" t="str">
        <f t="shared" si="810"/>
        <v>20248RMB</v>
      </c>
      <c r="AR2740" s="206" t="str">
        <f t="shared" si="811"/>
        <v>YAMAHA_Mounter</v>
      </c>
      <c r="AS2740" s="22">
        <f t="shared" si="812"/>
        <v>4</v>
      </c>
      <c r="AT2740" s="24" t="str">
        <f t="shared" si="813"/>
        <v>4-6 months</v>
      </c>
      <c r="AU2740" s="22" t="s">
        <v>3750</v>
      </c>
    </row>
    <row r="2741" spans="1:47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815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814"/>
        <v>460000</v>
      </c>
      <c r="AA2741" s="22">
        <v>1.08</v>
      </c>
      <c r="AB2741" s="21">
        <f t="shared" si="799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1"/>
        <v>25354039.366920356</v>
      </c>
      <c r="AJ2741" s="27">
        <f t="shared" si="802"/>
        <v>3028631.2816309328</v>
      </c>
      <c r="AK2741" s="28">
        <f t="shared" si="808"/>
        <v>0.11945360018579192</v>
      </c>
      <c r="AL2741" s="24"/>
      <c r="AM2741" s="24"/>
      <c r="AN2741" s="24"/>
      <c r="AO2741" s="24"/>
      <c r="AP2741" s="28" t="str">
        <f t="shared" si="809"/>
        <v>20248</v>
      </c>
      <c r="AQ2741" s="28" t="str">
        <f t="shared" si="810"/>
        <v>20248RMB</v>
      </c>
      <c r="AR2741" s="206" t="str">
        <f t="shared" si="811"/>
        <v>YAMAHA_Mounter</v>
      </c>
      <c r="AS2741" s="22">
        <f t="shared" si="812"/>
        <v>4</v>
      </c>
      <c r="AT2741" s="24" t="str">
        <f t="shared" si="813"/>
        <v>4-6 months</v>
      </c>
      <c r="AU2741" s="22" t="s">
        <v>3240</v>
      </c>
    </row>
    <row r="2742" spans="1:47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815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814"/>
        <v>15655000</v>
      </c>
      <c r="AA2742" s="13">
        <v>7.4899999999999994E-2</v>
      </c>
      <c r="AB2742" s="21">
        <f t="shared" si="799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1"/>
        <v>28011162.254106201</v>
      </c>
      <c r="AJ2742" s="19">
        <f t="shared" si="802"/>
        <v>3401347.1124888416</v>
      </c>
      <c r="AK2742" s="20">
        <f t="shared" si="808"/>
        <v>0.12142827497242578</v>
      </c>
      <c r="AL2742" s="17"/>
      <c r="AM2742" s="17"/>
      <c r="AN2742" s="17"/>
      <c r="AO2742" s="17"/>
      <c r="AP2742" s="28" t="str">
        <f t="shared" si="809"/>
        <v>202010</v>
      </c>
      <c r="AQ2742" s="28" t="str">
        <f t="shared" si="810"/>
        <v>202010JPY</v>
      </c>
      <c r="AR2742" s="206" t="str">
        <f t="shared" si="811"/>
        <v>YAMAHA_Mounter</v>
      </c>
      <c r="AS2742" s="22">
        <f t="shared" si="812"/>
        <v>2</v>
      </c>
      <c r="AT2742" s="24" t="str">
        <f t="shared" si="813"/>
        <v>0-3 months</v>
      </c>
      <c r="AU2742" s="22" t="s">
        <v>3744</v>
      </c>
    </row>
    <row r="2743" spans="1:47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815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814"/>
        <v>15655000</v>
      </c>
      <c r="AA2743" s="13">
        <v>7.4899999999999994E-2</v>
      </c>
      <c r="AB2743" s="21">
        <f t="shared" si="799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1"/>
        <v>28011162.254106201</v>
      </c>
      <c r="AJ2743" s="19">
        <f t="shared" si="802"/>
        <v>3401347.1124888416</v>
      </c>
      <c r="AK2743" s="20">
        <f t="shared" si="808"/>
        <v>0.12142827497242578</v>
      </c>
      <c r="AL2743" s="17"/>
      <c r="AM2743" s="17"/>
      <c r="AN2743" s="17"/>
      <c r="AO2743" s="17"/>
      <c r="AP2743" s="28" t="str">
        <f t="shared" si="809"/>
        <v>202010</v>
      </c>
      <c r="AQ2743" s="28" t="str">
        <f t="shared" si="810"/>
        <v>202010JPY</v>
      </c>
      <c r="AR2743" s="206" t="str">
        <f t="shared" si="811"/>
        <v>YAMAHA_Mounter</v>
      </c>
      <c r="AS2743" s="22">
        <f t="shared" si="812"/>
        <v>2</v>
      </c>
      <c r="AT2743" s="24" t="str">
        <f t="shared" si="813"/>
        <v>0-3 months</v>
      </c>
      <c r="AU2743" s="22" t="s">
        <v>3744</v>
      </c>
    </row>
    <row r="2744" spans="1:47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815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814"/>
        <v>7827500</v>
      </c>
      <c r="AA2744" s="13">
        <v>7.4899999999999994E-2</v>
      </c>
      <c r="AB2744" s="21">
        <f t="shared" si="799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1"/>
        <v>28011162.254106201</v>
      </c>
      <c r="AJ2744" s="19">
        <f t="shared" si="802"/>
        <v>3401347.1124888416</v>
      </c>
      <c r="AK2744" s="20">
        <f t="shared" si="808"/>
        <v>0.12142827497242578</v>
      </c>
      <c r="AL2744" s="17"/>
      <c r="AM2744" s="17"/>
      <c r="AN2744" s="17"/>
      <c r="AO2744" s="17"/>
      <c r="AP2744" s="28" t="str">
        <f t="shared" si="809"/>
        <v>202010</v>
      </c>
      <c r="AQ2744" s="28" t="str">
        <f t="shared" si="810"/>
        <v>202010JPY</v>
      </c>
      <c r="AR2744" s="206" t="str">
        <f t="shared" si="811"/>
        <v>YAMAHA_Mounter</v>
      </c>
      <c r="AS2744" s="22">
        <f t="shared" si="812"/>
        <v>2</v>
      </c>
      <c r="AT2744" s="24" t="str">
        <f t="shared" si="813"/>
        <v>0-3 months</v>
      </c>
      <c r="AU2744" s="22" t="s">
        <v>3744</v>
      </c>
    </row>
    <row r="2745" spans="1:47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815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814"/>
        <v>7827500</v>
      </c>
      <c r="AA2745" s="13">
        <v>7.4899999999999994E-2</v>
      </c>
      <c r="AB2745" s="21">
        <f t="shared" si="799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1"/>
        <v>47907808.356810622</v>
      </c>
      <c r="AJ2745" s="19">
        <f t="shared" si="802"/>
        <v>6027384.8806384448</v>
      </c>
      <c r="AK2745" s="20">
        <f t="shared" si="808"/>
        <v>0.12581216063459488</v>
      </c>
      <c r="AL2745" s="17"/>
      <c r="AM2745" s="17"/>
      <c r="AN2745" s="17"/>
      <c r="AO2745" s="17"/>
      <c r="AP2745" s="28" t="str">
        <f t="shared" si="809"/>
        <v>20209</v>
      </c>
      <c r="AQ2745" s="28" t="str">
        <f t="shared" si="810"/>
        <v>20209JPY</v>
      </c>
      <c r="AR2745" s="206" t="str">
        <f t="shared" si="811"/>
        <v>YAMAHA_Mounter</v>
      </c>
      <c r="AS2745" s="22">
        <f t="shared" si="812"/>
        <v>1</v>
      </c>
      <c r="AT2745" s="24" t="str">
        <f t="shared" si="813"/>
        <v>0-3 months</v>
      </c>
      <c r="AU2745" s="22" t="s">
        <v>3744</v>
      </c>
    </row>
    <row r="2746" spans="1:47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815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814"/>
        <v>7827500</v>
      </c>
      <c r="AA2746" s="13">
        <v>7.4899999999999994E-2</v>
      </c>
      <c r="AB2746" s="21">
        <f t="shared" si="799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1"/>
        <v>47907808.356810622</v>
      </c>
      <c r="AJ2746" s="19">
        <f t="shared" si="802"/>
        <v>6027384.8806384448</v>
      </c>
      <c r="AK2746" s="20">
        <f t="shared" si="808"/>
        <v>0.12581216063459488</v>
      </c>
      <c r="AL2746" s="17"/>
      <c r="AM2746" s="17"/>
      <c r="AN2746" s="17"/>
      <c r="AO2746" s="17"/>
      <c r="AP2746" s="28" t="str">
        <f t="shared" si="809"/>
        <v>20209</v>
      </c>
      <c r="AQ2746" s="28" t="str">
        <f t="shared" si="810"/>
        <v>20209JPY</v>
      </c>
      <c r="AR2746" s="206" t="str">
        <f t="shared" si="811"/>
        <v>YAMAHA_Mounter</v>
      </c>
      <c r="AS2746" s="22">
        <f t="shared" si="812"/>
        <v>1</v>
      </c>
      <c r="AT2746" s="24" t="str">
        <f t="shared" si="813"/>
        <v>0-3 months</v>
      </c>
      <c r="AU2746" s="22" t="s">
        <v>3744</v>
      </c>
    </row>
    <row r="2747" spans="1:47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815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814"/>
        <v>7827500</v>
      </c>
      <c r="AA2747" s="13">
        <v>7.4899999999999994E-2</v>
      </c>
      <c r="AB2747" s="21">
        <f t="shared" si="799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1"/>
        <v>47907808.356810622</v>
      </c>
      <c r="AJ2747" s="19">
        <f t="shared" si="802"/>
        <v>6027384.8806384448</v>
      </c>
      <c r="AK2747" s="20">
        <f t="shared" si="808"/>
        <v>0.12581216063459488</v>
      </c>
      <c r="AL2747" s="17"/>
      <c r="AM2747" s="17"/>
      <c r="AN2747" s="17"/>
      <c r="AO2747" s="17"/>
      <c r="AP2747" s="28" t="str">
        <f t="shared" si="809"/>
        <v>20209</v>
      </c>
      <c r="AQ2747" s="28" t="str">
        <f t="shared" si="810"/>
        <v>20209JPY</v>
      </c>
      <c r="AR2747" s="206" t="str">
        <f t="shared" si="811"/>
        <v>YAMAHA_Mounter</v>
      </c>
      <c r="AS2747" s="22">
        <f t="shared" si="812"/>
        <v>1</v>
      </c>
      <c r="AT2747" s="24" t="str">
        <f t="shared" si="813"/>
        <v>0-3 months</v>
      </c>
      <c r="AU2747" s="22" t="s">
        <v>3744</v>
      </c>
    </row>
    <row r="2748" spans="1:47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815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814"/>
        <v>7923395</v>
      </c>
      <c r="AA2748" s="22">
        <v>5.2299999999999999E-2</v>
      </c>
      <c r="AB2748" s="21">
        <f t="shared" ref="AB2748:AB2811" si="817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1"/>
        <v>25354039.366920356</v>
      </c>
      <c r="AJ2748" s="27">
        <f t="shared" si="802"/>
        <v>3028631.2816309328</v>
      </c>
      <c r="AK2748" s="28">
        <f t="shared" si="808"/>
        <v>0.11945360018579192</v>
      </c>
      <c r="AL2748" s="24"/>
      <c r="AM2748" s="24"/>
      <c r="AN2748" s="24"/>
      <c r="AO2748" s="24"/>
      <c r="AP2748" s="28" t="str">
        <f t="shared" si="809"/>
        <v>20248</v>
      </c>
      <c r="AQ2748" s="28" t="str">
        <f t="shared" si="810"/>
        <v>20248JPY</v>
      </c>
      <c r="AR2748" s="206" t="str">
        <f t="shared" si="811"/>
        <v>YAMAHA_Mounter</v>
      </c>
      <c r="AS2748" s="22">
        <f t="shared" si="812"/>
        <v>4</v>
      </c>
      <c r="AT2748" s="24" t="str">
        <f t="shared" si="813"/>
        <v>4-6 months</v>
      </c>
      <c r="AU2748" s="22" t="s">
        <v>3240</v>
      </c>
    </row>
    <row r="2749" spans="1:47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815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814"/>
        <v>7923395</v>
      </c>
      <c r="AA2749" s="22">
        <v>5.2299999999999999E-2</v>
      </c>
      <c r="AB2749" s="21">
        <f t="shared" si="817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1"/>
        <v>25354039.366920356</v>
      </c>
      <c r="AJ2749" s="27">
        <f t="shared" si="802"/>
        <v>3028631.2816309328</v>
      </c>
      <c r="AK2749" s="28">
        <f t="shared" si="808"/>
        <v>0.11945360018579192</v>
      </c>
      <c r="AL2749" s="24"/>
      <c r="AM2749" s="24"/>
      <c r="AN2749" s="24"/>
      <c r="AO2749" s="24"/>
      <c r="AP2749" s="28" t="str">
        <f t="shared" si="809"/>
        <v>20248</v>
      </c>
      <c r="AQ2749" s="28" t="str">
        <f t="shared" si="810"/>
        <v>20248JPY</v>
      </c>
      <c r="AR2749" s="206" t="str">
        <f t="shared" si="811"/>
        <v>YAMAHA_Mounter</v>
      </c>
      <c r="AS2749" s="22">
        <f t="shared" si="812"/>
        <v>4</v>
      </c>
      <c r="AT2749" s="24" t="str">
        <f t="shared" si="813"/>
        <v>4-6 months</v>
      </c>
      <c r="AU2749" s="22" t="s">
        <v>3240</v>
      </c>
    </row>
    <row r="2750" spans="1:47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815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814"/>
        <v>7923395</v>
      </c>
      <c r="AA2750" s="22">
        <v>5.2299999999999999E-2</v>
      </c>
      <c r="AB2750" s="21">
        <f t="shared" si="817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1"/>
        <v>25354039.366920356</v>
      </c>
      <c r="AJ2750" s="27">
        <f t="shared" si="802"/>
        <v>3028631.2816309328</v>
      </c>
      <c r="AK2750" s="28">
        <f t="shared" si="808"/>
        <v>0.11945360018579192</v>
      </c>
      <c r="AL2750" s="24"/>
      <c r="AM2750" s="24"/>
      <c r="AN2750" s="24"/>
      <c r="AO2750" s="24"/>
      <c r="AP2750" s="28" t="str">
        <f t="shared" si="809"/>
        <v>20248</v>
      </c>
      <c r="AQ2750" s="28" t="str">
        <f t="shared" si="810"/>
        <v>20248JPY</v>
      </c>
      <c r="AR2750" s="206" t="str">
        <f t="shared" si="811"/>
        <v>YAMAHA_Mounter</v>
      </c>
      <c r="AS2750" s="22">
        <f t="shared" si="812"/>
        <v>4</v>
      </c>
      <c r="AT2750" s="24" t="str">
        <f t="shared" si="813"/>
        <v>4-6 months</v>
      </c>
      <c r="AU2750" s="22" t="s">
        <v>3240</v>
      </c>
    </row>
    <row r="2751" spans="1:47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815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814"/>
        <v>7923395</v>
      </c>
      <c r="AA2751" s="22">
        <v>5.2299999999999999E-2</v>
      </c>
      <c r="AB2751" s="21">
        <f t="shared" si="817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1"/>
        <v>25354039.366920356</v>
      </c>
      <c r="AJ2751" s="27">
        <f t="shared" si="802"/>
        <v>3028631.2816309328</v>
      </c>
      <c r="AK2751" s="28">
        <f t="shared" si="808"/>
        <v>0.11945360018579192</v>
      </c>
      <c r="AL2751" s="24"/>
      <c r="AM2751" s="24"/>
      <c r="AN2751" s="24"/>
      <c r="AO2751" s="24"/>
      <c r="AP2751" s="28" t="str">
        <f t="shared" si="809"/>
        <v>20248</v>
      </c>
      <c r="AQ2751" s="28" t="str">
        <f t="shared" si="810"/>
        <v>20248JPY</v>
      </c>
      <c r="AR2751" s="206" t="str">
        <f t="shared" si="811"/>
        <v>YAMAHA_Mounter</v>
      </c>
      <c r="AS2751" s="22">
        <f t="shared" si="812"/>
        <v>4</v>
      </c>
      <c r="AT2751" s="24" t="str">
        <f t="shared" si="813"/>
        <v>4-6 months</v>
      </c>
      <c r="AU2751" s="22" t="s">
        <v>3240</v>
      </c>
    </row>
    <row r="2752" spans="1:47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815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814"/>
        <v>1100000</v>
      </c>
      <c r="AA2752" s="13">
        <v>1.095</v>
      </c>
      <c r="AB2752" s="21">
        <f t="shared" si="817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1"/>
        <v>28065694.408805311</v>
      </c>
      <c r="AJ2752" s="19">
        <f t="shared" si="802"/>
        <v>4157433.2906989697</v>
      </c>
      <c r="AK2752" s="20">
        <f t="shared" si="808"/>
        <v>0.14813220831602228</v>
      </c>
      <c r="AL2752" s="17"/>
      <c r="AM2752" s="17"/>
      <c r="AN2752" s="17"/>
      <c r="AO2752" s="17"/>
      <c r="AP2752" s="28" t="str">
        <f t="shared" si="809"/>
        <v>20205</v>
      </c>
      <c r="AQ2752" s="28" t="str">
        <f t="shared" si="810"/>
        <v>20205RMB</v>
      </c>
      <c r="AR2752" s="206" t="str">
        <f t="shared" si="811"/>
        <v>YAMAHA_Mounter</v>
      </c>
      <c r="AS2752" s="22">
        <f t="shared" si="812"/>
        <v>1</v>
      </c>
      <c r="AT2752" s="24" t="str">
        <f t="shared" si="813"/>
        <v>0-3 months</v>
      </c>
      <c r="AU2752" s="22" t="s">
        <v>3240</v>
      </c>
    </row>
    <row r="2753" spans="1:47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815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814"/>
        <v>623000</v>
      </c>
      <c r="AA2753" s="13">
        <v>1.1950000000000001</v>
      </c>
      <c r="AB2753" s="21">
        <f t="shared" si="817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1"/>
        <v>44014086.982070789</v>
      </c>
      <c r="AJ2753" s="19">
        <f t="shared" si="802"/>
        <v>6419974.0221889298</v>
      </c>
      <c r="AK2753" s="20">
        <f t="shared" si="808"/>
        <v>0.14586180158193709</v>
      </c>
      <c r="AL2753" s="17"/>
      <c r="AM2753" s="17"/>
      <c r="AN2753" s="17"/>
      <c r="AO2753" s="17"/>
      <c r="AP2753" s="28" t="str">
        <f t="shared" si="809"/>
        <v>20225</v>
      </c>
      <c r="AQ2753" s="28" t="str">
        <f t="shared" si="810"/>
        <v>20225RMB</v>
      </c>
      <c r="AR2753" s="206" t="str">
        <f t="shared" si="811"/>
        <v>YAMAHA_Mounter</v>
      </c>
      <c r="AS2753" s="22">
        <f t="shared" si="812"/>
        <v>12</v>
      </c>
      <c r="AT2753" s="24" t="str">
        <f t="shared" si="813"/>
        <v>&gt; 6 months</v>
      </c>
      <c r="AU2753" s="22" t="s">
        <v>3240</v>
      </c>
    </row>
    <row r="2754" spans="1:47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815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814"/>
        <v>442500</v>
      </c>
      <c r="AA2754" s="13">
        <v>1.175</v>
      </c>
      <c r="AB2754" s="21">
        <f t="shared" si="817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ref="AI2754:AI2817" si="818">IF(P2754="C66 SERVICE","",SUMIFS(AB:AB,F:F,F2754,G:G,G2754,E:E,E2754))</f>
        <v>35682787.057522126</v>
      </c>
      <c r="AJ2754" s="19">
        <f t="shared" ref="AJ2754:AJ2817" si="819">IF(P2754="C66 SERVICE","",SUMIFS(AC:AC,F:F,F2754,G:G,G2754,E:E,E2754))</f>
        <v>5833368.3789623892</v>
      </c>
      <c r="AK2754" s="20">
        <f t="shared" si="808"/>
        <v>0.16347849649632912</v>
      </c>
      <c r="AL2754" s="17"/>
      <c r="AM2754" s="17"/>
      <c r="AN2754" s="17"/>
      <c r="AO2754" s="17"/>
      <c r="AP2754" s="28" t="str">
        <f t="shared" si="809"/>
        <v>20226</v>
      </c>
      <c r="AQ2754" s="28" t="str">
        <f t="shared" si="810"/>
        <v>20226RMB</v>
      </c>
      <c r="AR2754" s="206" t="str">
        <f t="shared" si="811"/>
        <v>YAMAHA_Mounter</v>
      </c>
      <c r="AS2754" s="22">
        <f t="shared" si="812"/>
        <v>1</v>
      </c>
      <c r="AT2754" s="24" t="str">
        <f t="shared" si="813"/>
        <v>0-3 months</v>
      </c>
      <c r="AU2754" s="22" t="s">
        <v>3240</v>
      </c>
    </row>
    <row r="2755" spans="1:47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815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814"/>
        <v>265000</v>
      </c>
      <c r="AA2755" s="13">
        <v>1.1499999999999999</v>
      </c>
      <c r="AB2755" s="21">
        <f t="shared" si="817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18"/>
        <v>26754147.763010349</v>
      </c>
      <c r="AJ2755" s="19">
        <f t="shared" si="819"/>
        <v>3429137.9965357962</v>
      </c>
      <c r="AK2755" s="20">
        <f t="shared" si="808"/>
        <v>0.12817220069617921</v>
      </c>
      <c r="AL2755" s="17"/>
      <c r="AM2755" s="17"/>
      <c r="AN2755" s="17"/>
      <c r="AO2755" s="17"/>
      <c r="AP2755" s="28" t="str">
        <f t="shared" si="809"/>
        <v>20188</v>
      </c>
      <c r="AQ2755" s="28" t="str">
        <f t="shared" si="810"/>
        <v>20188RMB</v>
      </c>
      <c r="AR2755" s="206" t="str">
        <f t="shared" si="811"/>
        <v>HELLER</v>
      </c>
      <c r="AS2755" s="22">
        <f t="shared" si="812"/>
        <v>1</v>
      </c>
      <c r="AT2755" s="24" t="str">
        <f t="shared" si="813"/>
        <v>0-3 months</v>
      </c>
      <c r="AU2755" s="22" t="s">
        <v>3240</v>
      </c>
    </row>
    <row r="2756" spans="1:47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815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814"/>
        <v>979000</v>
      </c>
      <c r="AA2756" s="13">
        <v>1.2150000000000001</v>
      </c>
      <c r="AB2756" s="21">
        <f t="shared" si="817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18"/>
        <v>25380121.402654871</v>
      </c>
      <c r="AJ2756" s="19">
        <f t="shared" si="819"/>
        <v>3850343.1237796471</v>
      </c>
      <c r="AK2756" s="20">
        <f t="shared" si="808"/>
        <v>0.1517070412191521</v>
      </c>
      <c r="AL2756" s="17"/>
      <c r="AM2756" s="17"/>
      <c r="AN2756" s="17"/>
      <c r="AO2756" s="17"/>
      <c r="AP2756" s="28" t="str">
        <f t="shared" si="809"/>
        <v>202112</v>
      </c>
      <c r="AQ2756" s="28" t="str">
        <f t="shared" si="810"/>
        <v>202112RMB</v>
      </c>
      <c r="AR2756" s="206" t="str">
        <f t="shared" si="811"/>
        <v>YAMAHA_Mounter</v>
      </c>
      <c r="AS2756" s="22">
        <f t="shared" si="812"/>
        <v>1</v>
      </c>
      <c r="AT2756" s="24" t="str">
        <f t="shared" si="813"/>
        <v>0-3 months</v>
      </c>
      <c r="AU2756" s="22" t="s">
        <v>3240</v>
      </c>
    </row>
    <row r="2757" spans="1:47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815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814"/>
        <v>2612000</v>
      </c>
      <c r="AA2757" s="13">
        <v>1.18</v>
      </c>
      <c r="AB2757" s="21">
        <f t="shared" si="817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18"/>
        <v>29946107.503386207</v>
      </c>
      <c r="AJ2757" s="19">
        <f t="shared" si="819"/>
        <v>3987206.4954923098</v>
      </c>
      <c r="AK2757" s="20">
        <f t="shared" si="808"/>
        <v>0.13314606898547499</v>
      </c>
      <c r="AL2757" s="17"/>
      <c r="AM2757" s="17"/>
      <c r="AN2757" s="17"/>
      <c r="AO2757" s="17"/>
      <c r="AP2757" s="28" t="str">
        <f t="shared" si="809"/>
        <v>20187</v>
      </c>
      <c r="AQ2757" s="28" t="str">
        <f t="shared" si="810"/>
        <v>20187RMB</v>
      </c>
      <c r="AR2757" s="206" t="str">
        <f t="shared" si="811"/>
        <v>YAMAHA_Mounter</v>
      </c>
      <c r="AS2757" s="22">
        <f t="shared" si="812"/>
        <v>3</v>
      </c>
      <c r="AT2757" s="24" t="str">
        <f t="shared" si="813"/>
        <v>0-3 months</v>
      </c>
      <c r="AU2757" s="22" t="s">
        <v>3240</v>
      </c>
    </row>
    <row r="2758" spans="1:47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815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814"/>
        <v>1306000</v>
      </c>
      <c r="AA2758" s="13">
        <v>1.1399999999999999</v>
      </c>
      <c r="AB2758" s="21">
        <f t="shared" si="817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si="818"/>
        <v>10786543.370020689</v>
      </c>
      <c r="AJ2758" s="19">
        <f t="shared" si="819"/>
        <v>1330367.5841569281</v>
      </c>
      <c r="AK2758" s="20">
        <f t="shared" ref="AK2758:AK2821" si="825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6">IF(F2758="","",F2758&amp;G2758)</f>
        <v>201810</v>
      </c>
      <c r="AQ2758" s="28" t="str">
        <f t="shared" ref="AQ2758:AQ2821" si="827">IF(W2758="","",F2758&amp;G2758&amp;W2758)</f>
        <v>201810RMB</v>
      </c>
      <c r="AR2758" s="206" t="str">
        <f t="shared" ref="AR2758:AR2821" si="828">IFERROR(IF(AND(M2758="YAMAHA", R2758="C28"), "YAMAHA_Non_Mounter", IF(AND(M2758="YAMAHA", R2758="C49"), "YAMAHA_Mounter", M2758)),"")</f>
        <v>YAMAHA_Mounter</v>
      </c>
      <c r="AS2758" s="22">
        <f t="shared" ref="AS2758:AS2821" si="829">IFERROR(IF(OR(G2758="TBA", G2758=""), "", DATEDIF(DATE(B2758, C2758, 1), DATE(F2758, G2758, 1), "M")),"")</f>
        <v>3</v>
      </c>
      <c r="AT2758" s="24" t="str">
        <f t="shared" ref="AT2758:AT2821" si="830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815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814"/>
        <v>653000</v>
      </c>
      <c r="AA2759" s="13">
        <v>1.23</v>
      </c>
      <c r="AB2759" s="21">
        <f t="shared" si="817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18"/>
        <v>29288201.603076916</v>
      </c>
      <c r="AJ2759" s="19">
        <f t="shared" si="819"/>
        <v>3870159.1769246152</v>
      </c>
      <c r="AK2759" s="20">
        <f t="shared" si="825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826"/>
        <v>20184</v>
      </c>
      <c r="AQ2759" s="28" t="str">
        <f t="shared" si="827"/>
        <v>20184RMB</v>
      </c>
      <c r="AR2759" s="206" t="str">
        <f t="shared" si="828"/>
        <v>YAMAHA_Mounter</v>
      </c>
      <c r="AS2759" s="22">
        <f t="shared" si="829"/>
        <v>1</v>
      </c>
      <c r="AT2759" s="24" t="str">
        <f t="shared" si="830"/>
        <v>0-3 months</v>
      </c>
      <c r="AU2759" s="22" t="s">
        <v>3240</v>
      </c>
    </row>
    <row r="2760" spans="1:47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815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814"/>
        <v>1535000</v>
      </c>
      <c r="AA2760" s="13">
        <v>1.1599999999999999</v>
      </c>
      <c r="AB2760" s="21">
        <f t="shared" si="817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18"/>
        <v>47416008.333399981</v>
      </c>
      <c r="AJ2760" s="19">
        <f t="shared" si="819"/>
        <v>6981738.4465290187</v>
      </c>
      <c r="AK2760" s="20">
        <f t="shared" si="825"/>
        <v>0.14724433143839863</v>
      </c>
      <c r="AL2760" s="17"/>
      <c r="AM2760" s="17"/>
      <c r="AN2760" s="17"/>
      <c r="AO2760" s="17"/>
      <c r="AP2760" s="28" t="str">
        <f t="shared" si="826"/>
        <v>20193</v>
      </c>
      <c r="AQ2760" s="28" t="str">
        <f t="shared" si="827"/>
        <v>20193RMB</v>
      </c>
      <c r="AR2760" s="206" t="str">
        <f t="shared" si="828"/>
        <v>YAMAHA_Mounter</v>
      </c>
      <c r="AS2760" s="22">
        <f t="shared" si="829"/>
        <v>2</v>
      </c>
      <c r="AT2760" s="24" t="str">
        <f t="shared" si="830"/>
        <v>0-3 months</v>
      </c>
      <c r="AU2760" s="22" t="s">
        <v>3240</v>
      </c>
    </row>
    <row r="2761" spans="1:47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822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815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814"/>
        <v>900000</v>
      </c>
      <c r="AA2761" s="13">
        <v>1.105</v>
      </c>
      <c r="AB2761" s="21">
        <f t="shared" si="817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18"/>
        <v>499582152.5142017</v>
      </c>
      <c r="AJ2761" s="19">
        <f t="shared" si="819"/>
        <v>59520528.679470733</v>
      </c>
      <c r="AK2761" s="20">
        <f t="shared" si="825"/>
        <v>0.11914062257814291</v>
      </c>
      <c r="AL2761" s="17"/>
      <c r="AM2761" s="17"/>
      <c r="AN2761" s="17"/>
      <c r="AO2761" s="17"/>
      <c r="AP2761" s="28" t="str">
        <f t="shared" si="826"/>
        <v>CancelCancel</v>
      </c>
      <c r="AQ2761" s="28" t="str">
        <f t="shared" si="827"/>
        <v>CancelCancelRMB</v>
      </c>
      <c r="AR2761" s="206" t="str">
        <f t="shared" si="828"/>
        <v>YAMAHA_Mounter</v>
      </c>
      <c r="AS2761" s="22" t="str">
        <f t="shared" si="829"/>
        <v/>
      </c>
      <c r="AT2761" s="24" t="str">
        <f t="shared" si="830"/>
        <v/>
      </c>
      <c r="AU2761" s="22" t="s">
        <v>3240</v>
      </c>
    </row>
    <row r="2762" spans="1:47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822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815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831">IF(X2762="","",X2762*MAX(O2762,N2762))</f>
        <v>570000</v>
      </c>
      <c r="AA2762" s="13">
        <v>1.105</v>
      </c>
      <c r="AB2762" s="21">
        <f t="shared" si="817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18"/>
        <v>499582152.5142017</v>
      </c>
      <c r="AJ2762" s="19">
        <f t="shared" si="819"/>
        <v>59520528.679470733</v>
      </c>
      <c r="AK2762" s="20">
        <f t="shared" si="825"/>
        <v>0.11914062257814291</v>
      </c>
      <c r="AL2762" s="17"/>
      <c r="AM2762" s="17"/>
      <c r="AN2762" s="17"/>
      <c r="AO2762" s="17"/>
      <c r="AP2762" s="28" t="str">
        <f t="shared" si="826"/>
        <v>CancelCancel</v>
      </c>
      <c r="AQ2762" s="28" t="str">
        <f t="shared" si="827"/>
        <v>CancelCancelRMB</v>
      </c>
      <c r="AR2762" s="206" t="str">
        <f t="shared" si="828"/>
        <v>YAMAHA_Mounter</v>
      </c>
      <c r="AS2762" s="22" t="str">
        <f t="shared" si="829"/>
        <v/>
      </c>
      <c r="AT2762" s="24" t="str">
        <f t="shared" si="830"/>
        <v/>
      </c>
      <c r="AU2762" s="22" t="s">
        <v>3240</v>
      </c>
    </row>
    <row r="2763" spans="1:47" s="12" customFormat="1">
      <c r="A2763" s="33" t="str">
        <f t="shared" si="820"/>
        <v>cancel</v>
      </c>
      <c r="B2763" s="152"/>
      <c r="C2763" s="152" t="s">
        <v>185</v>
      </c>
      <c r="D2763" s="33" t="str">
        <f t="shared" si="821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822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815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831"/>
        <v>2337501</v>
      </c>
      <c r="AA2763" s="13">
        <v>1.1599999999999999</v>
      </c>
      <c r="AB2763" s="21">
        <f t="shared" si="817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18"/>
        <v>499582152.5142017</v>
      </c>
      <c r="AJ2763" s="19">
        <f t="shared" si="819"/>
        <v>59520528.679470733</v>
      </c>
      <c r="AK2763" s="20">
        <f t="shared" si="825"/>
        <v>0.11914062257814291</v>
      </c>
      <c r="AL2763" s="17"/>
      <c r="AM2763" s="17"/>
      <c r="AN2763" s="17"/>
      <c r="AO2763" s="17"/>
      <c r="AP2763" s="28" t="str">
        <f t="shared" si="826"/>
        <v>CancelCancel</v>
      </c>
      <c r="AQ2763" s="28" t="str">
        <f t="shared" si="827"/>
        <v>CancelCancelRMB</v>
      </c>
      <c r="AR2763" s="206" t="str">
        <f t="shared" si="828"/>
        <v>YAMAHA_Mounter</v>
      </c>
      <c r="AS2763" s="22" t="str">
        <f t="shared" si="829"/>
        <v/>
      </c>
      <c r="AT2763" s="24" t="str">
        <f t="shared" si="830"/>
        <v/>
      </c>
      <c r="AU2763" s="22" t="s">
        <v>3240</v>
      </c>
    </row>
    <row r="2764" spans="1:47" s="12" customFormat="1">
      <c r="A2764" s="33" t="str">
        <f t="shared" si="820"/>
        <v>cancel</v>
      </c>
      <c r="B2764" s="152"/>
      <c r="C2764" s="152" t="s">
        <v>185</v>
      </c>
      <c r="D2764" s="33" t="str">
        <f t="shared" si="821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822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815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831"/>
        <v>1147500</v>
      </c>
      <c r="AA2764" s="13">
        <v>1.1599999999999999</v>
      </c>
      <c r="AB2764" s="21">
        <f t="shared" si="817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18"/>
        <v>499582152.5142017</v>
      </c>
      <c r="AJ2764" s="19">
        <f t="shared" si="819"/>
        <v>59520528.679470733</v>
      </c>
      <c r="AK2764" s="20">
        <f t="shared" si="825"/>
        <v>0.11914062257814291</v>
      </c>
      <c r="AL2764" s="17"/>
      <c r="AM2764" s="17"/>
      <c r="AN2764" s="17"/>
      <c r="AO2764" s="17"/>
      <c r="AP2764" s="28" t="str">
        <f t="shared" si="826"/>
        <v>CancelCancel</v>
      </c>
      <c r="AQ2764" s="28" t="str">
        <f t="shared" si="827"/>
        <v>CancelCancelRMB</v>
      </c>
      <c r="AR2764" s="206" t="str">
        <f t="shared" si="828"/>
        <v>YAMAHA_Mounter</v>
      </c>
      <c r="AS2764" s="22" t="str">
        <f t="shared" si="829"/>
        <v/>
      </c>
      <c r="AT2764" s="24" t="str">
        <f t="shared" si="830"/>
        <v/>
      </c>
      <c r="AU2764" s="22" t="s">
        <v>3240</v>
      </c>
    </row>
    <row r="2765" spans="1:47" s="12" customFormat="1">
      <c r="A2765" s="33" t="str">
        <f t="shared" si="820"/>
        <v>cancel</v>
      </c>
      <c r="B2765" s="152"/>
      <c r="C2765" s="152" t="s">
        <v>185</v>
      </c>
      <c r="D2765" s="33" t="str">
        <f t="shared" si="821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822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815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831"/>
        <v>1520000</v>
      </c>
      <c r="AA2765" s="13">
        <v>1.1599999999999999</v>
      </c>
      <c r="AB2765" s="21">
        <f t="shared" si="817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18"/>
        <v>499582152.5142017</v>
      </c>
      <c r="AJ2765" s="19">
        <f t="shared" si="819"/>
        <v>59520528.679470733</v>
      </c>
      <c r="AK2765" s="20">
        <f t="shared" si="825"/>
        <v>0.11914062257814291</v>
      </c>
      <c r="AL2765" s="17"/>
      <c r="AM2765" s="17"/>
      <c r="AN2765" s="17"/>
      <c r="AO2765" s="17"/>
      <c r="AP2765" s="28" t="str">
        <f t="shared" si="826"/>
        <v>CancelCancel</v>
      </c>
      <c r="AQ2765" s="28" t="str">
        <f t="shared" si="827"/>
        <v>CancelCancelRMB</v>
      </c>
      <c r="AR2765" s="206" t="str">
        <f t="shared" si="828"/>
        <v>YAMAHA_Mounter</v>
      </c>
      <c r="AS2765" s="22" t="str">
        <f t="shared" si="829"/>
        <v/>
      </c>
      <c r="AT2765" s="24" t="str">
        <f t="shared" si="830"/>
        <v/>
      </c>
      <c r="AU2765" s="22" t="s">
        <v>3240</v>
      </c>
    </row>
    <row r="2766" spans="1:47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815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831"/>
        <v>504774</v>
      </c>
      <c r="AA2766" s="13">
        <v>1.175</v>
      </c>
      <c r="AB2766" s="21">
        <f t="shared" si="817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18"/>
        <v>48763143.537654862</v>
      </c>
      <c r="AJ2766" s="19">
        <f t="shared" si="819"/>
        <v>5924029.9702154724</v>
      </c>
      <c r="AK2766" s="20">
        <f t="shared" si="825"/>
        <v>0.1214858095774925</v>
      </c>
      <c r="AL2766" s="17"/>
      <c r="AM2766" s="17"/>
      <c r="AN2766" s="17"/>
      <c r="AO2766" s="17"/>
      <c r="AP2766" s="28" t="str">
        <f t="shared" si="826"/>
        <v>202012</v>
      </c>
      <c r="AQ2766" s="28" t="str">
        <f t="shared" si="827"/>
        <v>202012RMB</v>
      </c>
      <c r="AR2766" s="206" t="str">
        <f t="shared" si="828"/>
        <v>YAMAHA_Mounter</v>
      </c>
      <c r="AS2766" s="22">
        <f t="shared" si="829"/>
        <v>3</v>
      </c>
      <c r="AT2766" s="24" t="str">
        <f t="shared" si="830"/>
        <v>0-3 months</v>
      </c>
      <c r="AU2766" s="22" t="s">
        <v>3240</v>
      </c>
    </row>
    <row r="2767" spans="1:47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815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831"/>
        <v>504774</v>
      </c>
      <c r="AA2767" s="13">
        <v>1.175</v>
      </c>
      <c r="AB2767" s="21">
        <f t="shared" si="817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18"/>
        <v>48763143.537654862</v>
      </c>
      <c r="AJ2767" s="19">
        <f t="shared" si="819"/>
        <v>5924029.9702154724</v>
      </c>
      <c r="AK2767" s="20">
        <f t="shared" si="825"/>
        <v>0.1214858095774925</v>
      </c>
      <c r="AL2767" s="17"/>
      <c r="AM2767" s="17"/>
      <c r="AN2767" s="17"/>
      <c r="AO2767" s="17"/>
      <c r="AP2767" s="28" t="str">
        <f t="shared" si="826"/>
        <v>202012</v>
      </c>
      <c r="AQ2767" s="28" t="str">
        <f t="shared" si="827"/>
        <v>202012RMB</v>
      </c>
      <c r="AR2767" s="206" t="str">
        <f t="shared" si="828"/>
        <v>YAMAHA_Mounter</v>
      </c>
      <c r="AS2767" s="22">
        <f t="shared" si="829"/>
        <v>3</v>
      </c>
      <c r="AT2767" s="24" t="str">
        <f t="shared" si="830"/>
        <v>0-3 months</v>
      </c>
      <c r="AU2767" s="22" t="s">
        <v>3240</v>
      </c>
    </row>
    <row r="2768" spans="1:47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815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831"/>
        <v>600687.5</v>
      </c>
      <c r="AA2768" s="13">
        <v>1.135</v>
      </c>
      <c r="AB2768" s="21">
        <f t="shared" si="817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18"/>
        <v>34015877.71150443</v>
      </c>
      <c r="AJ2768" s="19">
        <f t="shared" si="819"/>
        <v>4446292.375441948</v>
      </c>
      <c r="AK2768" s="20">
        <f t="shared" si="825"/>
        <v>0.13071226364205143</v>
      </c>
      <c r="AL2768" s="17"/>
      <c r="AM2768" s="17"/>
      <c r="AN2768" s="17"/>
      <c r="AO2768" s="17"/>
      <c r="AP2768" s="28" t="str">
        <f t="shared" si="826"/>
        <v>20197</v>
      </c>
      <c r="AQ2768" s="28" t="str">
        <f t="shared" si="827"/>
        <v>20197RMB</v>
      </c>
      <c r="AR2768" s="206" t="str">
        <f t="shared" si="828"/>
        <v>YAMAHA_Mounter</v>
      </c>
      <c r="AS2768" s="22">
        <f t="shared" si="829"/>
        <v>0</v>
      </c>
      <c r="AT2768" s="24" t="str">
        <f t="shared" si="830"/>
        <v>0-3 months</v>
      </c>
      <c r="AU2768" s="22" t="s">
        <v>3240</v>
      </c>
    </row>
    <row r="2769" spans="1:47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815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831"/>
        <v>600687.5</v>
      </c>
      <c r="AA2769" s="13">
        <v>1.135</v>
      </c>
      <c r="AB2769" s="21">
        <f t="shared" si="817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18"/>
        <v>34015877.71150443</v>
      </c>
      <c r="AJ2769" s="19">
        <f t="shared" si="819"/>
        <v>4446292.375441948</v>
      </c>
      <c r="AK2769" s="20">
        <f t="shared" si="825"/>
        <v>0.13071226364205143</v>
      </c>
      <c r="AL2769" s="17"/>
      <c r="AM2769" s="17"/>
      <c r="AN2769" s="17"/>
      <c r="AO2769" s="17"/>
      <c r="AP2769" s="28" t="str">
        <f t="shared" si="826"/>
        <v>20197</v>
      </c>
      <c r="AQ2769" s="28" t="str">
        <f t="shared" si="827"/>
        <v>20197RMB</v>
      </c>
      <c r="AR2769" s="206" t="str">
        <f t="shared" si="828"/>
        <v>YAMAHA_Mounter</v>
      </c>
      <c r="AS2769" s="22">
        <f t="shared" si="829"/>
        <v>0</v>
      </c>
      <c r="AT2769" s="24" t="str">
        <f t="shared" si="830"/>
        <v>0-3 months</v>
      </c>
      <c r="AU2769" s="22" t="s">
        <v>3240</v>
      </c>
    </row>
    <row r="2770" spans="1:47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815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831"/>
        <v>600687.5</v>
      </c>
      <c r="AA2770" s="13">
        <v>1.135</v>
      </c>
      <c r="AB2770" s="21">
        <f t="shared" si="817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18"/>
        <v>34015877.71150443</v>
      </c>
      <c r="AJ2770" s="19">
        <f t="shared" si="819"/>
        <v>4446292.375441948</v>
      </c>
      <c r="AK2770" s="20">
        <f t="shared" si="825"/>
        <v>0.13071226364205143</v>
      </c>
      <c r="AL2770" s="17"/>
      <c r="AM2770" s="17"/>
      <c r="AN2770" s="17"/>
      <c r="AO2770" s="17"/>
      <c r="AP2770" s="28" t="str">
        <f t="shared" si="826"/>
        <v>20197</v>
      </c>
      <c r="AQ2770" s="28" t="str">
        <f t="shared" si="827"/>
        <v>20197RMB</v>
      </c>
      <c r="AR2770" s="206" t="str">
        <f t="shared" si="828"/>
        <v>YAMAHA_Mounter</v>
      </c>
      <c r="AS2770" s="22">
        <f t="shared" si="829"/>
        <v>0</v>
      </c>
      <c r="AT2770" s="24" t="str">
        <f t="shared" si="830"/>
        <v>0-3 months</v>
      </c>
      <c r="AU2770" s="22" t="s">
        <v>3240</v>
      </c>
    </row>
    <row r="2771" spans="1:47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815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831"/>
        <v>600687.5</v>
      </c>
      <c r="AA2771" s="13">
        <v>1.135</v>
      </c>
      <c r="AB2771" s="21">
        <f t="shared" si="817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18"/>
        <v>34015877.71150443</v>
      </c>
      <c r="AJ2771" s="19">
        <f t="shared" si="819"/>
        <v>4446292.375441948</v>
      </c>
      <c r="AK2771" s="20">
        <f t="shared" si="825"/>
        <v>0.13071226364205143</v>
      </c>
      <c r="AL2771" s="17"/>
      <c r="AM2771" s="17"/>
      <c r="AN2771" s="17"/>
      <c r="AO2771" s="17"/>
      <c r="AP2771" s="28" t="str">
        <f t="shared" si="826"/>
        <v>20197</v>
      </c>
      <c r="AQ2771" s="28" t="str">
        <f t="shared" si="827"/>
        <v>20197RMB</v>
      </c>
      <c r="AR2771" s="206" t="str">
        <f t="shared" si="828"/>
        <v>YAMAHA_Mounter</v>
      </c>
      <c r="AS2771" s="22">
        <f t="shared" si="829"/>
        <v>0</v>
      </c>
      <c r="AT2771" s="24" t="str">
        <f t="shared" si="830"/>
        <v>0-3 months</v>
      </c>
      <c r="AU2771" s="22" t="s">
        <v>3240</v>
      </c>
    </row>
    <row r="2772" spans="1:47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815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831"/>
        <v>764375</v>
      </c>
      <c r="AA2772" s="13">
        <v>1.135</v>
      </c>
      <c r="AB2772" s="21">
        <f t="shared" si="817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18"/>
        <v>34015877.71150443</v>
      </c>
      <c r="AJ2772" s="19">
        <f t="shared" si="819"/>
        <v>4446292.375441948</v>
      </c>
      <c r="AK2772" s="20">
        <f t="shared" si="825"/>
        <v>0.13071226364205143</v>
      </c>
      <c r="AL2772" s="17"/>
      <c r="AM2772" s="17"/>
      <c r="AN2772" s="17"/>
      <c r="AO2772" s="17"/>
      <c r="AP2772" s="28" t="str">
        <f t="shared" si="826"/>
        <v>20197</v>
      </c>
      <c r="AQ2772" s="28" t="str">
        <f t="shared" si="827"/>
        <v>20197RMB</v>
      </c>
      <c r="AR2772" s="206" t="str">
        <f t="shared" si="828"/>
        <v>YAMAHA_Mounter</v>
      </c>
      <c r="AS2772" s="22">
        <f t="shared" si="829"/>
        <v>0</v>
      </c>
      <c r="AT2772" s="24" t="str">
        <f t="shared" si="830"/>
        <v>0-3 months</v>
      </c>
      <c r="AU2772" s="22" t="s">
        <v>3240</v>
      </c>
    </row>
    <row r="2773" spans="1:47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815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831"/>
        <v>764375</v>
      </c>
      <c r="AA2773" s="13">
        <v>1.135</v>
      </c>
      <c r="AB2773" s="21">
        <f t="shared" si="817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18"/>
        <v>34015877.71150443</v>
      </c>
      <c r="AJ2773" s="19">
        <f t="shared" si="819"/>
        <v>4446292.375441948</v>
      </c>
      <c r="AK2773" s="20">
        <f t="shared" si="825"/>
        <v>0.13071226364205143</v>
      </c>
      <c r="AL2773" s="17"/>
      <c r="AM2773" s="17"/>
      <c r="AN2773" s="17"/>
      <c r="AO2773" s="17"/>
      <c r="AP2773" s="28" t="str">
        <f t="shared" si="826"/>
        <v>20197</v>
      </c>
      <c r="AQ2773" s="28" t="str">
        <f t="shared" si="827"/>
        <v>20197RMB</v>
      </c>
      <c r="AR2773" s="206" t="str">
        <f t="shared" si="828"/>
        <v>YAMAHA_Mounter</v>
      </c>
      <c r="AS2773" s="22">
        <f t="shared" si="829"/>
        <v>0</v>
      </c>
      <c r="AT2773" s="24" t="str">
        <f t="shared" si="830"/>
        <v>0-3 months</v>
      </c>
      <c r="AU2773" s="22" t="s">
        <v>3240</v>
      </c>
    </row>
    <row r="2774" spans="1:47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832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831"/>
        <v>764375</v>
      </c>
      <c r="AA2774" s="13">
        <v>1.135</v>
      </c>
      <c r="AB2774" s="21">
        <f t="shared" si="817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18"/>
        <v>31296887.037898075</v>
      </c>
      <c r="AJ2774" s="19">
        <f t="shared" si="819"/>
        <v>3588873.9502021763</v>
      </c>
      <c r="AK2774" s="20">
        <f t="shared" si="825"/>
        <v>0.11467191436184473</v>
      </c>
      <c r="AL2774" s="17"/>
      <c r="AM2774" s="17"/>
      <c r="AN2774" s="17"/>
      <c r="AO2774" s="17"/>
      <c r="AP2774" s="28" t="str">
        <f t="shared" si="826"/>
        <v>20196</v>
      </c>
      <c r="AQ2774" s="28" t="str">
        <f t="shared" si="827"/>
        <v>20196RMB</v>
      </c>
      <c r="AR2774" s="206" t="str">
        <f t="shared" si="828"/>
        <v>YAMAHA_Mounter</v>
      </c>
      <c r="AS2774" s="22">
        <f t="shared" si="829"/>
        <v>1</v>
      </c>
      <c r="AT2774" s="24" t="str">
        <f t="shared" si="830"/>
        <v>0-3 months</v>
      </c>
      <c r="AU2774" s="22" t="s">
        <v>3240</v>
      </c>
    </row>
    <row r="2775" spans="1:47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832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831"/>
        <v>764375</v>
      </c>
      <c r="AA2775" s="13">
        <v>1.135</v>
      </c>
      <c r="AB2775" s="21">
        <f t="shared" si="817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18"/>
        <v>31296887.037898075</v>
      </c>
      <c r="AJ2775" s="19">
        <f t="shared" si="819"/>
        <v>3588873.9502021763</v>
      </c>
      <c r="AK2775" s="20">
        <f t="shared" si="825"/>
        <v>0.11467191436184473</v>
      </c>
      <c r="AL2775" s="17"/>
      <c r="AM2775" s="17"/>
      <c r="AN2775" s="17"/>
      <c r="AO2775" s="17"/>
      <c r="AP2775" s="28" t="str">
        <f t="shared" si="826"/>
        <v>20196</v>
      </c>
      <c r="AQ2775" s="28" t="str">
        <f t="shared" si="827"/>
        <v>20196RMB</v>
      </c>
      <c r="AR2775" s="206" t="str">
        <f t="shared" si="828"/>
        <v>YAMAHA_Mounter</v>
      </c>
      <c r="AS2775" s="22">
        <f t="shared" si="829"/>
        <v>1</v>
      </c>
      <c r="AT2775" s="24" t="str">
        <f t="shared" si="830"/>
        <v>0-3 months</v>
      </c>
      <c r="AU2775" s="22" t="s">
        <v>3240</v>
      </c>
    </row>
    <row r="2776" spans="1:47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832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831"/>
        <v>613750</v>
      </c>
      <c r="AA2776" s="13">
        <v>1.135</v>
      </c>
      <c r="AB2776" s="21">
        <f t="shared" si="817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18"/>
        <v>31296887.037898075</v>
      </c>
      <c r="AJ2776" s="19">
        <f t="shared" si="819"/>
        <v>3588873.9502021763</v>
      </c>
      <c r="AK2776" s="20">
        <f t="shared" si="825"/>
        <v>0.11467191436184473</v>
      </c>
      <c r="AL2776" s="17"/>
      <c r="AM2776" s="17"/>
      <c r="AN2776" s="17"/>
      <c r="AO2776" s="17"/>
      <c r="AP2776" s="28" t="str">
        <f t="shared" si="826"/>
        <v>20196</v>
      </c>
      <c r="AQ2776" s="28" t="str">
        <f t="shared" si="827"/>
        <v>20196RMB</v>
      </c>
      <c r="AR2776" s="206" t="str">
        <f t="shared" si="828"/>
        <v>YAMAHA_Mounter</v>
      </c>
      <c r="AS2776" s="22">
        <f t="shared" si="829"/>
        <v>1</v>
      </c>
      <c r="AT2776" s="24" t="str">
        <f t="shared" si="830"/>
        <v>0-3 months</v>
      </c>
      <c r="AU2776" s="22" t="s">
        <v>3240</v>
      </c>
    </row>
    <row r="2777" spans="1:47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832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831"/>
        <v>760000</v>
      </c>
      <c r="AA2777" s="13">
        <v>1.135</v>
      </c>
      <c r="AB2777" s="21">
        <f t="shared" si="817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18"/>
        <v>31296887.037898075</v>
      </c>
      <c r="AJ2777" s="19">
        <f t="shared" si="819"/>
        <v>3588873.9502021763</v>
      </c>
      <c r="AK2777" s="20">
        <f t="shared" si="825"/>
        <v>0.11467191436184473</v>
      </c>
      <c r="AL2777" s="17"/>
      <c r="AM2777" s="17"/>
      <c r="AN2777" s="17"/>
      <c r="AO2777" s="17"/>
      <c r="AP2777" s="28" t="str">
        <f t="shared" si="826"/>
        <v>20196</v>
      </c>
      <c r="AQ2777" s="28" t="str">
        <f t="shared" si="827"/>
        <v>20196RMB</v>
      </c>
      <c r="AR2777" s="206" t="str">
        <f t="shared" si="828"/>
        <v>YAMAHA_Mounter</v>
      </c>
      <c r="AS2777" s="22">
        <f t="shared" si="829"/>
        <v>1</v>
      </c>
      <c r="AT2777" s="24" t="str">
        <f t="shared" si="830"/>
        <v>0-3 months</v>
      </c>
      <c r="AU2777" s="22" t="s">
        <v>3240</v>
      </c>
    </row>
    <row r="2778" spans="1:47" s="12" customFormat="1">
      <c r="A2778" s="33" t="str">
        <f t="shared" si="820"/>
        <v>cancel</v>
      </c>
      <c r="B2778" s="152"/>
      <c r="C2778" s="152" t="s">
        <v>185</v>
      </c>
      <c r="D2778" s="33" t="str">
        <f t="shared" si="821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822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832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831"/>
        <v>613750</v>
      </c>
      <c r="AA2778" s="13">
        <v>1.135</v>
      </c>
      <c r="AB2778" s="21">
        <f t="shared" si="817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18"/>
        <v>499582152.5142017</v>
      </c>
      <c r="AJ2778" s="19">
        <f t="shared" si="819"/>
        <v>59520528.679470733</v>
      </c>
      <c r="AK2778" s="20">
        <f t="shared" si="825"/>
        <v>0.11914062257814291</v>
      </c>
      <c r="AL2778" s="17"/>
      <c r="AM2778" s="17"/>
      <c r="AN2778" s="17"/>
      <c r="AO2778" s="17"/>
      <c r="AP2778" s="28" t="str">
        <f t="shared" si="826"/>
        <v>CancelCancel</v>
      </c>
      <c r="AQ2778" s="28" t="str">
        <f t="shared" si="827"/>
        <v>CancelCancelRMB</v>
      </c>
      <c r="AR2778" s="206" t="str">
        <f t="shared" si="828"/>
        <v>YAMAHA_Mounter</v>
      </c>
      <c r="AS2778" s="22" t="str">
        <f t="shared" si="829"/>
        <v/>
      </c>
      <c r="AT2778" s="24" t="str">
        <f t="shared" si="830"/>
        <v/>
      </c>
      <c r="AU2778" s="22" t="s">
        <v>3240</v>
      </c>
    </row>
    <row r="2779" spans="1:47" s="12" customFormat="1">
      <c r="A2779" s="33" t="str">
        <f t="shared" si="820"/>
        <v>cancel</v>
      </c>
      <c r="B2779" s="152"/>
      <c r="C2779" s="152" t="s">
        <v>185</v>
      </c>
      <c r="D2779" s="33" t="str">
        <f t="shared" si="821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822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832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831"/>
        <v>760000</v>
      </c>
      <c r="AA2779" s="13">
        <v>1.135</v>
      </c>
      <c r="AB2779" s="21">
        <f t="shared" si="817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18"/>
        <v>499582152.5142017</v>
      </c>
      <c r="AJ2779" s="19">
        <f t="shared" si="819"/>
        <v>59520528.679470733</v>
      </c>
      <c r="AK2779" s="20">
        <f t="shared" si="825"/>
        <v>0.11914062257814291</v>
      </c>
      <c r="AL2779" s="17"/>
      <c r="AM2779" s="17"/>
      <c r="AN2779" s="17"/>
      <c r="AO2779" s="17"/>
      <c r="AP2779" s="28" t="str">
        <f t="shared" si="826"/>
        <v>CancelCancel</v>
      </c>
      <c r="AQ2779" s="28" t="str">
        <f t="shared" si="827"/>
        <v>CancelCancelRMB</v>
      </c>
      <c r="AR2779" s="206" t="str">
        <f t="shared" si="828"/>
        <v>YAMAHA_Mounter</v>
      </c>
      <c r="AS2779" s="22" t="str">
        <f t="shared" si="829"/>
        <v/>
      </c>
      <c r="AT2779" s="24" t="str">
        <f t="shared" si="830"/>
        <v/>
      </c>
      <c r="AU2779" s="22" t="s">
        <v>3240</v>
      </c>
    </row>
    <row r="2780" spans="1:47" s="12" customFormat="1">
      <c r="A2780" s="33" t="str">
        <f t="shared" si="820"/>
        <v>cancel</v>
      </c>
      <c r="B2780" s="152"/>
      <c r="C2780" s="152" t="s">
        <v>185</v>
      </c>
      <c r="D2780" s="33" t="str">
        <f t="shared" si="821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822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832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831"/>
        <v>613750</v>
      </c>
      <c r="AA2780" s="13">
        <v>1.135</v>
      </c>
      <c r="AB2780" s="21">
        <f t="shared" si="817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18"/>
        <v>499582152.5142017</v>
      </c>
      <c r="AJ2780" s="19">
        <f t="shared" si="819"/>
        <v>59520528.679470733</v>
      </c>
      <c r="AK2780" s="20">
        <f t="shared" si="825"/>
        <v>0.11914062257814291</v>
      </c>
      <c r="AL2780" s="17"/>
      <c r="AM2780" s="17"/>
      <c r="AN2780" s="17"/>
      <c r="AO2780" s="17"/>
      <c r="AP2780" s="28" t="str">
        <f t="shared" si="826"/>
        <v>CancelCancel</v>
      </c>
      <c r="AQ2780" s="28" t="str">
        <f t="shared" si="827"/>
        <v>CancelCancelRMB</v>
      </c>
      <c r="AR2780" s="206" t="str">
        <f t="shared" si="828"/>
        <v>YAMAHA_Mounter</v>
      </c>
      <c r="AS2780" s="22" t="str">
        <f t="shared" si="829"/>
        <v/>
      </c>
      <c r="AT2780" s="24" t="str">
        <f t="shared" si="830"/>
        <v/>
      </c>
      <c r="AU2780" s="22" t="s">
        <v>3240</v>
      </c>
    </row>
    <row r="2781" spans="1:47" s="12" customFormat="1">
      <c r="A2781" s="33" t="str">
        <f t="shared" si="820"/>
        <v>cancel</v>
      </c>
      <c r="B2781" s="152"/>
      <c r="C2781" s="152" t="s">
        <v>185</v>
      </c>
      <c r="D2781" s="33" t="str">
        <f t="shared" si="821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822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832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831"/>
        <v>1528750</v>
      </c>
      <c r="AA2781" s="13">
        <v>1.135</v>
      </c>
      <c r="AB2781" s="21">
        <f t="shared" si="817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18"/>
        <v>499582152.5142017</v>
      </c>
      <c r="AJ2781" s="19">
        <f t="shared" si="819"/>
        <v>59520528.679470733</v>
      </c>
      <c r="AK2781" s="20">
        <f t="shared" si="825"/>
        <v>0.11914062257814291</v>
      </c>
      <c r="AL2781" s="17"/>
      <c r="AM2781" s="17"/>
      <c r="AN2781" s="17"/>
      <c r="AO2781" s="17"/>
      <c r="AP2781" s="28" t="str">
        <f t="shared" si="826"/>
        <v>CancelCancel</v>
      </c>
      <c r="AQ2781" s="28" t="str">
        <f t="shared" si="827"/>
        <v>CancelCancelRMB</v>
      </c>
      <c r="AR2781" s="206" t="str">
        <f t="shared" si="828"/>
        <v>YAMAHA_Mounter</v>
      </c>
      <c r="AS2781" s="22" t="str">
        <f t="shared" si="829"/>
        <v/>
      </c>
      <c r="AT2781" s="24" t="str">
        <f t="shared" si="830"/>
        <v/>
      </c>
      <c r="AU2781" s="22" t="s">
        <v>3240</v>
      </c>
    </row>
    <row r="2782" spans="1:47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832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831"/>
        <v>610000</v>
      </c>
      <c r="AA2782" s="13">
        <v>1.23</v>
      </c>
      <c r="AB2782" s="21">
        <f t="shared" si="817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18"/>
        <v>34109166.105589926</v>
      </c>
      <c r="AJ2782" s="19">
        <f t="shared" si="819"/>
        <v>4642032.7199573703</v>
      </c>
      <c r="AK2782" s="20">
        <f t="shared" si="825"/>
        <v>0.13609340977692849</v>
      </c>
      <c r="AL2782" s="17"/>
      <c r="AM2782" s="17"/>
      <c r="AN2782" s="17"/>
      <c r="AO2782" s="17"/>
      <c r="AP2782" s="28" t="str">
        <f t="shared" si="826"/>
        <v>20185</v>
      </c>
      <c r="AQ2782" s="28" t="str">
        <f t="shared" si="827"/>
        <v>20185RMB</v>
      </c>
      <c r="AR2782" s="206" t="str">
        <f t="shared" si="828"/>
        <v>YAMAHA_Mounter</v>
      </c>
      <c r="AS2782" s="22">
        <f t="shared" si="829"/>
        <v>4</v>
      </c>
      <c r="AT2782" s="24" t="str">
        <f t="shared" si="830"/>
        <v>4-6 months</v>
      </c>
      <c r="AU2782" s="22" t="s">
        <v>3240</v>
      </c>
    </row>
    <row r="2783" spans="1:47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832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831"/>
        <v>490000</v>
      </c>
      <c r="AA2783" s="13">
        <v>1.23</v>
      </c>
      <c r="AB2783" s="21">
        <f t="shared" si="817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18"/>
        <v>34109166.105589926</v>
      </c>
      <c r="AJ2783" s="19">
        <f t="shared" si="819"/>
        <v>4642032.7199573703</v>
      </c>
      <c r="AK2783" s="20">
        <f t="shared" si="825"/>
        <v>0.13609340977692849</v>
      </c>
      <c r="AL2783" s="17"/>
      <c r="AM2783" s="17"/>
      <c r="AN2783" s="17"/>
      <c r="AO2783" s="17"/>
      <c r="AP2783" s="28" t="str">
        <f t="shared" si="826"/>
        <v>20185</v>
      </c>
      <c r="AQ2783" s="28" t="str">
        <f t="shared" si="827"/>
        <v>20185RMB</v>
      </c>
      <c r="AR2783" s="206" t="str">
        <f t="shared" si="828"/>
        <v>YAMAHA_Mounter</v>
      </c>
      <c r="AS2783" s="22">
        <f t="shared" si="829"/>
        <v>4</v>
      </c>
      <c r="AT2783" s="24" t="str">
        <f t="shared" si="830"/>
        <v>4-6 months</v>
      </c>
      <c r="AU2783" s="22" t="s">
        <v>3240</v>
      </c>
    </row>
    <row r="2784" spans="1:47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832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833">IF(W2784="RMB","1.13", "1")</f>
        <v>1</v>
      </c>
      <c r="Z2784" s="18">
        <f t="shared" si="831"/>
        <v>12000000</v>
      </c>
      <c r="AA2784" s="13">
        <v>7.2800000000000004E-2</v>
      </c>
      <c r="AB2784" s="21">
        <f t="shared" si="817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18"/>
        <v>63006605.696460173</v>
      </c>
      <c r="AJ2784" s="19">
        <f t="shared" si="819"/>
        <v>8897485.660753984</v>
      </c>
      <c r="AK2784" s="20">
        <f t="shared" si="825"/>
        <v>0.141215124388995</v>
      </c>
      <c r="AL2784" s="17"/>
      <c r="AM2784" s="17"/>
      <c r="AN2784" s="17"/>
      <c r="AO2784" s="17"/>
      <c r="AP2784" s="28" t="str">
        <f t="shared" si="826"/>
        <v>20215</v>
      </c>
      <c r="AQ2784" s="28" t="str">
        <f t="shared" si="827"/>
        <v>20215JPY</v>
      </c>
      <c r="AR2784" s="206" t="str">
        <f t="shared" si="828"/>
        <v>YAMAHA_Mounter</v>
      </c>
      <c r="AS2784" s="22">
        <f t="shared" si="829"/>
        <v>4</v>
      </c>
      <c r="AT2784" s="24" t="str">
        <f t="shared" si="830"/>
        <v>4-6 months</v>
      </c>
      <c r="AU2784" s="22" t="s">
        <v>3744</v>
      </c>
    </row>
    <row r="2785" spans="1:47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832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833"/>
        <v>1</v>
      </c>
      <c r="Z2785" s="18">
        <f t="shared" si="831"/>
        <v>12000000</v>
      </c>
      <c r="AA2785" s="13">
        <v>7.2800000000000004E-2</v>
      </c>
      <c r="AB2785" s="21">
        <f t="shared" si="817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18"/>
        <v>63006605.696460173</v>
      </c>
      <c r="AJ2785" s="19">
        <f t="shared" si="819"/>
        <v>8897485.660753984</v>
      </c>
      <c r="AK2785" s="20">
        <f t="shared" si="825"/>
        <v>0.141215124388995</v>
      </c>
      <c r="AL2785" s="17"/>
      <c r="AM2785" s="17"/>
      <c r="AN2785" s="17"/>
      <c r="AO2785" s="17"/>
      <c r="AP2785" s="28" t="str">
        <f t="shared" si="826"/>
        <v>20215</v>
      </c>
      <c r="AQ2785" s="28" t="str">
        <f t="shared" si="827"/>
        <v>20215JPY</v>
      </c>
      <c r="AR2785" s="206" t="str">
        <f t="shared" si="828"/>
        <v>YAMAHA_Mounter</v>
      </c>
      <c r="AS2785" s="22">
        <f t="shared" si="829"/>
        <v>4</v>
      </c>
      <c r="AT2785" s="24" t="str">
        <f t="shared" si="830"/>
        <v>4-6 months</v>
      </c>
      <c r="AU2785" s="22" t="s">
        <v>3744</v>
      </c>
    </row>
    <row r="2786" spans="1:47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832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833"/>
        <v>1</v>
      </c>
      <c r="Z2786" s="18">
        <f t="shared" si="831"/>
        <v>12000000</v>
      </c>
      <c r="AA2786" s="13">
        <v>7.2800000000000004E-2</v>
      </c>
      <c r="AB2786" s="21">
        <f t="shared" si="817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18"/>
        <v>63006605.696460173</v>
      </c>
      <c r="AJ2786" s="19">
        <f t="shared" si="819"/>
        <v>8897485.660753984</v>
      </c>
      <c r="AK2786" s="20">
        <f t="shared" si="825"/>
        <v>0.141215124388995</v>
      </c>
      <c r="AL2786" s="17"/>
      <c r="AM2786" s="17"/>
      <c r="AN2786" s="17"/>
      <c r="AO2786" s="17"/>
      <c r="AP2786" s="28" t="str">
        <f t="shared" si="826"/>
        <v>20215</v>
      </c>
      <c r="AQ2786" s="28" t="str">
        <f t="shared" si="827"/>
        <v>20215JPY</v>
      </c>
      <c r="AR2786" s="206" t="str">
        <f t="shared" si="828"/>
        <v>YAMAHA_Mounter</v>
      </c>
      <c r="AS2786" s="22">
        <f t="shared" si="829"/>
        <v>4</v>
      </c>
      <c r="AT2786" s="24" t="str">
        <f t="shared" si="830"/>
        <v>4-6 months</v>
      </c>
      <c r="AU2786" s="22" t="s">
        <v>3744</v>
      </c>
    </row>
    <row r="2787" spans="1:47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832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833"/>
        <v>1</v>
      </c>
      <c r="Z2787" s="18">
        <f t="shared" si="831"/>
        <v>9300000</v>
      </c>
      <c r="AA2787" s="13">
        <v>7.2800000000000004E-2</v>
      </c>
      <c r="AB2787" s="21">
        <f t="shared" si="817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18"/>
        <v>63006605.696460173</v>
      </c>
      <c r="AJ2787" s="19">
        <f t="shared" si="819"/>
        <v>8897485.660753984</v>
      </c>
      <c r="AK2787" s="20">
        <f t="shared" si="825"/>
        <v>0.141215124388995</v>
      </c>
      <c r="AL2787" s="17"/>
      <c r="AM2787" s="17"/>
      <c r="AN2787" s="17"/>
      <c r="AO2787" s="17"/>
      <c r="AP2787" s="28" t="str">
        <f t="shared" si="826"/>
        <v>20215</v>
      </c>
      <c r="AQ2787" s="28" t="str">
        <f t="shared" si="827"/>
        <v>20215JPY</v>
      </c>
      <c r="AR2787" s="206" t="str">
        <f t="shared" si="828"/>
        <v>YAMAHA_Mounter</v>
      </c>
      <c r="AS2787" s="22">
        <f t="shared" si="829"/>
        <v>4</v>
      </c>
      <c r="AT2787" s="24" t="str">
        <f t="shared" si="830"/>
        <v>4-6 months</v>
      </c>
      <c r="AU2787" s="22" t="s">
        <v>3744</v>
      </c>
    </row>
    <row r="2788" spans="1:47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832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833"/>
        <v>1</v>
      </c>
      <c r="Z2788" s="18">
        <f t="shared" si="831"/>
        <v>9300000</v>
      </c>
      <c r="AA2788" s="13">
        <v>7.2800000000000004E-2</v>
      </c>
      <c r="AB2788" s="21">
        <f t="shared" si="817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18"/>
        <v>63006605.696460173</v>
      </c>
      <c r="AJ2788" s="19">
        <f t="shared" si="819"/>
        <v>8897485.660753984</v>
      </c>
      <c r="AK2788" s="20">
        <f t="shared" si="825"/>
        <v>0.141215124388995</v>
      </c>
      <c r="AL2788" s="17"/>
      <c r="AM2788" s="17"/>
      <c r="AN2788" s="17"/>
      <c r="AO2788" s="17"/>
      <c r="AP2788" s="28" t="str">
        <f t="shared" si="826"/>
        <v>20215</v>
      </c>
      <c r="AQ2788" s="28" t="str">
        <f t="shared" si="827"/>
        <v>20215JPY</v>
      </c>
      <c r="AR2788" s="206" t="str">
        <f t="shared" si="828"/>
        <v>YAMAHA_Mounter</v>
      </c>
      <c r="AS2788" s="22">
        <f t="shared" si="829"/>
        <v>4</v>
      </c>
      <c r="AT2788" s="24" t="str">
        <f t="shared" si="830"/>
        <v>4-6 months</v>
      </c>
      <c r="AU2788" s="22" t="s">
        <v>3744</v>
      </c>
    </row>
    <row r="2789" spans="1:47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832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833"/>
        <v>1</v>
      </c>
      <c r="Z2789" s="18">
        <f t="shared" si="831"/>
        <v>9300000</v>
      </c>
      <c r="AA2789" s="13">
        <v>7.2800000000000004E-2</v>
      </c>
      <c r="AB2789" s="21">
        <f t="shared" si="817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18"/>
        <v>63006605.696460173</v>
      </c>
      <c r="AJ2789" s="19">
        <f t="shared" si="819"/>
        <v>8897485.660753984</v>
      </c>
      <c r="AK2789" s="20">
        <f t="shared" si="825"/>
        <v>0.141215124388995</v>
      </c>
      <c r="AL2789" s="17"/>
      <c r="AM2789" s="17"/>
      <c r="AN2789" s="17"/>
      <c r="AO2789" s="17"/>
      <c r="AP2789" s="28" t="str">
        <f t="shared" si="826"/>
        <v>20215</v>
      </c>
      <c r="AQ2789" s="28" t="str">
        <f t="shared" si="827"/>
        <v>20215JPY</v>
      </c>
      <c r="AR2789" s="206" t="str">
        <f t="shared" si="828"/>
        <v>YAMAHA_Mounter</v>
      </c>
      <c r="AS2789" s="22">
        <f t="shared" si="829"/>
        <v>4</v>
      </c>
      <c r="AT2789" s="24" t="str">
        <f t="shared" si="830"/>
        <v>4-6 months</v>
      </c>
      <c r="AU2789" s="22" t="s">
        <v>3744</v>
      </c>
    </row>
    <row r="2790" spans="1:47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832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831"/>
        <v>15000000</v>
      </c>
      <c r="AA2790" s="22">
        <v>5.2299999999999999E-2</v>
      </c>
      <c r="AB2790" s="21">
        <f t="shared" si="817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18"/>
        <v>25354039.366920356</v>
      </c>
      <c r="AJ2790" s="27">
        <f t="shared" si="819"/>
        <v>3028631.2816309328</v>
      </c>
      <c r="AK2790" s="28">
        <f t="shared" si="825"/>
        <v>0.11945360018579192</v>
      </c>
      <c r="AL2790" s="24"/>
      <c r="AM2790" s="24"/>
      <c r="AN2790" s="24"/>
      <c r="AO2790" s="24"/>
      <c r="AP2790" s="28" t="str">
        <f t="shared" si="826"/>
        <v>20248</v>
      </c>
      <c r="AQ2790" s="28" t="str">
        <f t="shared" si="827"/>
        <v>20248JPY</v>
      </c>
      <c r="AR2790" s="206" t="str">
        <f t="shared" si="828"/>
        <v>YAMAHA_Mounter</v>
      </c>
      <c r="AS2790" s="22">
        <f t="shared" si="829"/>
        <v>4</v>
      </c>
      <c r="AT2790" s="24" t="str">
        <f t="shared" si="830"/>
        <v>4-6 months</v>
      </c>
      <c r="AU2790" s="22" t="s">
        <v>3745</v>
      </c>
    </row>
    <row r="2791" spans="1:47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822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832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831"/>
        <v>600000</v>
      </c>
      <c r="AA2791" s="22">
        <v>1.0640000000000001</v>
      </c>
      <c r="AB2791" s="21">
        <f t="shared" si="817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18"/>
        <v>499582152.5142017</v>
      </c>
      <c r="AJ2791" s="27">
        <f t="shared" si="819"/>
        <v>59520528.679470733</v>
      </c>
      <c r="AK2791" s="28">
        <f t="shared" si="825"/>
        <v>0.11914062257814291</v>
      </c>
      <c r="AL2791" s="24"/>
      <c r="AM2791" s="24"/>
      <c r="AN2791" s="24"/>
      <c r="AO2791" s="24"/>
      <c r="AP2791" s="28" t="str">
        <f t="shared" si="826"/>
        <v>CancelCancel</v>
      </c>
      <c r="AQ2791" s="28" t="str">
        <f t="shared" si="827"/>
        <v>CancelCancelRMB</v>
      </c>
      <c r="AR2791" s="206" t="str">
        <f t="shared" si="828"/>
        <v>YAMAHA_Mounter</v>
      </c>
      <c r="AS2791" s="22" t="str">
        <f t="shared" si="829"/>
        <v/>
      </c>
      <c r="AT2791" s="24" t="str">
        <f t="shared" si="830"/>
        <v/>
      </c>
      <c r="AU2791" s="22" t="s">
        <v>3750</v>
      </c>
    </row>
    <row r="2792" spans="1:47" s="12" customFormat="1">
      <c r="A2792" s="33" t="str">
        <f t="shared" si="820"/>
        <v>cancel</v>
      </c>
      <c r="B2792" s="152"/>
      <c r="C2792" s="152" t="s">
        <v>185</v>
      </c>
      <c r="D2792" s="33" t="str">
        <f t="shared" si="821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822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832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834">IF(W2792="RMB","1.13", "1")</f>
        <v>1</v>
      </c>
      <c r="Z2792" s="18">
        <f t="shared" si="831"/>
        <v>14000000</v>
      </c>
      <c r="AA2792" s="13">
        <v>7.3999999999999996E-2</v>
      </c>
      <c r="AB2792" s="21">
        <f t="shared" si="817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18"/>
        <v>499582152.5142017</v>
      </c>
      <c r="AJ2792" s="19">
        <f t="shared" si="819"/>
        <v>59520528.679470733</v>
      </c>
      <c r="AK2792" s="20">
        <f t="shared" si="825"/>
        <v>0.11914062257814291</v>
      </c>
      <c r="AL2792" s="17"/>
      <c r="AM2792" s="17"/>
      <c r="AN2792" s="17"/>
      <c r="AO2792" s="17"/>
      <c r="AP2792" s="28" t="str">
        <f t="shared" si="826"/>
        <v>CancelCancel</v>
      </c>
      <c r="AQ2792" s="28" t="str">
        <f t="shared" si="827"/>
        <v>CancelCancelJPY</v>
      </c>
      <c r="AR2792" s="206" t="str">
        <f t="shared" si="828"/>
        <v>YAMAHA_Mounter</v>
      </c>
      <c r="AS2792" s="22" t="str">
        <f t="shared" si="829"/>
        <v/>
      </c>
      <c r="AT2792" s="24" t="str">
        <f t="shared" si="830"/>
        <v/>
      </c>
      <c r="AU2792" s="22" t="s">
        <v>3744</v>
      </c>
    </row>
    <row r="2793" spans="1:47" s="12" customFormat="1">
      <c r="A2793" s="33" t="str">
        <f t="shared" si="820"/>
        <v>cancel</v>
      </c>
      <c r="B2793" s="152"/>
      <c r="C2793" s="152" t="s">
        <v>185</v>
      </c>
      <c r="D2793" s="33" t="str">
        <f t="shared" si="821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822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832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834"/>
        <v>1</v>
      </c>
      <c r="Z2793" s="18">
        <f t="shared" si="831"/>
        <v>10500000</v>
      </c>
      <c r="AA2793" s="13">
        <v>7.3999999999999996E-2</v>
      </c>
      <c r="AB2793" s="21">
        <f t="shared" si="817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18"/>
        <v>499582152.5142017</v>
      </c>
      <c r="AJ2793" s="19">
        <f t="shared" si="819"/>
        <v>59520528.679470733</v>
      </c>
      <c r="AK2793" s="20">
        <f t="shared" si="825"/>
        <v>0.11914062257814291</v>
      </c>
      <c r="AL2793" s="17"/>
      <c r="AM2793" s="17"/>
      <c r="AN2793" s="17"/>
      <c r="AO2793" s="17"/>
      <c r="AP2793" s="28" t="str">
        <f t="shared" si="826"/>
        <v>CancelCancel</v>
      </c>
      <c r="AQ2793" s="28" t="str">
        <f t="shared" si="827"/>
        <v>CancelCancelJPY</v>
      </c>
      <c r="AR2793" s="206" t="str">
        <f t="shared" si="828"/>
        <v>YAMAHA_Mounter</v>
      </c>
      <c r="AS2793" s="22" t="str">
        <f t="shared" si="829"/>
        <v/>
      </c>
      <c r="AT2793" s="24" t="str">
        <f t="shared" si="830"/>
        <v/>
      </c>
      <c r="AU2793" s="22" t="s">
        <v>3744</v>
      </c>
    </row>
    <row r="2794" spans="1:47" s="12" customFormat="1">
      <c r="A2794" s="33" t="str">
        <f t="shared" si="820"/>
        <v>cancel</v>
      </c>
      <c r="B2794" s="152"/>
      <c r="C2794" s="152" t="s">
        <v>185</v>
      </c>
      <c r="D2794" s="33" t="str">
        <f t="shared" si="821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822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832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834"/>
        <v>1</v>
      </c>
      <c r="Z2794" s="18">
        <f t="shared" si="831"/>
        <v>28000000</v>
      </c>
      <c r="AA2794" s="13">
        <v>7.3999999999999996E-2</v>
      </c>
      <c r="AB2794" s="21">
        <f t="shared" si="817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18"/>
        <v>499582152.5142017</v>
      </c>
      <c r="AJ2794" s="19">
        <f t="shared" si="819"/>
        <v>59520528.679470733</v>
      </c>
      <c r="AK2794" s="20">
        <f t="shared" si="825"/>
        <v>0.11914062257814291</v>
      </c>
      <c r="AL2794" s="17"/>
      <c r="AM2794" s="17"/>
      <c r="AN2794" s="17"/>
      <c r="AO2794" s="17"/>
      <c r="AP2794" s="28" t="str">
        <f t="shared" si="826"/>
        <v>CancelCancel</v>
      </c>
      <c r="AQ2794" s="28" t="str">
        <f t="shared" si="827"/>
        <v>CancelCancelJPY</v>
      </c>
      <c r="AR2794" s="206" t="str">
        <f t="shared" si="828"/>
        <v>YAMAHA_Mounter</v>
      </c>
      <c r="AS2794" s="22" t="str">
        <f t="shared" si="829"/>
        <v/>
      </c>
      <c r="AT2794" s="24" t="str">
        <f t="shared" si="830"/>
        <v/>
      </c>
      <c r="AU2794" s="22" t="s">
        <v>3744</v>
      </c>
    </row>
    <row r="2795" spans="1:47" s="12" customFormat="1">
      <c r="A2795" s="33" t="str">
        <f t="shared" si="820"/>
        <v>cancel</v>
      </c>
      <c r="B2795" s="152"/>
      <c r="C2795" s="152" t="s">
        <v>185</v>
      </c>
      <c r="D2795" s="33" t="str">
        <f t="shared" si="821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822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832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834"/>
        <v>1</v>
      </c>
      <c r="Z2795" s="18">
        <f t="shared" si="831"/>
        <v>42000000</v>
      </c>
      <c r="AA2795" s="13">
        <v>7.3400000000000007E-2</v>
      </c>
      <c r="AB2795" s="21">
        <f t="shared" si="817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18"/>
        <v>499582152.5142017</v>
      </c>
      <c r="AJ2795" s="19">
        <f t="shared" si="819"/>
        <v>59520528.679470733</v>
      </c>
      <c r="AK2795" s="20">
        <f t="shared" si="825"/>
        <v>0.11914062257814291</v>
      </c>
      <c r="AL2795" s="17"/>
      <c r="AM2795" s="17"/>
      <c r="AN2795" s="17"/>
      <c r="AO2795" s="17"/>
      <c r="AP2795" s="28" t="str">
        <f t="shared" si="826"/>
        <v>CancelCancel</v>
      </c>
      <c r="AQ2795" s="28" t="str">
        <f t="shared" si="827"/>
        <v>CancelCancelJPY</v>
      </c>
      <c r="AR2795" s="206" t="str">
        <f t="shared" si="828"/>
        <v>YAMAHA_Mounter</v>
      </c>
      <c r="AS2795" s="22" t="str">
        <f t="shared" si="829"/>
        <v/>
      </c>
      <c r="AT2795" s="24" t="str">
        <f t="shared" si="830"/>
        <v/>
      </c>
      <c r="AU2795" s="22" t="s">
        <v>3744</v>
      </c>
    </row>
    <row r="2796" spans="1:47" s="12" customFormat="1">
      <c r="A2796" s="33" t="str">
        <f t="shared" si="820"/>
        <v>cancel</v>
      </c>
      <c r="B2796" s="152"/>
      <c r="C2796" s="152" t="s">
        <v>185</v>
      </c>
      <c r="D2796" s="33" t="str">
        <f t="shared" si="821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822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832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834"/>
        <v>1</v>
      </c>
      <c r="Z2796" s="18">
        <f t="shared" si="831"/>
        <v>10500000</v>
      </c>
      <c r="AA2796" s="13">
        <v>7.3999999999999996E-2</v>
      </c>
      <c r="AB2796" s="21">
        <f t="shared" si="817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18"/>
        <v>499582152.5142017</v>
      </c>
      <c r="AJ2796" s="19">
        <f t="shared" si="819"/>
        <v>59520528.679470733</v>
      </c>
      <c r="AK2796" s="20">
        <f t="shared" si="825"/>
        <v>0.11914062257814291</v>
      </c>
      <c r="AL2796" s="17"/>
      <c r="AM2796" s="17"/>
      <c r="AN2796" s="17"/>
      <c r="AO2796" s="17"/>
      <c r="AP2796" s="28" t="str">
        <f t="shared" si="826"/>
        <v>CancelCancel</v>
      </c>
      <c r="AQ2796" s="28" t="str">
        <f t="shared" si="827"/>
        <v>CancelCancelJPY</v>
      </c>
      <c r="AR2796" s="206" t="str">
        <f t="shared" si="828"/>
        <v>YAMAHA_Mounter</v>
      </c>
      <c r="AS2796" s="22" t="str">
        <f t="shared" si="829"/>
        <v/>
      </c>
      <c r="AT2796" s="24" t="str">
        <f t="shared" si="830"/>
        <v/>
      </c>
      <c r="AU2796" s="22" t="s">
        <v>3744</v>
      </c>
    </row>
    <row r="2797" spans="1:47" s="12" customFormat="1">
      <c r="A2797" s="33" t="str">
        <f t="shared" si="820"/>
        <v>cancel</v>
      </c>
      <c r="B2797" s="152"/>
      <c r="C2797" s="152" t="s">
        <v>185</v>
      </c>
      <c r="D2797" s="33" t="str">
        <f t="shared" si="821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822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832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834"/>
        <v>1</v>
      </c>
      <c r="Z2797" s="18">
        <f t="shared" si="831"/>
        <v>21000000</v>
      </c>
      <c r="AA2797" s="13">
        <v>7.3999999999999996E-2</v>
      </c>
      <c r="AB2797" s="21">
        <f t="shared" si="817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18"/>
        <v>499582152.5142017</v>
      </c>
      <c r="AJ2797" s="19">
        <f t="shared" si="819"/>
        <v>59520528.679470733</v>
      </c>
      <c r="AK2797" s="20">
        <f t="shared" si="825"/>
        <v>0.11914062257814291</v>
      </c>
      <c r="AL2797" s="17"/>
      <c r="AM2797" s="17"/>
      <c r="AN2797" s="17"/>
      <c r="AO2797" s="17"/>
      <c r="AP2797" s="28" t="str">
        <f t="shared" si="826"/>
        <v>CancelCancel</v>
      </c>
      <c r="AQ2797" s="28" t="str">
        <f t="shared" si="827"/>
        <v>CancelCancelJPY</v>
      </c>
      <c r="AR2797" s="206" t="str">
        <f t="shared" si="828"/>
        <v>YAMAHA_Mounter</v>
      </c>
      <c r="AS2797" s="22" t="str">
        <f t="shared" si="829"/>
        <v/>
      </c>
      <c r="AT2797" s="24" t="str">
        <f t="shared" si="830"/>
        <v/>
      </c>
      <c r="AU2797" s="22" t="s">
        <v>3744</v>
      </c>
    </row>
    <row r="2798" spans="1:47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822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832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834"/>
        <v>1</v>
      </c>
      <c r="Z2798" s="18">
        <f t="shared" si="831"/>
        <v>13500000</v>
      </c>
      <c r="AA2798" s="13">
        <v>5.4199999999999998E-2</v>
      </c>
      <c r="AB2798" s="21">
        <f t="shared" si="817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18"/>
        <v>499582152.5142017</v>
      </c>
      <c r="AJ2798" s="19">
        <f t="shared" si="819"/>
        <v>59520528.679470733</v>
      </c>
      <c r="AK2798" s="20">
        <f t="shared" si="825"/>
        <v>0.11914062257814291</v>
      </c>
      <c r="AL2798" s="17"/>
      <c r="AM2798" s="17"/>
      <c r="AN2798" s="17"/>
      <c r="AO2798" s="17" t="s">
        <v>2626</v>
      </c>
      <c r="AP2798" s="28" t="str">
        <f t="shared" si="826"/>
        <v>CancelCancel</v>
      </c>
      <c r="AQ2798" s="28" t="str">
        <f t="shared" si="827"/>
        <v>CancelCancelJPY</v>
      </c>
      <c r="AR2798" s="206" t="str">
        <f t="shared" si="828"/>
        <v>YAMAHA_Mounter</v>
      </c>
      <c r="AS2798" s="22" t="str">
        <f t="shared" si="829"/>
        <v/>
      </c>
      <c r="AT2798" s="24" t="str">
        <f t="shared" si="830"/>
        <v/>
      </c>
      <c r="AU2798" s="22" t="s">
        <v>3744</v>
      </c>
    </row>
    <row r="2799" spans="1:47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822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832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834"/>
        <v>1</v>
      </c>
      <c r="Z2799" s="18">
        <f t="shared" si="831"/>
        <v>13500000</v>
      </c>
      <c r="AA2799" s="13">
        <v>5.4199999999999998E-2</v>
      </c>
      <c r="AB2799" s="21">
        <f t="shared" si="817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18"/>
        <v>499582152.5142017</v>
      </c>
      <c r="AJ2799" s="19">
        <f t="shared" si="819"/>
        <v>59520528.679470733</v>
      </c>
      <c r="AK2799" s="20">
        <f t="shared" si="825"/>
        <v>0.11914062257814291</v>
      </c>
      <c r="AL2799" s="17"/>
      <c r="AM2799" s="17"/>
      <c r="AN2799" s="17"/>
      <c r="AO2799" s="17" t="s">
        <v>2626</v>
      </c>
      <c r="AP2799" s="28" t="str">
        <f t="shared" si="826"/>
        <v>CancelCancel</v>
      </c>
      <c r="AQ2799" s="28" t="str">
        <f t="shared" si="827"/>
        <v>CancelCancelJPY</v>
      </c>
      <c r="AR2799" s="206" t="str">
        <f t="shared" si="828"/>
        <v>YAMAHA_Mounter</v>
      </c>
      <c r="AS2799" s="22" t="str">
        <f t="shared" si="829"/>
        <v/>
      </c>
      <c r="AT2799" s="24" t="str">
        <f t="shared" si="830"/>
        <v/>
      </c>
      <c r="AU2799" s="22" t="s">
        <v>3744</v>
      </c>
    </row>
    <row r="2800" spans="1:47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822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832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834"/>
        <v>1</v>
      </c>
      <c r="Z2800" s="18">
        <f t="shared" si="831"/>
        <v>10500000</v>
      </c>
      <c r="AA2800" s="13">
        <v>5.4199999999999998E-2</v>
      </c>
      <c r="AB2800" s="21">
        <f t="shared" si="817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18"/>
        <v>499582152.5142017</v>
      </c>
      <c r="AJ2800" s="19">
        <f t="shared" si="819"/>
        <v>59520528.679470733</v>
      </c>
      <c r="AK2800" s="20">
        <f t="shared" si="825"/>
        <v>0.11914062257814291</v>
      </c>
      <c r="AL2800" s="17"/>
      <c r="AM2800" s="17"/>
      <c r="AN2800" s="17"/>
      <c r="AO2800" s="17" t="s">
        <v>2626</v>
      </c>
      <c r="AP2800" s="28" t="str">
        <f t="shared" si="826"/>
        <v>CancelCancel</v>
      </c>
      <c r="AQ2800" s="28" t="str">
        <f t="shared" si="827"/>
        <v>CancelCancelJPY</v>
      </c>
      <c r="AR2800" s="206" t="str">
        <f t="shared" si="828"/>
        <v>YAMAHA_Mounter</v>
      </c>
      <c r="AS2800" s="22" t="str">
        <f t="shared" si="829"/>
        <v/>
      </c>
      <c r="AT2800" s="24" t="str">
        <f t="shared" si="830"/>
        <v/>
      </c>
      <c r="AU2800" s="22" t="s">
        <v>3744</v>
      </c>
    </row>
    <row r="2801" spans="1:47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822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832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834"/>
        <v>1</v>
      </c>
      <c r="Z2801" s="18">
        <f t="shared" si="831"/>
        <v>6850000</v>
      </c>
      <c r="AA2801" s="13">
        <v>7.6100000000000001E-2</v>
      </c>
      <c r="AB2801" s="21">
        <f t="shared" si="817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18"/>
        <v>499582152.5142017</v>
      </c>
      <c r="AJ2801" s="19">
        <f t="shared" si="819"/>
        <v>59520528.679470733</v>
      </c>
      <c r="AK2801" s="20">
        <f t="shared" si="825"/>
        <v>0.11914062257814291</v>
      </c>
      <c r="AL2801" s="17"/>
      <c r="AM2801" s="17"/>
      <c r="AN2801" s="17"/>
      <c r="AO2801" s="17"/>
      <c r="AP2801" s="28" t="str">
        <f t="shared" si="826"/>
        <v>CancelCancel</v>
      </c>
      <c r="AQ2801" s="28" t="str">
        <f t="shared" si="827"/>
        <v>CancelCancelJPY</v>
      </c>
      <c r="AR2801" s="206" t="str">
        <f t="shared" si="828"/>
        <v>YAMAHA_Mounter</v>
      </c>
      <c r="AS2801" s="22" t="str">
        <f t="shared" si="829"/>
        <v/>
      </c>
      <c r="AT2801" s="24" t="str">
        <f t="shared" si="830"/>
        <v/>
      </c>
      <c r="AU2801" s="22" t="s">
        <v>3744</v>
      </c>
    </row>
    <row r="2802" spans="1:47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832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831"/>
        <v>390000</v>
      </c>
      <c r="AA2802" s="13">
        <v>1.07</v>
      </c>
      <c r="AB2802" s="21">
        <f t="shared" si="817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18"/>
        <v>5219988.5752212387</v>
      </c>
      <c r="AJ2802" s="19">
        <f t="shared" si="819"/>
        <v>631627.0013460177</v>
      </c>
      <c r="AK2802" s="20">
        <f t="shared" si="825"/>
        <v>0.12100160608478869</v>
      </c>
      <c r="AL2802" s="17"/>
      <c r="AM2802" s="17"/>
      <c r="AN2802" s="17"/>
      <c r="AO2802" s="17"/>
      <c r="AP2802" s="28" t="str">
        <f t="shared" si="826"/>
        <v>202310</v>
      </c>
      <c r="AQ2802" s="28" t="str">
        <f t="shared" si="827"/>
        <v>202310RMB</v>
      </c>
      <c r="AR2802" s="206" t="str">
        <f t="shared" si="828"/>
        <v>YAMAHA_Mounter</v>
      </c>
      <c r="AS2802" s="22">
        <f t="shared" si="829"/>
        <v>0</v>
      </c>
      <c r="AT2802" s="24" t="str">
        <f t="shared" si="830"/>
        <v>0-3 months</v>
      </c>
      <c r="AU2802" s="22" t="s">
        <v>3240</v>
      </c>
    </row>
    <row r="2803" spans="1:47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832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831"/>
        <v>788000</v>
      </c>
      <c r="AA2803" s="13">
        <v>1.1950000000000001</v>
      </c>
      <c r="AB2803" s="21">
        <f t="shared" si="817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18"/>
        <v>63006605.696460173</v>
      </c>
      <c r="AJ2803" s="19">
        <f t="shared" si="819"/>
        <v>8897485.660753984</v>
      </c>
      <c r="AK2803" s="20">
        <f t="shared" si="825"/>
        <v>0.141215124388995</v>
      </c>
      <c r="AL2803" s="17"/>
      <c r="AM2803" s="17"/>
      <c r="AN2803" s="17"/>
      <c r="AO2803" s="17"/>
      <c r="AP2803" s="28" t="str">
        <f t="shared" si="826"/>
        <v>20215</v>
      </c>
      <c r="AQ2803" s="28" t="str">
        <f t="shared" si="827"/>
        <v>20215RMB</v>
      </c>
      <c r="AR2803" s="206" t="str">
        <f t="shared" si="828"/>
        <v>YAMAHA_Mounter</v>
      </c>
      <c r="AS2803" s="22">
        <f t="shared" si="829"/>
        <v>1</v>
      </c>
      <c r="AT2803" s="24" t="str">
        <f t="shared" si="830"/>
        <v>0-3 months</v>
      </c>
      <c r="AU2803" s="22" t="s">
        <v>3240</v>
      </c>
    </row>
    <row r="2804" spans="1:47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832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831"/>
        <v>10325000</v>
      </c>
      <c r="AA2804" s="13">
        <v>7.17E-2</v>
      </c>
      <c r="AB2804" s="21">
        <f t="shared" si="817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18"/>
        <v>41443303.53761062</v>
      </c>
      <c r="AJ2804" s="19">
        <f t="shared" si="819"/>
        <v>6194988.76643031</v>
      </c>
      <c r="AK2804" s="20">
        <f t="shared" si="825"/>
        <v>0.1494810557466355</v>
      </c>
      <c r="AL2804" s="17"/>
      <c r="AM2804" s="17"/>
      <c r="AN2804" s="17"/>
      <c r="AO2804" s="17"/>
      <c r="AP2804" s="28" t="str">
        <f t="shared" si="826"/>
        <v>20217</v>
      </c>
      <c r="AQ2804" s="28" t="str">
        <f t="shared" si="827"/>
        <v>20217JPY</v>
      </c>
      <c r="AR2804" s="206" t="str">
        <f t="shared" si="828"/>
        <v>YAMAHA_Mounter</v>
      </c>
      <c r="AS2804" s="22">
        <f t="shared" si="829"/>
        <v>0</v>
      </c>
      <c r="AT2804" s="24" t="str">
        <f t="shared" si="830"/>
        <v>0-3 months</v>
      </c>
      <c r="AU2804" s="22" t="s">
        <v>3745</v>
      </c>
    </row>
    <row r="2805" spans="1:47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832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831"/>
        <v>10325000</v>
      </c>
      <c r="AA2805" s="13">
        <v>7.17E-2</v>
      </c>
      <c r="AB2805" s="21">
        <f t="shared" si="817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18"/>
        <v>41443303.53761062</v>
      </c>
      <c r="AJ2805" s="19">
        <f t="shared" si="819"/>
        <v>6194988.76643031</v>
      </c>
      <c r="AK2805" s="20">
        <f t="shared" si="825"/>
        <v>0.1494810557466355</v>
      </c>
      <c r="AL2805" s="17"/>
      <c r="AM2805" s="17"/>
      <c r="AN2805" s="17"/>
      <c r="AO2805" s="17"/>
      <c r="AP2805" s="28" t="str">
        <f t="shared" si="826"/>
        <v>20217</v>
      </c>
      <c r="AQ2805" s="28" t="str">
        <f t="shared" si="827"/>
        <v>20217JPY</v>
      </c>
      <c r="AR2805" s="206" t="str">
        <f t="shared" si="828"/>
        <v>YAMAHA_Mounter</v>
      </c>
      <c r="AS2805" s="22">
        <f t="shared" si="829"/>
        <v>0</v>
      </c>
      <c r="AT2805" s="24" t="str">
        <f t="shared" si="830"/>
        <v>0-3 months</v>
      </c>
      <c r="AU2805" s="22" t="s">
        <v>3745</v>
      </c>
    </row>
    <row r="2806" spans="1:47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832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831"/>
        <v>12030000</v>
      </c>
      <c r="AA2806" s="13">
        <v>7.17E-2</v>
      </c>
      <c r="AB2806" s="21">
        <f t="shared" si="817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18"/>
        <v>14593788.187146019</v>
      </c>
      <c r="AJ2806" s="19">
        <f t="shared" si="819"/>
        <v>1868647.7321969916</v>
      </c>
      <c r="AK2806" s="20">
        <f t="shared" si="825"/>
        <v>0.12804404916900652</v>
      </c>
      <c r="AL2806" s="17"/>
      <c r="AM2806" s="17"/>
      <c r="AN2806" s="17"/>
      <c r="AO2806" s="17"/>
      <c r="AP2806" s="28" t="str">
        <f t="shared" si="826"/>
        <v>20195</v>
      </c>
      <c r="AQ2806" s="28" t="str">
        <f t="shared" si="827"/>
        <v>20195JPY</v>
      </c>
      <c r="AR2806" s="206" t="str">
        <f t="shared" si="828"/>
        <v>YAMAHA_Mounter</v>
      </c>
      <c r="AS2806" s="22">
        <f t="shared" si="829"/>
        <v>1</v>
      </c>
      <c r="AT2806" s="24" t="str">
        <f t="shared" si="830"/>
        <v>0-3 months</v>
      </c>
      <c r="AU2806" s="22" t="s">
        <v>3745</v>
      </c>
    </row>
    <row r="2807" spans="1:47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832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831"/>
        <v>12030000</v>
      </c>
      <c r="AA2807" s="13">
        <v>7.17E-2</v>
      </c>
      <c r="AB2807" s="21">
        <f t="shared" si="817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18"/>
        <v>14593788.187146019</v>
      </c>
      <c r="AJ2807" s="19">
        <f t="shared" si="819"/>
        <v>1868647.7321969916</v>
      </c>
      <c r="AK2807" s="20">
        <f t="shared" si="825"/>
        <v>0.12804404916900652</v>
      </c>
      <c r="AL2807" s="17"/>
      <c r="AM2807" s="17"/>
      <c r="AN2807" s="17"/>
      <c r="AO2807" s="17"/>
      <c r="AP2807" s="28" t="str">
        <f t="shared" si="826"/>
        <v>20195</v>
      </c>
      <c r="AQ2807" s="28" t="str">
        <f t="shared" si="827"/>
        <v>20195JPY</v>
      </c>
      <c r="AR2807" s="206" t="str">
        <f t="shared" si="828"/>
        <v>YAMAHA_Mounter</v>
      </c>
      <c r="AS2807" s="22">
        <f t="shared" si="829"/>
        <v>1</v>
      </c>
      <c r="AT2807" s="24" t="str">
        <f t="shared" si="830"/>
        <v>0-3 months</v>
      </c>
      <c r="AU2807" s="22" t="s">
        <v>3745</v>
      </c>
    </row>
    <row r="2808" spans="1:47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832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831"/>
        <v>1380000</v>
      </c>
      <c r="AA2808" s="13">
        <v>1.095</v>
      </c>
      <c r="AB2808" s="21">
        <f t="shared" si="817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18"/>
        <v>28647263.974455759</v>
      </c>
      <c r="AJ2808" s="19">
        <f t="shared" si="819"/>
        <v>3219855.6912513468</v>
      </c>
      <c r="AK2808" s="20">
        <f t="shared" si="825"/>
        <v>0.11239662168514358</v>
      </c>
      <c r="AL2808" s="17"/>
      <c r="AM2808" s="17"/>
      <c r="AN2808" s="17"/>
      <c r="AO2808" s="17"/>
      <c r="AP2808" s="28" t="str">
        <f t="shared" si="826"/>
        <v>201910</v>
      </c>
      <c r="AQ2808" s="28" t="str">
        <f t="shared" si="827"/>
        <v>201910RMB</v>
      </c>
      <c r="AR2808" s="206" t="str">
        <f t="shared" si="828"/>
        <v>YAMAHA_Mounter</v>
      </c>
      <c r="AS2808" s="22">
        <f t="shared" si="829"/>
        <v>1</v>
      </c>
      <c r="AT2808" s="24" t="str">
        <f t="shared" si="830"/>
        <v>0-3 months</v>
      </c>
      <c r="AU2808" s="22" t="s">
        <v>3745</v>
      </c>
    </row>
    <row r="2809" spans="1:47" s="12" customFormat="1">
      <c r="A2809" s="33" t="str">
        <f t="shared" si="820"/>
        <v>cancel</v>
      </c>
      <c r="B2809" s="152"/>
      <c r="C2809" s="152" t="s">
        <v>185</v>
      </c>
      <c r="D2809" s="33" t="str">
        <f t="shared" si="821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822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832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831"/>
        <v>12500000</v>
      </c>
      <c r="AA2809" s="13">
        <v>7.2300000000000003E-2</v>
      </c>
      <c r="AB2809" s="21">
        <f t="shared" si="817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18"/>
        <v>499582152.5142017</v>
      </c>
      <c r="AJ2809" s="19">
        <f t="shared" si="819"/>
        <v>59520528.679470733</v>
      </c>
      <c r="AK2809" s="20">
        <f t="shared" si="825"/>
        <v>0.11914062257814291</v>
      </c>
      <c r="AL2809" s="17"/>
      <c r="AM2809" s="17"/>
      <c r="AN2809" s="17"/>
      <c r="AO2809" s="17" t="s">
        <v>185</v>
      </c>
      <c r="AP2809" s="28" t="str">
        <f t="shared" si="826"/>
        <v>CancelCancel</v>
      </c>
      <c r="AQ2809" s="28" t="str">
        <f t="shared" si="827"/>
        <v>CancelCancelJPY</v>
      </c>
      <c r="AR2809" s="206" t="str">
        <f t="shared" si="828"/>
        <v>YAMAHA_Mounter</v>
      </c>
      <c r="AS2809" s="22" t="str">
        <f t="shared" si="829"/>
        <v/>
      </c>
      <c r="AT2809" s="24" t="str">
        <f t="shared" si="830"/>
        <v/>
      </c>
      <c r="AU2809" s="22" t="s">
        <v>3745</v>
      </c>
    </row>
    <row r="2810" spans="1:47" s="12" customFormat="1">
      <c r="A2810" s="33" t="str">
        <f t="shared" si="820"/>
        <v>cancel</v>
      </c>
      <c r="B2810" s="152"/>
      <c r="C2810" s="152" t="s">
        <v>185</v>
      </c>
      <c r="D2810" s="33" t="str">
        <f t="shared" si="821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822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832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831"/>
        <v>12500000</v>
      </c>
      <c r="AA2810" s="13">
        <v>7.2300000000000003E-2</v>
      </c>
      <c r="AB2810" s="21">
        <f t="shared" si="817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18"/>
        <v>499582152.5142017</v>
      </c>
      <c r="AJ2810" s="19">
        <f t="shared" si="819"/>
        <v>59520528.679470733</v>
      </c>
      <c r="AK2810" s="20">
        <f t="shared" si="825"/>
        <v>0.11914062257814291</v>
      </c>
      <c r="AL2810" s="17"/>
      <c r="AM2810" s="17"/>
      <c r="AN2810" s="17"/>
      <c r="AO2810" s="17" t="s">
        <v>185</v>
      </c>
      <c r="AP2810" s="28" t="str">
        <f t="shared" si="826"/>
        <v>CancelCancel</v>
      </c>
      <c r="AQ2810" s="28" t="str">
        <f t="shared" si="827"/>
        <v>CancelCancelJPY</v>
      </c>
      <c r="AR2810" s="206" t="str">
        <f t="shared" si="828"/>
        <v>YAMAHA_Mounter</v>
      </c>
      <c r="AS2810" s="22" t="str">
        <f t="shared" si="829"/>
        <v/>
      </c>
      <c r="AT2810" s="24" t="str">
        <f t="shared" si="830"/>
        <v/>
      </c>
      <c r="AU2810" s="22" t="s">
        <v>3745</v>
      </c>
    </row>
    <row r="2811" spans="1:47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832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831"/>
        <v>900000</v>
      </c>
      <c r="AA2811" s="13">
        <v>1.1950000000000001</v>
      </c>
      <c r="AB2811" s="21">
        <f t="shared" si="817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18"/>
        <v>63006605.696460173</v>
      </c>
      <c r="AJ2811" s="19">
        <f t="shared" si="819"/>
        <v>8897485.660753984</v>
      </c>
      <c r="AK2811" s="20">
        <f t="shared" si="825"/>
        <v>0.141215124388995</v>
      </c>
      <c r="AL2811" s="17"/>
      <c r="AM2811" s="17"/>
      <c r="AN2811" s="17"/>
      <c r="AO2811" s="17"/>
      <c r="AP2811" s="28" t="str">
        <f t="shared" si="826"/>
        <v>20215</v>
      </c>
      <c r="AQ2811" s="28" t="str">
        <f t="shared" si="827"/>
        <v>20215RMB</v>
      </c>
      <c r="AR2811" s="206" t="str">
        <f t="shared" si="828"/>
        <v>YAMAHA_Mounter</v>
      </c>
      <c r="AS2811" s="22">
        <f t="shared" si="829"/>
        <v>5</v>
      </c>
      <c r="AT2811" s="24" t="str">
        <f t="shared" si="830"/>
        <v>4-6 months</v>
      </c>
      <c r="AU2811" s="22" t="s">
        <v>3743</v>
      </c>
    </row>
    <row r="2812" spans="1:47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832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831"/>
        <v>630000</v>
      </c>
      <c r="AA2812" s="13">
        <v>1.1950000000000001</v>
      </c>
      <c r="AB2812" s="21">
        <f t="shared" ref="AB2812:AB2875" si="835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18"/>
        <v>63006605.696460173</v>
      </c>
      <c r="AJ2812" s="19">
        <f t="shared" si="819"/>
        <v>8897485.660753984</v>
      </c>
      <c r="AK2812" s="20">
        <f t="shared" si="825"/>
        <v>0.141215124388995</v>
      </c>
      <c r="AL2812" s="17"/>
      <c r="AM2812" s="17"/>
      <c r="AN2812" s="17"/>
      <c r="AO2812" s="17"/>
      <c r="AP2812" s="28" t="str">
        <f t="shared" si="826"/>
        <v>20215</v>
      </c>
      <c r="AQ2812" s="28" t="str">
        <f t="shared" si="827"/>
        <v>20215RMB</v>
      </c>
      <c r="AR2812" s="206" t="str">
        <f t="shared" si="828"/>
        <v>YAMAHA_Mounter</v>
      </c>
      <c r="AS2812" s="22">
        <f t="shared" si="829"/>
        <v>5</v>
      </c>
      <c r="AT2812" s="24" t="str">
        <f t="shared" si="830"/>
        <v>4-6 months</v>
      </c>
      <c r="AU2812" s="22" t="s">
        <v>3743</v>
      </c>
    </row>
    <row r="2813" spans="1:47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832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831"/>
        <v>1030000</v>
      </c>
      <c r="AA2813" s="13">
        <v>1.2</v>
      </c>
      <c r="AB2813" s="21">
        <f t="shared" si="835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18"/>
        <v>41443303.53761062</v>
      </c>
      <c r="AJ2813" s="19">
        <f t="shared" si="819"/>
        <v>6194988.76643031</v>
      </c>
      <c r="AK2813" s="20">
        <f t="shared" si="825"/>
        <v>0.1494810557466355</v>
      </c>
      <c r="AL2813" s="17"/>
      <c r="AM2813" s="17"/>
      <c r="AN2813" s="17"/>
      <c r="AO2813" s="17"/>
      <c r="AP2813" s="28" t="str">
        <f t="shared" si="826"/>
        <v>20217</v>
      </c>
      <c r="AQ2813" s="28" t="str">
        <f t="shared" si="827"/>
        <v>20217RMB</v>
      </c>
      <c r="AR2813" s="206" t="str">
        <f t="shared" si="828"/>
        <v>YAMAHA_Mounter</v>
      </c>
      <c r="AS2813" s="22">
        <f t="shared" si="829"/>
        <v>5</v>
      </c>
      <c r="AT2813" s="24" t="str">
        <f t="shared" si="830"/>
        <v>4-6 months</v>
      </c>
      <c r="AU2813" s="22" t="s">
        <v>3743</v>
      </c>
    </row>
    <row r="2814" spans="1:47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832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831"/>
        <v>15000000</v>
      </c>
      <c r="AA2814" s="13">
        <v>7.3400000000000007E-2</v>
      </c>
      <c r="AB2814" s="21">
        <f t="shared" si="835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18"/>
        <v>35384300.169380538</v>
      </c>
      <c r="AJ2814" s="19">
        <f t="shared" si="819"/>
        <v>5044538.8896988509</v>
      </c>
      <c r="AK2814" s="20">
        <f t="shared" si="825"/>
        <v>0.14256432557804533</v>
      </c>
      <c r="AL2814" s="17"/>
      <c r="AM2814" s="17"/>
      <c r="AN2814" s="17"/>
      <c r="AO2814" s="17"/>
      <c r="AP2814" s="28" t="str">
        <f t="shared" si="826"/>
        <v>20207</v>
      </c>
      <c r="AQ2814" s="28" t="str">
        <f t="shared" si="827"/>
        <v>20207JPY</v>
      </c>
      <c r="AR2814" s="206" t="str">
        <f t="shared" si="828"/>
        <v>YAMAHA_Mounter</v>
      </c>
      <c r="AS2814" s="22">
        <f t="shared" si="829"/>
        <v>1</v>
      </c>
      <c r="AT2814" s="24" t="str">
        <f t="shared" si="830"/>
        <v>0-3 months</v>
      </c>
      <c r="AU2814" s="22" t="s">
        <v>3744</v>
      </c>
    </row>
    <row r="2815" spans="1:47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832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831"/>
        <v>10100100</v>
      </c>
      <c r="AA2815" s="13">
        <v>7.3400000000000007E-2</v>
      </c>
      <c r="AB2815" s="21">
        <f t="shared" si="835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18"/>
        <v>35384300.169380538</v>
      </c>
      <c r="AJ2815" s="19">
        <f t="shared" si="819"/>
        <v>5044538.8896988509</v>
      </c>
      <c r="AK2815" s="20">
        <f t="shared" si="825"/>
        <v>0.14256432557804533</v>
      </c>
      <c r="AL2815" s="17"/>
      <c r="AM2815" s="17"/>
      <c r="AN2815" s="17"/>
      <c r="AO2815" s="17"/>
      <c r="AP2815" s="28" t="str">
        <f t="shared" si="826"/>
        <v>20207</v>
      </c>
      <c r="AQ2815" s="28" t="str">
        <f t="shared" si="827"/>
        <v>20207JPY</v>
      </c>
      <c r="AR2815" s="206" t="str">
        <f t="shared" si="828"/>
        <v>YAMAHA_Mounter</v>
      </c>
      <c r="AS2815" s="22">
        <f t="shared" si="829"/>
        <v>1</v>
      </c>
      <c r="AT2815" s="24" t="str">
        <f t="shared" si="830"/>
        <v>0-3 months</v>
      </c>
      <c r="AU2815" s="22" t="s">
        <v>3744</v>
      </c>
    </row>
    <row r="2816" spans="1:47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832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831"/>
        <v>10100100</v>
      </c>
      <c r="AA2816" s="13">
        <v>7.3400000000000007E-2</v>
      </c>
      <c r="AB2816" s="21">
        <f t="shared" si="835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18"/>
        <v>35384300.169380538</v>
      </c>
      <c r="AJ2816" s="19">
        <f t="shared" si="819"/>
        <v>5044538.8896988509</v>
      </c>
      <c r="AK2816" s="20">
        <f t="shared" si="825"/>
        <v>0.14256432557804533</v>
      </c>
      <c r="AL2816" s="17"/>
      <c r="AM2816" s="17"/>
      <c r="AN2816" s="17"/>
      <c r="AO2816" s="17"/>
      <c r="AP2816" s="28" t="str">
        <f t="shared" si="826"/>
        <v>20207</v>
      </c>
      <c r="AQ2816" s="28" t="str">
        <f t="shared" si="827"/>
        <v>20207JPY</v>
      </c>
      <c r="AR2816" s="206" t="str">
        <f t="shared" si="828"/>
        <v>YAMAHA_Mounter</v>
      </c>
      <c r="AS2816" s="22">
        <f t="shared" si="829"/>
        <v>1</v>
      </c>
      <c r="AT2816" s="24" t="str">
        <f t="shared" si="830"/>
        <v>0-3 months</v>
      </c>
      <c r="AU2816" s="22" t="s">
        <v>3744</v>
      </c>
    </row>
    <row r="2817" spans="1:47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832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831"/>
        <v>1440000</v>
      </c>
      <c r="AA2817" s="13">
        <v>1.163</v>
      </c>
      <c r="AB2817" s="21">
        <f t="shared" si="835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18"/>
        <v>35073581.838938057</v>
      </c>
      <c r="AJ2817" s="19">
        <f t="shared" si="819"/>
        <v>5034113.9728989396</v>
      </c>
      <c r="AK2817" s="20">
        <f t="shared" si="825"/>
        <v>0.14353007902118958</v>
      </c>
      <c r="AL2817" s="17"/>
      <c r="AM2817" s="17"/>
      <c r="AN2817" s="17"/>
      <c r="AO2817" s="17"/>
      <c r="AP2817" s="28" t="str">
        <f t="shared" si="826"/>
        <v>20228</v>
      </c>
      <c r="AQ2817" s="28" t="str">
        <f t="shared" si="827"/>
        <v>20228RMB</v>
      </c>
      <c r="AR2817" s="206" t="str">
        <f t="shared" si="828"/>
        <v>YAMAHA_Mounter</v>
      </c>
      <c r="AS2817" s="22">
        <f t="shared" si="829"/>
        <v>1</v>
      </c>
      <c r="AT2817" s="24" t="str">
        <f t="shared" si="830"/>
        <v>0-3 months</v>
      </c>
      <c r="AU2817" s="22" t="s">
        <v>3750</v>
      </c>
    </row>
    <row r="2818" spans="1:47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832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831"/>
        <v>1440000</v>
      </c>
      <c r="AA2818" s="13">
        <v>1.163</v>
      </c>
      <c r="AB2818" s="21">
        <f t="shared" si="835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ref="AI2818:AI2881" si="836">IF(P2818="C66 SERVICE","",SUMIFS(AB:AB,F:F,F2818,G:G,G2818,E:E,E2818))</f>
        <v>35073581.838938057</v>
      </c>
      <c r="AJ2818" s="19">
        <f t="shared" ref="AJ2818:AJ2881" si="837">IF(P2818="C66 SERVICE","",SUMIFS(AC:AC,F:F,F2818,G:G,G2818,E:E,E2818))</f>
        <v>5034113.9728989396</v>
      </c>
      <c r="AK2818" s="20">
        <f t="shared" si="825"/>
        <v>0.14353007902118958</v>
      </c>
      <c r="AL2818" s="17"/>
      <c r="AM2818" s="17"/>
      <c r="AN2818" s="17"/>
      <c r="AO2818" s="17"/>
      <c r="AP2818" s="28" t="str">
        <f t="shared" si="826"/>
        <v>20228</v>
      </c>
      <c r="AQ2818" s="28" t="str">
        <f t="shared" si="827"/>
        <v>20228RMB</v>
      </c>
      <c r="AR2818" s="206" t="str">
        <f t="shared" si="828"/>
        <v>YAMAHA_Mounter</v>
      </c>
      <c r="AS2818" s="22">
        <f t="shared" si="829"/>
        <v>1</v>
      </c>
      <c r="AT2818" s="24" t="str">
        <f t="shared" si="830"/>
        <v>0-3 months</v>
      </c>
      <c r="AU2818" s="22" t="s">
        <v>3750</v>
      </c>
    </row>
    <row r="2819" spans="1:47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832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831"/>
        <v>1475000</v>
      </c>
      <c r="AA2819" s="13">
        <v>1.135</v>
      </c>
      <c r="AB2819" s="21">
        <f t="shared" si="835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36"/>
        <v>28177779.013274338</v>
      </c>
      <c r="AJ2819" s="19">
        <f t="shared" si="837"/>
        <v>4727216.6376190251</v>
      </c>
      <c r="AK2819" s="20">
        <f t="shared" si="825"/>
        <v>0.1677639900359808</v>
      </c>
      <c r="AL2819" s="17"/>
      <c r="AM2819" s="17"/>
      <c r="AN2819" s="17"/>
      <c r="AO2819" s="17"/>
      <c r="AP2819" s="28" t="str">
        <f t="shared" si="826"/>
        <v>20235</v>
      </c>
      <c r="AQ2819" s="28" t="str">
        <f t="shared" si="827"/>
        <v>20235RMB</v>
      </c>
      <c r="AR2819" s="206" t="str">
        <f t="shared" si="828"/>
        <v>YAMAHA_Mounter</v>
      </c>
      <c r="AS2819" s="22">
        <f t="shared" si="829"/>
        <v>3</v>
      </c>
      <c r="AT2819" s="24" t="str">
        <f t="shared" si="830"/>
        <v>0-3 months</v>
      </c>
      <c r="AU2819" s="22" t="s">
        <v>3750</v>
      </c>
    </row>
    <row r="2820" spans="1:47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832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831"/>
        <v>1475000</v>
      </c>
      <c r="AA2820" s="13">
        <v>1.135</v>
      </c>
      <c r="AB2820" s="21">
        <f t="shared" si="835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36"/>
        <v>28177779.013274338</v>
      </c>
      <c r="AJ2820" s="19">
        <f t="shared" si="837"/>
        <v>4727216.6376190251</v>
      </c>
      <c r="AK2820" s="20">
        <f t="shared" si="825"/>
        <v>0.1677639900359808</v>
      </c>
      <c r="AL2820" s="17"/>
      <c r="AM2820" s="17"/>
      <c r="AN2820" s="17"/>
      <c r="AO2820" s="17"/>
      <c r="AP2820" s="28" t="str">
        <f t="shared" si="826"/>
        <v>20235</v>
      </c>
      <c r="AQ2820" s="28" t="str">
        <f t="shared" si="827"/>
        <v>20235RMB</v>
      </c>
      <c r="AR2820" s="206" t="str">
        <f t="shared" si="828"/>
        <v>YAMAHA_Mounter</v>
      </c>
      <c r="AS2820" s="22">
        <f t="shared" si="829"/>
        <v>3</v>
      </c>
      <c r="AT2820" s="24" t="str">
        <f t="shared" si="830"/>
        <v>0-3 months</v>
      </c>
      <c r="AU2820" s="22" t="s">
        <v>3750</v>
      </c>
    </row>
    <row r="2821" spans="1:47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832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831"/>
        <v>1475000</v>
      </c>
      <c r="AA2821" s="13">
        <v>1.135</v>
      </c>
      <c r="AB2821" s="21">
        <f t="shared" si="835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36"/>
        <v>28177779.013274338</v>
      </c>
      <c r="AJ2821" s="19">
        <f t="shared" si="837"/>
        <v>4727216.6376190251</v>
      </c>
      <c r="AK2821" s="20">
        <f t="shared" si="825"/>
        <v>0.1677639900359808</v>
      </c>
      <c r="AL2821" s="17"/>
      <c r="AM2821" s="17"/>
      <c r="AN2821" s="17"/>
      <c r="AO2821" s="17"/>
      <c r="AP2821" s="28" t="str">
        <f t="shared" si="826"/>
        <v>20235</v>
      </c>
      <c r="AQ2821" s="28" t="str">
        <f t="shared" si="827"/>
        <v>20235RMB</v>
      </c>
      <c r="AR2821" s="206" t="str">
        <f t="shared" si="828"/>
        <v>YAMAHA_Mounter</v>
      </c>
      <c r="AS2821" s="22">
        <f t="shared" si="829"/>
        <v>3</v>
      </c>
      <c r="AT2821" s="24" t="str">
        <f t="shared" si="830"/>
        <v>0-3 months</v>
      </c>
      <c r="AU2821" s="22" t="s">
        <v>3750</v>
      </c>
    </row>
    <row r="2822" spans="1:47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832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831"/>
        <v>10538640</v>
      </c>
      <c r="AA2822" s="13">
        <v>7.22E-2</v>
      </c>
      <c r="AB2822" s="21">
        <f t="shared" si="835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si="836"/>
        <v>47416008.333399981</v>
      </c>
      <c r="AJ2822" s="19">
        <f t="shared" si="837"/>
        <v>6981738.4465290187</v>
      </c>
      <c r="AK2822" s="20">
        <f t="shared" ref="AK2822:AK2885" si="843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4">IF(F2822="","",F2822&amp;G2822)</f>
        <v>20193</v>
      </c>
      <c r="AQ2822" s="28" t="str">
        <f t="shared" ref="AQ2822:AQ2885" si="845">IF(W2822="","",F2822&amp;G2822&amp;W2822)</f>
        <v>20193JPY</v>
      </c>
      <c r="AR2822" s="206" t="str">
        <f t="shared" ref="AR2822:AR2885" si="846">IFERROR(IF(AND(M2822="YAMAHA", R2822="C28"), "YAMAHA_Non_Mounter", IF(AND(M2822="YAMAHA", R2822="C49"), "YAMAHA_Mounter", M2822)),"")</f>
        <v>YAMAHA_Mounter</v>
      </c>
      <c r="AS2822" s="22">
        <f t="shared" ref="AS2822:AS2885" si="847">IFERROR(IF(OR(G2822="TBA", G2822=""), "", DATEDIF(DATE(B2822, C2822, 1), DATE(F2822, G2822, 1), "M")),"")</f>
        <v>0</v>
      </c>
      <c r="AT2822" s="24" t="str">
        <f t="shared" ref="AT2822:AT2885" si="848">IF(ISNUMBER(AS2822), IF(AS2822&gt;=0, IF(AS2822&lt;=3, "0-3 months", IF(AS2822&lt;=6, "4-6 months", "&gt; 6 months"))), "")</f>
        <v>0-3 months</v>
      </c>
      <c r="AU2822" s="22" t="s">
        <v>3744</v>
      </c>
    </row>
    <row r="2823" spans="1:47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832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831"/>
        <v>12099500</v>
      </c>
      <c r="AA2823" s="13">
        <v>7.4899999999999994E-2</v>
      </c>
      <c r="AB2823" s="21">
        <f t="shared" si="835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36"/>
        <v>28011162.254106201</v>
      </c>
      <c r="AJ2823" s="19">
        <f t="shared" si="837"/>
        <v>3401347.1124888416</v>
      </c>
      <c r="AK2823" s="20">
        <f t="shared" si="843"/>
        <v>0.12142827497242578</v>
      </c>
      <c r="AL2823" s="17"/>
      <c r="AM2823" s="17"/>
      <c r="AN2823" s="17"/>
      <c r="AO2823" s="17"/>
      <c r="AP2823" s="28" t="str">
        <f t="shared" si="844"/>
        <v>202010</v>
      </c>
      <c r="AQ2823" s="28" t="str">
        <f t="shared" si="845"/>
        <v>202010JPY</v>
      </c>
      <c r="AR2823" s="206" t="str">
        <f t="shared" si="846"/>
        <v>YAMAHA_Mounter</v>
      </c>
      <c r="AS2823" s="22">
        <f t="shared" si="847"/>
        <v>2</v>
      </c>
      <c r="AT2823" s="24" t="str">
        <f t="shared" si="848"/>
        <v>0-3 months</v>
      </c>
      <c r="AU2823" s="22" t="s">
        <v>3744</v>
      </c>
    </row>
    <row r="2824" spans="1:47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832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831"/>
        <v>12099500</v>
      </c>
      <c r="AA2824" s="13">
        <v>7.4899999999999994E-2</v>
      </c>
      <c r="AB2824" s="21">
        <f t="shared" si="835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36"/>
        <v>28011162.254106201</v>
      </c>
      <c r="AJ2824" s="19">
        <f t="shared" si="837"/>
        <v>3401347.1124888416</v>
      </c>
      <c r="AK2824" s="20">
        <f t="shared" si="843"/>
        <v>0.12142827497242578</v>
      </c>
      <c r="AL2824" s="17"/>
      <c r="AM2824" s="17"/>
      <c r="AN2824" s="17"/>
      <c r="AO2824" s="17"/>
      <c r="AP2824" s="28" t="str">
        <f t="shared" si="844"/>
        <v>202010</v>
      </c>
      <c r="AQ2824" s="28" t="str">
        <f t="shared" si="845"/>
        <v>202010JPY</v>
      </c>
      <c r="AR2824" s="206" t="str">
        <f t="shared" si="846"/>
        <v>YAMAHA_Mounter</v>
      </c>
      <c r="AS2824" s="22">
        <f t="shared" si="847"/>
        <v>2</v>
      </c>
      <c r="AT2824" s="24" t="str">
        <f t="shared" si="848"/>
        <v>0-3 months</v>
      </c>
      <c r="AU2824" s="22" t="s">
        <v>3744</v>
      </c>
    </row>
    <row r="2825" spans="1:47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832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831"/>
        <v>6628360</v>
      </c>
      <c r="AA2825" s="13">
        <v>7.4899999999999994E-2</v>
      </c>
      <c r="AB2825" s="21">
        <f t="shared" si="835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36"/>
        <v>28011162.254106201</v>
      </c>
      <c r="AJ2825" s="19">
        <f t="shared" si="837"/>
        <v>3401347.1124888416</v>
      </c>
      <c r="AK2825" s="20">
        <f t="shared" si="843"/>
        <v>0.12142827497242578</v>
      </c>
      <c r="AL2825" s="17"/>
      <c r="AM2825" s="17"/>
      <c r="AN2825" s="17"/>
      <c r="AO2825" s="17"/>
      <c r="AP2825" s="28" t="str">
        <f t="shared" si="844"/>
        <v>202010</v>
      </c>
      <c r="AQ2825" s="28" t="str">
        <f t="shared" si="845"/>
        <v>202010JPY</v>
      </c>
      <c r="AR2825" s="206" t="str">
        <f t="shared" si="846"/>
        <v>YAMAHA_Mounter</v>
      </c>
      <c r="AS2825" s="22">
        <f t="shared" si="847"/>
        <v>2</v>
      </c>
      <c r="AT2825" s="24" t="str">
        <f t="shared" si="848"/>
        <v>0-3 months</v>
      </c>
      <c r="AU2825" s="22" t="s">
        <v>3744</v>
      </c>
    </row>
    <row r="2826" spans="1:47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832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849">IF(X2826="","",X2826*MAX(O2826,N2826))</f>
        <v>6628360</v>
      </c>
      <c r="AA2826" s="13">
        <v>7.4899999999999994E-2</v>
      </c>
      <c r="AB2826" s="21">
        <f t="shared" si="835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36"/>
        <v>28011162.254106201</v>
      </c>
      <c r="AJ2826" s="19">
        <f t="shared" si="837"/>
        <v>3401347.1124888416</v>
      </c>
      <c r="AK2826" s="20">
        <f t="shared" si="843"/>
        <v>0.12142827497242578</v>
      </c>
      <c r="AL2826" s="17"/>
      <c r="AM2826" s="17"/>
      <c r="AN2826" s="17"/>
      <c r="AO2826" s="17"/>
      <c r="AP2826" s="28" t="str">
        <f t="shared" si="844"/>
        <v>202010</v>
      </c>
      <c r="AQ2826" s="28" t="str">
        <f t="shared" si="845"/>
        <v>202010JPY</v>
      </c>
      <c r="AR2826" s="206" t="str">
        <f t="shared" si="846"/>
        <v>YAMAHA_Mounter</v>
      </c>
      <c r="AS2826" s="22">
        <f t="shared" si="847"/>
        <v>2</v>
      </c>
      <c r="AT2826" s="24" t="str">
        <f t="shared" si="848"/>
        <v>0-3 months</v>
      </c>
      <c r="AU2826" s="22" t="s">
        <v>3744</v>
      </c>
    </row>
    <row r="2827" spans="1:47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832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849"/>
        <v>6628360</v>
      </c>
      <c r="AA2827" s="13">
        <v>7.6100000000000001E-2</v>
      </c>
      <c r="AB2827" s="21">
        <f t="shared" si="835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36"/>
        <v>44078731.611185849</v>
      </c>
      <c r="AJ2827" s="19">
        <f t="shared" si="837"/>
        <v>5508173.2163771465</v>
      </c>
      <c r="AK2827" s="20">
        <f t="shared" si="843"/>
        <v>0.12496215328889679</v>
      </c>
      <c r="AL2827" s="17"/>
      <c r="AM2827" s="17"/>
      <c r="AN2827" s="17"/>
      <c r="AO2827" s="17"/>
      <c r="AP2827" s="28" t="str">
        <f t="shared" si="844"/>
        <v>202011</v>
      </c>
      <c r="AQ2827" s="28" t="str">
        <f t="shared" si="845"/>
        <v>202011JPY</v>
      </c>
      <c r="AR2827" s="206" t="str">
        <f t="shared" si="846"/>
        <v>YAMAHA_Mounter</v>
      </c>
      <c r="AS2827" s="22">
        <f t="shared" si="847"/>
        <v>3</v>
      </c>
      <c r="AT2827" s="24" t="str">
        <f t="shared" si="848"/>
        <v>0-3 months</v>
      </c>
      <c r="AU2827" s="22" t="s">
        <v>3744</v>
      </c>
    </row>
    <row r="2828" spans="1:47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832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849"/>
        <v>6628360</v>
      </c>
      <c r="AA2828" s="13">
        <v>7.6100000000000001E-2</v>
      </c>
      <c r="AB2828" s="21">
        <f t="shared" si="835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36"/>
        <v>44078731.611185849</v>
      </c>
      <c r="AJ2828" s="19">
        <f t="shared" si="837"/>
        <v>5508173.2163771465</v>
      </c>
      <c r="AK2828" s="20">
        <f t="shared" si="843"/>
        <v>0.12496215328889679</v>
      </c>
      <c r="AL2828" s="17"/>
      <c r="AM2828" s="17"/>
      <c r="AN2828" s="17"/>
      <c r="AO2828" s="17"/>
      <c r="AP2828" s="28" t="str">
        <f t="shared" si="844"/>
        <v>202011</v>
      </c>
      <c r="AQ2828" s="28" t="str">
        <f t="shared" si="845"/>
        <v>202011JPY</v>
      </c>
      <c r="AR2828" s="206" t="str">
        <f t="shared" si="846"/>
        <v>YAMAHA_Mounter</v>
      </c>
      <c r="AS2828" s="22">
        <f t="shared" si="847"/>
        <v>3</v>
      </c>
      <c r="AT2828" s="24" t="str">
        <f t="shared" si="848"/>
        <v>0-3 months</v>
      </c>
      <c r="AU2828" s="22" t="s">
        <v>3744</v>
      </c>
    </row>
    <row r="2829" spans="1:47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832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849"/>
        <v>6628360</v>
      </c>
      <c r="AA2829" s="13">
        <v>7.6100000000000001E-2</v>
      </c>
      <c r="AB2829" s="21">
        <f t="shared" si="835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36"/>
        <v>44078731.611185849</v>
      </c>
      <c r="AJ2829" s="19">
        <f t="shared" si="837"/>
        <v>5508173.2163771465</v>
      </c>
      <c r="AK2829" s="20">
        <f t="shared" si="843"/>
        <v>0.12496215328889679</v>
      </c>
      <c r="AL2829" s="17"/>
      <c r="AM2829" s="17"/>
      <c r="AN2829" s="17"/>
      <c r="AO2829" s="17"/>
      <c r="AP2829" s="28" t="str">
        <f t="shared" si="844"/>
        <v>202011</v>
      </c>
      <c r="AQ2829" s="28" t="str">
        <f t="shared" si="845"/>
        <v>202011JPY</v>
      </c>
      <c r="AR2829" s="206" t="str">
        <f t="shared" si="846"/>
        <v>YAMAHA_Mounter</v>
      </c>
      <c r="AS2829" s="22">
        <f t="shared" si="847"/>
        <v>3</v>
      </c>
      <c r="AT2829" s="24" t="str">
        <f t="shared" si="848"/>
        <v>0-3 months</v>
      </c>
      <c r="AU2829" s="22" t="s">
        <v>3744</v>
      </c>
    </row>
    <row r="2830" spans="1:47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832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849"/>
        <v>12099500</v>
      </c>
      <c r="AA2830" s="13">
        <v>7.4899999999999994E-2</v>
      </c>
      <c r="AB2830" s="21">
        <f t="shared" si="835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36"/>
        <v>47907808.356810622</v>
      </c>
      <c r="AJ2830" s="19">
        <f t="shared" si="837"/>
        <v>6027384.8806384448</v>
      </c>
      <c r="AK2830" s="20">
        <f t="shared" si="843"/>
        <v>0.12581216063459488</v>
      </c>
      <c r="AL2830" s="17"/>
      <c r="AM2830" s="17"/>
      <c r="AN2830" s="17"/>
      <c r="AO2830" s="17"/>
      <c r="AP2830" s="28" t="str">
        <f t="shared" si="844"/>
        <v>20209</v>
      </c>
      <c r="AQ2830" s="28" t="str">
        <f t="shared" si="845"/>
        <v>20209JPY</v>
      </c>
      <c r="AR2830" s="206" t="str">
        <f t="shared" si="846"/>
        <v>YAMAHA_Mounter</v>
      </c>
      <c r="AS2830" s="22">
        <f t="shared" si="847"/>
        <v>1</v>
      </c>
      <c r="AT2830" s="24" t="str">
        <f t="shared" si="848"/>
        <v>0-3 months</v>
      </c>
      <c r="AU2830" s="22" t="s">
        <v>3744</v>
      </c>
    </row>
    <row r="2831" spans="1:47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832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849"/>
        <v>12099500</v>
      </c>
      <c r="AA2831" s="13">
        <v>7.4899999999999994E-2</v>
      </c>
      <c r="AB2831" s="21">
        <f t="shared" si="835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36"/>
        <v>47907808.356810622</v>
      </c>
      <c r="AJ2831" s="19">
        <f t="shared" si="837"/>
        <v>6027384.8806384448</v>
      </c>
      <c r="AK2831" s="20">
        <f t="shared" si="843"/>
        <v>0.12581216063459488</v>
      </c>
      <c r="AL2831" s="17"/>
      <c r="AM2831" s="17"/>
      <c r="AN2831" s="17"/>
      <c r="AO2831" s="17"/>
      <c r="AP2831" s="28" t="str">
        <f t="shared" si="844"/>
        <v>20209</v>
      </c>
      <c r="AQ2831" s="28" t="str">
        <f t="shared" si="845"/>
        <v>20209JPY</v>
      </c>
      <c r="AR2831" s="206" t="str">
        <f t="shared" si="846"/>
        <v>YAMAHA_Mounter</v>
      </c>
      <c r="AS2831" s="22">
        <f t="shared" si="847"/>
        <v>1</v>
      </c>
      <c r="AT2831" s="24" t="str">
        <f t="shared" si="848"/>
        <v>0-3 months</v>
      </c>
      <c r="AU2831" s="22" t="s">
        <v>3744</v>
      </c>
    </row>
    <row r="2832" spans="1:47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84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832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849"/>
        <v>6628360</v>
      </c>
      <c r="AA2832" s="13">
        <v>5.8700000000000002E-2</v>
      </c>
      <c r="AB2832" s="21">
        <f t="shared" si="835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36"/>
        <v>499582152.5142017</v>
      </c>
      <c r="AJ2832" s="19">
        <f t="shared" si="837"/>
        <v>59520528.679470733</v>
      </c>
      <c r="AK2832" s="20">
        <f t="shared" si="843"/>
        <v>0.11914062257814291</v>
      </c>
      <c r="AL2832" s="17"/>
      <c r="AM2832" s="17"/>
      <c r="AN2832" s="17"/>
      <c r="AO2832" s="17"/>
      <c r="AP2832" s="28" t="str">
        <f t="shared" si="844"/>
        <v>Cancelcancel</v>
      </c>
      <c r="AQ2832" s="28" t="str">
        <f t="shared" si="845"/>
        <v>CancelcancelJPY</v>
      </c>
      <c r="AR2832" s="206" t="str">
        <f t="shared" si="846"/>
        <v>YAMAHA_Mounter</v>
      </c>
      <c r="AS2832" s="22" t="str">
        <f t="shared" si="847"/>
        <v/>
      </c>
      <c r="AT2832" s="24" t="str">
        <f t="shared" si="848"/>
        <v/>
      </c>
      <c r="AU2832" s="22" t="s">
        <v>3744</v>
      </c>
    </row>
    <row r="2833" spans="1:47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84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832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849"/>
        <v>6628360</v>
      </c>
      <c r="AA2833" s="13">
        <v>5.8700000000000002E-2</v>
      </c>
      <c r="AB2833" s="21">
        <f t="shared" si="835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36"/>
        <v>499582152.5142017</v>
      </c>
      <c r="AJ2833" s="19">
        <f t="shared" si="837"/>
        <v>59520528.679470733</v>
      </c>
      <c r="AK2833" s="20">
        <f t="shared" si="843"/>
        <v>0.11914062257814291</v>
      </c>
      <c r="AL2833" s="17"/>
      <c r="AM2833" s="17"/>
      <c r="AN2833" s="17"/>
      <c r="AO2833" s="17"/>
      <c r="AP2833" s="28" t="str">
        <f t="shared" si="844"/>
        <v>Cancelcancel</v>
      </c>
      <c r="AQ2833" s="28" t="str">
        <f t="shared" si="845"/>
        <v>CancelcancelJPY</v>
      </c>
      <c r="AR2833" s="206" t="str">
        <f t="shared" si="846"/>
        <v>YAMAHA_Mounter</v>
      </c>
      <c r="AS2833" s="22" t="str">
        <f t="shared" si="847"/>
        <v/>
      </c>
      <c r="AT2833" s="24" t="str">
        <f t="shared" si="848"/>
        <v/>
      </c>
      <c r="AU2833" s="22" t="s">
        <v>3744</v>
      </c>
    </row>
    <row r="2834" spans="1:47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84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832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849"/>
        <v>6628360</v>
      </c>
      <c r="AA2834" s="13">
        <v>5.8700000000000002E-2</v>
      </c>
      <c r="AB2834" s="21">
        <f t="shared" si="835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36"/>
        <v>499582152.5142017</v>
      </c>
      <c r="AJ2834" s="19">
        <f t="shared" si="837"/>
        <v>59520528.679470733</v>
      </c>
      <c r="AK2834" s="20">
        <f t="shared" si="843"/>
        <v>0.11914062257814291</v>
      </c>
      <c r="AL2834" s="17"/>
      <c r="AM2834" s="17"/>
      <c r="AN2834" s="17"/>
      <c r="AO2834" s="17"/>
      <c r="AP2834" s="28" t="str">
        <f t="shared" si="844"/>
        <v>Cancelcancel</v>
      </c>
      <c r="AQ2834" s="28" t="str">
        <f t="shared" si="845"/>
        <v>CancelcancelJPY</v>
      </c>
      <c r="AR2834" s="206" t="str">
        <f t="shared" si="846"/>
        <v>YAMAHA_Mounter</v>
      </c>
      <c r="AS2834" s="22" t="str">
        <f t="shared" si="847"/>
        <v/>
      </c>
      <c r="AT2834" s="24" t="str">
        <f t="shared" si="848"/>
        <v/>
      </c>
      <c r="AU2834" s="22" t="s">
        <v>3744</v>
      </c>
    </row>
    <row r="2835" spans="1:47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84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832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849"/>
        <v>6628360</v>
      </c>
      <c r="AA2835" s="13">
        <v>5.8700000000000002E-2</v>
      </c>
      <c r="AB2835" s="21">
        <f t="shared" si="835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36"/>
        <v>499582152.5142017</v>
      </c>
      <c r="AJ2835" s="19">
        <f t="shared" si="837"/>
        <v>59520528.679470733</v>
      </c>
      <c r="AK2835" s="20">
        <f t="shared" si="843"/>
        <v>0.11914062257814291</v>
      </c>
      <c r="AL2835" s="17"/>
      <c r="AM2835" s="17"/>
      <c r="AN2835" s="17"/>
      <c r="AO2835" s="17"/>
      <c r="AP2835" s="28" t="str">
        <f t="shared" si="844"/>
        <v>Cancelcancel</v>
      </c>
      <c r="AQ2835" s="28" t="str">
        <f t="shared" si="845"/>
        <v>CancelcancelJPY</v>
      </c>
      <c r="AR2835" s="206" t="str">
        <f t="shared" si="846"/>
        <v>YAMAHA_Mounter</v>
      </c>
      <c r="AS2835" s="22" t="str">
        <f t="shared" si="847"/>
        <v/>
      </c>
      <c r="AT2835" s="24" t="str">
        <f t="shared" si="848"/>
        <v/>
      </c>
      <c r="AU2835" s="22" t="s">
        <v>3744</v>
      </c>
    </row>
    <row r="2836" spans="1:47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84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832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849"/>
        <v>6628360</v>
      </c>
      <c r="AA2836" s="13">
        <v>5.8700000000000002E-2</v>
      </c>
      <c r="AB2836" s="21">
        <f t="shared" si="835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36"/>
        <v>499582152.5142017</v>
      </c>
      <c r="AJ2836" s="19">
        <f t="shared" si="837"/>
        <v>59520528.679470733</v>
      </c>
      <c r="AK2836" s="20">
        <f t="shared" si="843"/>
        <v>0.11914062257814291</v>
      </c>
      <c r="AL2836" s="17"/>
      <c r="AM2836" s="17"/>
      <c r="AN2836" s="17"/>
      <c r="AO2836" s="17"/>
      <c r="AP2836" s="28" t="str">
        <f t="shared" si="844"/>
        <v>Cancelcancel</v>
      </c>
      <c r="AQ2836" s="28" t="str">
        <f t="shared" si="845"/>
        <v>CancelcancelJPY</v>
      </c>
      <c r="AR2836" s="206" t="str">
        <f t="shared" si="846"/>
        <v>YAMAHA_Mounter</v>
      </c>
      <c r="AS2836" s="22" t="str">
        <f t="shared" si="847"/>
        <v/>
      </c>
      <c r="AT2836" s="24" t="str">
        <f t="shared" si="848"/>
        <v/>
      </c>
      <c r="AU2836" s="22" t="s">
        <v>3744</v>
      </c>
    </row>
    <row r="2837" spans="1:47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832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850">IF(W2837="","",IF(W2837="RMB","1.13", "1"))</f>
        <v>1</v>
      </c>
      <c r="Z2837" s="18">
        <f t="shared" si="849"/>
        <v>12397500</v>
      </c>
      <c r="AA2837" s="22">
        <v>5.6300000000000003E-2</v>
      </c>
      <c r="AB2837" s="21">
        <f t="shared" si="835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36"/>
        <v>23146578.081415929</v>
      </c>
      <c r="AJ2837" s="27">
        <f t="shared" si="837"/>
        <v>2745231.3889985834</v>
      </c>
      <c r="AK2837" s="28">
        <f t="shared" si="843"/>
        <v>0.11860204041143742</v>
      </c>
      <c r="AL2837" s="24"/>
      <c r="AM2837" s="24"/>
      <c r="AN2837" s="24"/>
      <c r="AO2837" s="24"/>
      <c r="AP2837" s="28" t="str">
        <f t="shared" si="844"/>
        <v>20241</v>
      </c>
      <c r="AQ2837" s="28" t="str">
        <f t="shared" si="845"/>
        <v>20241JPY</v>
      </c>
      <c r="AR2837" s="206" t="str">
        <f t="shared" si="846"/>
        <v>YAMAHA_Mounter</v>
      </c>
      <c r="AS2837" s="22">
        <f t="shared" si="847"/>
        <v>0</v>
      </c>
      <c r="AT2837" s="24" t="str">
        <f t="shared" si="848"/>
        <v>0-3 months</v>
      </c>
      <c r="AU2837" s="22" t="s">
        <v>3744</v>
      </c>
    </row>
    <row r="2838" spans="1:47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851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850"/>
        <v>1</v>
      </c>
      <c r="Z2838" s="18">
        <f t="shared" si="849"/>
        <v>12397500</v>
      </c>
      <c r="AA2838" s="22">
        <v>5.6300000000000003E-2</v>
      </c>
      <c r="AB2838" s="21">
        <f t="shared" si="835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36"/>
        <v>23146578.081415929</v>
      </c>
      <c r="AJ2838" s="27">
        <f t="shared" si="837"/>
        <v>2745231.3889985834</v>
      </c>
      <c r="AK2838" s="28">
        <f t="shared" si="843"/>
        <v>0.11860204041143742</v>
      </c>
      <c r="AL2838" s="24"/>
      <c r="AM2838" s="24"/>
      <c r="AN2838" s="24"/>
      <c r="AO2838" s="24"/>
      <c r="AP2838" s="28" t="str">
        <f t="shared" si="844"/>
        <v>20241</v>
      </c>
      <c r="AQ2838" s="28" t="str">
        <f t="shared" si="845"/>
        <v>20241JPY</v>
      </c>
      <c r="AR2838" s="206" t="str">
        <f t="shared" si="846"/>
        <v>YAMAHA_Mounter</v>
      </c>
      <c r="AS2838" s="22">
        <f t="shared" si="847"/>
        <v>0</v>
      </c>
      <c r="AT2838" s="24" t="str">
        <f t="shared" si="848"/>
        <v>0-3 months</v>
      </c>
      <c r="AU2838" s="22" t="s">
        <v>3744</v>
      </c>
    </row>
    <row r="2839" spans="1:47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851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850"/>
        <v>1</v>
      </c>
      <c r="Z2839" s="18">
        <f t="shared" si="849"/>
        <v>12397500</v>
      </c>
      <c r="AA2839" s="22">
        <v>5.6300000000000003E-2</v>
      </c>
      <c r="AB2839" s="21">
        <f t="shared" si="835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36"/>
        <v>23146578.081415929</v>
      </c>
      <c r="AJ2839" s="27">
        <f t="shared" si="837"/>
        <v>2745231.3889985834</v>
      </c>
      <c r="AK2839" s="28">
        <f t="shared" si="843"/>
        <v>0.11860204041143742</v>
      </c>
      <c r="AL2839" s="24"/>
      <c r="AM2839" s="24"/>
      <c r="AN2839" s="24"/>
      <c r="AO2839" s="24"/>
      <c r="AP2839" s="28" t="str">
        <f t="shared" si="844"/>
        <v>20241</v>
      </c>
      <c r="AQ2839" s="28" t="str">
        <f t="shared" si="845"/>
        <v>20241JPY</v>
      </c>
      <c r="AR2839" s="206" t="str">
        <f t="shared" si="846"/>
        <v>YAMAHA_Mounter</v>
      </c>
      <c r="AS2839" s="22">
        <f t="shared" si="847"/>
        <v>0</v>
      </c>
      <c r="AT2839" s="24" t="str">
        <f t="shared" si="848"/>
        <v>0-3 months</v>
      </c>
      <c r="AU2839" s="22" t="s">
        <v>3744</v>
      </c>
    </row>
    <row r="2840" spans="1:47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851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850"/>
        <v>1</v>
      </c>
      <c r="Z2840" s="18">
        <f t="shared" si="849"/>
        <v>12397500</v>
      </c>
      <c r="AA2840" s="22">
        <v>5.6300000000000003E-2</v>
      </c>
      <c r="AB2840" s="21">
        <f t="shared" si="835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36"/>
        <v>23146578.081415929</v>
      </c>
      <c r="AJ2840" s="27">
        <f t="shared" si="837"/>
        <v>2745231.3889985834</v>
      </c>
      <c r="AK2840" s="28">
        <f t="shared" si="843"/>
        <v>0.11860204041143742</v>
      </c>
      <c r="AL2840" s="24"/>
      <c r="AM2840" s="24"/>
      <c r="AN2840" s="24"/>
      <c r="AO2840" s="24"/>
      <c r="AP2840" s="28" t="str">
        <f t="shared" si="844"/>
        <v>20241</v>
      </c>
      <c r="AQ2840" s="28" t="str">
        <f t="shared" si="845"/>
        <v>20241JPY</v>
      </c>
      <c r="AR2840" s="206" t="str">
        <f t="shared" si="846"/>
        <v>YAMAHA_Mounter</v>
      </c>
      <c r="AS2840" s="22">
        <f t="shared" si="847"/>
        <v>0</v>
      </c>
      <c r="AT2840" s="24" t="str">
        <f t="shared" si="848"/>
        <v>0-3 months</v>
      </c>
      <c r="AU2840" s="22" t="s">
        <v>3744</v>
      </c>
    </row>
    <row r="2841" spans="1:47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851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850"/>
        <v>1</v>
      </c>
      <c r="Z2841" s="18">
        <f t="shared" si="849"/>
        <v>11200000</v>
      </c>
      <c r="AA2841" s="22">
        <v>5.2299999999999999E-2</v>
      </c>
      <c r="AB2841" s="21">
        <f t="shared" si="835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36"/>
        <v>25354039.366920356</v>
      </c>
      <c r="AJ2841" s="27">
        <f t="shared" si="837"/>
        <v>3028631.2816309328</v>
      </c>
      <c r="AK2841" s="28">
        <f t="shared" si="843"/>
        <v>0.11945360018579192</v>
      </c>
      <c r="AL2841" s="24"/>
      <c r="AM2841" s="24"/>
      <c r="AN2841" s="24"/>
      <c r="AO2841" s="24"/>
      <c r="AP2841" s="28" t="str">
        <f t="shared" si="844"/>
        <v>20248</v>
      </c>
      <c r="AQ2841" s="28" t="str">
        <f t="shared" si="845"/>
        <v>20248JPY</v>
      </c>
      <c r="AR2841" s="206" t="str">
        <f t="shared" si="846"/>
        <v>YAMAHA_Mounter</v>
      </c>
      <c r="AS2841" s="22">
        <f t="shared" si="847"/>
        <v>4</v>
      </c>
      <c r="AT2841" s="24" t="str">
        <f t="shared" si="848"/>
        <v>4-6 months</v>
      </c>
      <c r="AU2841" s="22" t="s">
        <v>3745</v>
      </c>
    </row>
    <row r="2842" spans="1:47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851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850"/>
        <v>1</v>
      </c>
      <c r="Z2842" s="196">
        <f t="shared" si="849"/>
        <v>9900000</v>
      </c>
      <c r="AA2842" s="22">
        <v>5.2299999999999999E-2</v>
      </c>
      <c r="AB2842" s="197">
        <f t="shared" si="835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36"/>
        <v>25354039.366920356</v>
      </c>
      <c r="AJ2842" s="200">
        <f t="shared" si="837"/>
        <v>3028631.2816309328</v>
      </c>
      <c r="AK2842" s="201">
        <f t="shared" si="843"/>
        <v>0.11945360018579192</v>
      </c>
      <c r="AL2842" s="24"/>
      <c r="AM2842" s="24"/>
      <c r="AN2842" s="24"/>
      <c r="AO2842" s="24"/>
      <c r="AP2842" s="105" t="str">
        <f t="shared" si="844"/>
        <v>20248</v>
      </c>
      <c r="AQ2842" s="28" t="str">
        <f t="shared" si="845"/>
        <v>20248JPY</v>
      </c>
      <c r="AR2842" s="206" t="str">
        <f t="shared" si="846"/>
        <v>YAMAHA_Mounter</v>
      </c>
      <c r="AS2842" s="22">
        <f t="shared" si="847"/>
        <v>3</v>
      </c>
      <c r="AT2842" s="24" t="str">
        <f t="shared" si="848"/>
        <v>0-3 months</v>
      </c>
      <c r="AU2842" s="22" t="s">
        <v>3744</v>
      </c>
    </row>
    <row r="2843" spans="1:47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2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851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850"/>
        <v>1</v>
      </c>
      <c r="Z2843" s="18">
        <f t="shared" si="849"/>
        <v>8495000</v>
      </c>
      <c r="AA2843" s="22">
        <v>5.2299999999999999E-2</v>
      </c>
      <c r="AB2843" s="21">
        <f t="shared" si="835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36"/>
        <v>25354039.366920356</v>
      </c>
      <c r="AJ2843" s="27">
        <f t="shared" si="837"/>
        <v>3028631.2816309328</v>
      </c>
      <c r="AK2843" s="28">
        <f t="shared" si="843"/>
        <v>0.11945360018579192</v>
      </c>
      <c r="AL2843" s="24"/>
      <c r="AM2843" s="24"/>
      <c r="AN2843" s="24"/>
      <c r="AO2843" s="24"/>
      <c r="AP2843" s="28" t="str">
        <f t="shared" si="844"/>
        <v>20248</v>
      </c>
      <c r="AQ2843" s="28" t="str">
        <f t="shared" si="845"/>
        <v>20248JPY</v>
      </c>
      <c r="AR2843" s="206" t="str">
        <f t="shared" si="846"/>
        <v>YAMAHA_Mounter</v>
      </c>
      <c r="AS2843" s="22">
        <f t="shared" si="847"/>
        <v>4</v>
      </c>
      <c r="AT2843" s="24" t="str">
        <f t="shared" si="848"/>
        <v>4-6 months</v>
      </c>
      <c r="AU2843" s="22" t="s">
        <v>3744</v>
      </c>
    </row>
    <row r="2844" spans="1:47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2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851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850"/>
        <v>1</v>
      </c>
      <c r="Z2844" s="18">
        <f t="shared" si="849"/>
        <v>15400000</v>
      </c>
      <c r="AA2844" s="22">
        <v>5.2299999999999999E-2</v>
      </c>
      <c r="AB2844" s="21">
        <f t="shared" si="835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36"/>
        <v>25354039.366920356</v>
      </c>
      <c r="AJ2844" s="27">
        <f t="shared" si="837"/>
        <v>3028631.2816309328</v>
      </c>
      <c r="AK2844" s="28">
        <f t="shared" si="843"/>
        <v>0.11945360018579192</v>
      </c>
      <c r="AL2844" s="24"/>
      <c r="AM2844" s="24"/>
      <c r="AN2844" s="24"/>
      <c r="AO2844" s="24"/>
      <c r="AP2844" s="28" t="str">
        <f t="shared" si="844"/>
        <v>20248</v>
      </c>
      <c r="AQ2844" s="28" t="str">
        <f t="shared" si="845"/>
        <v>20248JPY</v>
      </c>
      <c r="AR2844" s="206" t="str">
        <f t="shared" si="846"/>
        <v>YAMAHA_Mounter</v>
      </c>
      <c r="AS2844" s="22">
        <f t="shared" si="847"/>
        <v>4</v>
      </c>
      <c r="AT2844" s="24" t="str">
        <f t="shared" si="848"/>
        <v>4-6 months</v>
      </c>
      <c r="AU2844" s="22" t="s">
        <v>3744</v>
      </c>
    </row>
    <row r="2845" spans="1:47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2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851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850"/>
        <v>1</v>
      </c>
      <c r="Z2845" s="18">
        <f t="shared" si="849"/>
        <v>15400000</v>
      </c>
      <c r="AA2845" s="22">
        <v>5.2299999999999999E-2</v>
      </c>
      <c r="AB2845" s="21">
        <f t="shared" si="835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36"/>
        <v>25354039.366920356</v>
      </c>
      <c r="AJ2845" s="27">
        <f t="shared" si="837"/>
        <v>3028631.2816309328</v>
      </c>
      <c r="AK2845" s="28">
        <f t="shared" si="843"/>
        <v>0.11945360018579192</v>
      </c>
      <c r="AL2845" s="24"/>
      <c r="AM2845" s="24"/>
      <c r="AN2845" s="24"/>
      <c r="AO2845" s="24"/>
      <c r="AP2845" s="28" t="str">
        <f t="shared" si="844"/>
        <v>20248</v>
      </c>
      <c r="AQ2845" s="28" t="str">
        <f t="shared" si="845"/>
        <v>20248JPY</v>
      </c>
      <c r="AR2845" s="206" t="str">
        <f t="shared" si="846"/>
        <v>YAMAHA_Mounter</v>
      </c>
      <c r="AS2845" s="22">
        <f t="shared" si="847"/>
        <v>4</v>
      </c>
      <c r="AT2845" s="24" t="str">
        <f t="shared" si="848"/>
        <v>4-6 months</v>
      </c>
      <c r="AU2845" s="22" t="s">
        <v>3744</v>
      </c>
    </row>
    <row r="2846" spans="1:47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2"/>
        <v>Cancel</v>
      </c>
      <c r="F2846" s="152" t="s">
        <v>185</v>
      </c>
      <c r="G2846" s="152" t="s">
        <v>185</v>
      </c>
      <c r="H2846" s="29"/>
      <c r="I2846" s="33" t="str">
        <f t="shared" si="84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851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850"/>
        <v>1.13</v>
      </c>
      <c r="Z2846" s="18">
        <f t="shared" si="849"/>
        <v>530000</v>
      </c>
      <c r="AA2846" s="22">
        <v>1.0640000000000001</v>
      </c>
      <c r="AB2846" s="21">
        <f t="shared" si="835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36"/>
        <v>499582152.5142017</v>
      </c>
      <c r="AJ2846" s="27">
        <f t="shared" si="837"/>
        <v>59520528.679470733</v>
      </c>
      <c r="AK2846" s="28">
        <f t="shared" si="843"/>
        <v>0.11914062257814291</v>
      </c>
      <c r="AL2846" s="24"/>
      <c r="AM2846" s="24"/>
      <c r="AN2846" s="24"/>
      <c r="AO2846" s="24"/>
      <c r="AP2846" s="28" t="str">
        <f t="shared" si="844"/>
        <v>CancelCancel</v>
      </c>
      <c r="AQ2846" s="28" t="str">
        <f t="shared" si="845"/>
        <v>CancelCancelRMB</v>
      </c>
      <c r="AR2846" s="206" t="str">
        <f t="shared" si="846"/>
        <v>YAMAHA_Mounter</v>
      </c>
      <c r="AS2846" s="22" t="str">
        <f t="shared" si="847"/>
        <v/>
      </c>
      <c r="AT2846" s="24" t="str">
        <f t="shared" si="848"/>
        <v/>
      </c>
      <c r="AU2846" s="22" t="s">
        <v>3750</v>
      </c>
    </row>
    <row r="2847" spans="1:47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2"/>
        <v>Cancel</v>
      </c>
      <c r="F2847" s="152" t="s">
        <v>185</v>
      </c>
      <c r="G2847" s="152" t="s">
        <v>185</v>
      </c>
      <c r="H2847" s="29"/>
      <c r="I2847" s="33" t="str">
        <f t="shared" si="84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851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850"/>
        <v>1.13</v>
      </c>
      <c r="Z2847" s="18">
        <f t="shared" si="849"/>
        <v>850000</v>
      </c>
      <c r="AA2847" s="22">
        <v>1.0640000000000001</v>
      </c>
      <c r="AB2847" s="21">
        <f t="shared" si="835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36"/>
        <v>499582152.5142017</v>
      </c>
      <c r="AJ2847" s="27">
        <f t="shared" si="837"/>
        <v>59520528.679470733</v>
      </c>
      <c r="AK2847" s="28">
        <f t="shared" si="843"/>
        <v>0.11914062257814291</v>
      </c>
      <c r="AL2847" s="24"/>
      <c r="AM2847" s="24"/>
      <c r="AN2847" s="24"/>
      <c r="AO2847" s="24"/>
      <c r="AP2847" s="28" t="str">
        <f t="shared" si="844"/>
        <v>CancelCancel</v>
      </c>
      <c r="AQ2847" s="28" t="str">
        <f t="shared" si="845"/>
        <v>CancelCancelRMB</v>
      </c>
      <c r="AR2847" s="206" t="str">
        <f t="shared" si="846"/>
        <v>YAMAHA_Mounter</v>
      </c>
      <c r="AS2847" s="22" t="str">
        <f t="shared" si="847"/>
        <v/>
      </c>
      <c r="AT2847" s="24" t="str">
        <f t="shared" si="848"/>
        <v/>
      </c>
      <c r="AU2847" s="22" t="s">
        <v>3750</v>
      </c>
    </row>
    <row r="2848" spans="1:47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2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851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850"/>
        <v>1</v>
      </c>
      <c r="Z2848" s="18">
        <f t="shared" si="849"/>
        <v>12500000</v>
      </c>
      <c r="AA2848" s="22">
        <v>5.2299999999999999E-2</v>
      </c>
      <c r="AB2848" s="21">
        <f t="shared" si="835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36"/>
        <v>25354039.366920356</v>
      </c>
      <c r="AJ2848" s="27">
        <f t="shared" si="837"/>
        <v>3028631.2816309328</v>
      </c>
      <c r="AK2848" s="28">
        <f t="shared" si="843"/>
        <v>0.11945360018579192</v>
      </c>
      <c r="AL2848" s="24"/>
      <c r="AM2848" s="24"/>
      <c r="AN2848" s="24"/>
      <c r="AO2848" s="24"/>
      <c r="AP2848" s="28" t="str">
        <f t="shared" si="844"/>
        <v>20248</v>
      </c>
      <c r="AQ2848" s="28" t="str">
        <f t="shared" si="845"/>
        <v>20248JPY</v>
      </c>
      <c r="AR2848" s="206" t="str">
        <f t="shared" si="846"/>
        <v>YAMAHA_Mounter</v>
      </c>
      <c r="AS2848" s="22">
        <f t="shared" si="847"/>
        <v>4</v>
      </c>
      <c r="AT2848" s="24" t="str">
        <f t="shared" si="848"/>
        <v>4-6 months</v>
      </c>
      <c r="AU2848" s="22" t="s">
        <v>3744</v>
      </c>
    </row>
    <row r="2849" spans="1:47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2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851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850"/>
        <v>1</v>
      </c>
      <c r="Z2849" s="18">
        <f t="shared" si="849"/>
        <v>12500000</v>
      </c>
      <c r="AA2849" s="22">
        <v>5.2299999999999999E-2</v>
      </c>
      <c r="AB2849" s="21">
        <f t="shared" si="835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36"/>
        <v>25354039.366920356</v>
      </c>
      <c r="AJ2849" s="27">
        <f t="shared" si="837"/>
        <v>3028631.2816309328</v>
      </c>
      <c r="AK2849" s="28">
        <f t="shared" si="843"/>
        <v>0.11945360018579192</v>
      </c>
      <c r="AL2849" s="24"/>
      <c r="AM2849" s="24"/>
      <c r="AN2849" s="24"/>
      <c r="AO2849" s="24"/>
      <c r="AP2849" s="28" t="str">
        <f t="shared" si="844"/>
        <v>20248</v>
      </c>
      <c r="AQ2849" s="28" t="str">
        <f t="shared" si="845"/>
        <v>20248JPY</v>
      </c>
      <c r="AR2849" s="206" t="str">
        <f t="shared" si="846"/>
        <v>YAMAHA_Mounter</v>
      </c>
      <c r="AS2849" s="22">
        <f t="shared" si="847"/>
        <v>4</v>
      </c>
      <c r="AT2849" s="24" t="str">
        <f t="shared" si="848"/>
        <v>4-6 months</v>
      </c>
      <c r="AU2849" s="22" t="s">
        <v>3744</v>
      </c>
    </row>
    <row r="2850" spans="1:47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851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850"/>
        <v>1</v>
      </c>
      <c r="Z2850" s="196">
        <f t="shared" si="849"/>
        <v>8500000</v>
      </c>
      <c r="AA2850" s="22">
        <v>5.5599999999999997E-2</v>
      </c>
      <c r="AB2850" s="197">
        <f t="shared" si="835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36"/>
        <v>22758096.38940867</v>
      </c>
      <c r="AJ2850" s="200">
        <f t="shared" si="837"/>
        <v>2469357.2298956565</v>
      </c>
      <c r="AK2850" s="201">
        <f t="shared" si="843"/>
        <v>0.10850455976822666</v>
      </c>
      <c r="AL2850" s="24"/>
      <c r="AM2850" s="24"/>
      <c r="AN2850" s="24"/>
      <c r="AO2850" s="24"/>
      <c r="AP2850" s="105" t="str">
        <f t="shared" si="844"/>
        <v>202410</v>
      </c>
      <c r="AQ2850" s="28" t="str">
        <f t="shared" si="845"/>
        <v>202410JPY</v>
      </c>
      <c r="AR2850" s="206" t="str">
        <f t="shared" si="846"/>
        <v>YAMAHA_Mounter</v>
      </c>
      <c r="AS2850" s="22">
        <f t="shared" si="847"/>
        <v>5</v>
      </c>
      <c r="AT2850" s="24" t="str">
        <f t="shared" si="848"/>
        <v>4-6 months</v>
      </c>
      <c r="AU2850" s="22" t="s">
        <v>3745</v>
      </c>
    </row>
    <row r="2851" spans="1:47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851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853">IF(W2851="RMB","1.13", "1")</f>
        <v>1</v>
      </c>
      <c r="Z2851" s="18">
        <f t="shared" si="849"/>
        <v>13200000</v>
      </c>
      <c r="AA2851" s="13">
        <v>7.2400000000000006E-2</v>
      </c>
      <c r="AB2851" s="21">
        <f t="shared" si="835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36"/>
        <v>47458373.787610628</v>
      </c>
      <c r="AJ2851" s="19">
        <f t="shared" si="837"/>
        <v>7436880.1411522133</v>
      </c>
      <c r="AK2851" s="20">
        <f t="shared" si="843"/>
        <v>0.15670322321692506</v>
      </c>
      <c r="AL2851" s="17"/>
      <c r="AM2851" s="17"/>
      <c r="AN2851" s="17"/>
      <c r="AO2851" s="17"/>
      <c r="AP2851" s="28" t="str">
        <f t="shared" si="844"/>
        <v>20218</v>
      </c>
      <c r="AQ2851" s="28" t="str">
        <f t="shared" si="845"/>
        <v>20218JPY</v>
      </c>
      <c r="AR2851" s="206" t="str">
        <f t="shared" si="846"/>
        <v>YAMAHA_Mounter</v>
      </c>
      <c r="AS2851" s="22">
        <f t="shared" si="847"/>
        <v>5</v>
      </c>
      <c r="AT2851" s="24" t="str">
        <f t="shared" si="848"/>
        <v>4-6 months</v>
      </c>
      <c r="AU2851" s="22" t="s">
        <v>3744</v>
      </c>
    </row>
    <row r="2852" spans="1:47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851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853"/>
        <v>1</v>
      </c>
      <c r="Z2852" s="18">
        <f t="shared" si="849"/>
        <v>13200000</v>
      </c>
      <c r="AA2852" s="13">
        <v>7.2400000000000006E-2</v>
      </c>
      <c r="AB2852" s="21">
        <f t="shared" si="835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36"/>
        <v>47458373.787610628</v>
      </c>
      <c r="AJ2852" s="19">
        <f t="shared" si="837"/>
        <v>7436880.1411522133</v>
      </c>
      <c r="AK2852" s="20">
        <f t="shared" si="843"/>
        <v>0.15670322321692506</v>
      </c>
      <c r="AL2852" s="17"/>
      <c r="AM2852" s="17"/>
      <c r="AN2852" s="17"/>
      <c r="AO2852" s="17"/>
      <c r="AP2852" s="28" t="str">
        <f t="shared" si="844"/>
        <v>20218</v>
      </c>
      <c r="AQ2852" s="28" t="str">
        <f t="shared" si="845"/>
        <v>20218JPY</v>
      </c>
      <c r="AR2852" s="206" t="str">
        <f t="shared" si="846"/>
        <v>YAMAHA_Mounter</v>
      </c>
      <c r="AS2852" s="22">
        <f t="shared" si="847"/>
        <v>5</v>
      </c>
      <c r="AT2852" s="24" t="str">
        <f t="shared" si="848"/>
        <v>4-6 months</v>
      </c>
      <c r="AU2852" s="22" t="s">
        <v>3744</v>
      </c>
    </row>
    <row r="2853" spans="1:47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851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853"/>
        <v>1</v>
      </c>
      <c r="Z2853" s="18">
        <f t="shared" si="849"/>
        <v>13200000</v>
      </c>
      <c r="AA2853" s="13">
        <v>7.2400000000000006E-2</v>
      </c>
      <c r="AB2853" s="21">
        <f t="shared" si="835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36"/>
        <v>47458373.787610628</v>
      </c>
      <c r="AJ2853" s="19">
        <f t="shared" si="837"/>
        <v>7436880.1411522133</v>
      </c>
      <c r="AK2853" s="20">
        <f t="shared" si="843"/>
        <v>0.15670322321692506</v>
      </c>
      <c r="AL2853" s="17"/>
      <c r="AM2853" s="17"/>
      <c r="AN2853" s="17"/>
      <c r="AO2853" s="17"/>
      <c r="AP2853" s="28" t="str">
        <f t="shared" si="844"/>
        <v>20218</v>
      </c>
      <c r="AQ2853" s="28" t="str">
        <f t="shared" si="845"/>
        <v>20218JPY</v>
      </c>
      <c r="AR2853" s="206" t="str">
        <f t="shared" si="846"/>
        <v>YAMAHA_Mounter</v>
      </c>
      <c r="AS2853" s="22">
        <f t="shared" si="847"/>
        <v>5</v>
      </c>
      <c r="AT2853" s="24" t="str">
        <f t="shared" si="848"/>
        <v>4-6 months</v>
      </c>
      <c r="AU2853" s="22" t="s">
        <v>3744</v>
      </c>
    </row>
    <row r="2854" spans="1:47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851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853"/>
        <v>1</v>
      </c>
      <c r="Z2854" s="18">
        <f t="shared" si="849"/>
        <v>13200000</v>
      </c>
      <c r="AA2854" s="13">
        <v>6.54E-2</v>
      </c>
      <c r="AB2854" s="21">
        <f t="shared" si="835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36"/>
        <v>46600814.041769907</v>
      </c>
      <c r="AJ2854" s="19">
        <f t="shared" si="837"/>
        <v>5956366.3435927071</v>
      </c>
      <c r="AK2854" s="20">
        <f t="shared" si="843"/>
        <v>0.1278167874546958</v>
      </c>
      <c r="AL2854" s="17"/>
      <c r="AM2854" s="17"/>
      <c r="AN2854" s="17"/>
      <c r="AO2854" s="17"/>
      <c r="AP2854" s="28" t="str">
        <f t="shared" si="844"/>
        <v>20224</v>
      </c>
      <c r="AQ2854" s="28" t="str">
        <f t="shared" si="845"/>
        <v>20224JPY</v>
      </c>
      <c r="AR2854" s="206" t="str">
        <f t="shared" si="846"/>
        <v>YAMAHA_Mounter</v>
      </c>
      <c r="AS2854" s="22">
        <f t="shared" si="847"/>
        <v>13</v>
      </c>
      <c r="AT2854" s="24" t="str">
        <f t="shared" si="848"/>
        <v>&gt; 6 months</v>
      </c>
      <c r="AU2854" s="22" t="s">
        <v>3744</v>
      </c>
    </row>
    <row r="2855" spans="1:47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851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853"/>
        <v>1</v>
      </c>
      <c r="Z2855" s="18">
        <f t="shared" si="849"/>
        <v>13200000</v>
      </c>
      <c r="AA2855" s="13">
        <v>6.54E-2</v>
      </c>
      <c r="AB2855" s="21">
        <f t="shared" si="835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36"/>
        <v>46600814.041769907</v>
      </c>
      <c r="AJ2855" s="19">
        <f t="shared" si="837"/>
        <v>5956366.3435927071</v>
      </c>
      <c r="AK2855" s="20">
        <f t="shared" si="843"/>
        <v>0.1278167874546958</v>
      </c>
      <c r="AL2855" s="17"/>
      <c r="AM2855" s="17"/>
      <c r="AN2855" s="17"/>
      <c r="AO2855" s="17"/>
      <c r="AP2855" s="28" t="str">
        <f t="shared" si="844"/>
        <v>20224</v>
      </c>
      <c r="AQ2855" s="28" t="str">
        <f t="shared" si="845"/>
        <v>20224JPY</v>
      </c>
      <c r="AR2855" s="206" t="str">
        <f t="shared" si="846"/>
        <v>YAMAHA_Mounter</v>
      </c>
      <c r="AS2855" s="22">
        <f t="shared" si="847"/>
        <v>13</v>
      </c>
      <c r="AT2855" s="24" t="str">
        <f t="shared" si="848"/>
        <v>&gt; 6 months</v>
      </c>
      <c r="AU2855" s="22" t="s">
        <v>3744</v>
      </c>
    </row>
    <row r="2856" spans="1:47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851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853"/>
        <v>1</v>
      </c>
      <c r="Z2856" s="18">
        <f t="shared" si="849"/>
        <v>13200000</v>
      </c>
      <c r="AA2856" s="13">
        <v>6.54E-2</v>
      </c>
      <c r="AB2856" s="21">
        <f t="shared" si="835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36"/>
        <v>46600814.041769907</v>
      </c>
      <c r="AJ2856" s="19">
        <f t="shared" si="837"/>
        <v>5956366.3435927071</v>
      </c>
      <c r="AK2856" s="20">
        <f t="shared" si="843"/>
        <v>0.1278167874546958</v>
      </c>
      <c r="AL2856" s="17"/>
      <c r="AM2856" s="17"/>
      <c r="AN2856" s="17"/>
      <c r="AO2856" s="17"/>
      <c r="AP2856" s="28" t="str">
        <f t="shared" si="844"/>
        <v>20224</v>
      </c>
      <c r="AQ2856" s="28" t="str">
        <f t="shared" si="845"/>
        <v>20224JPY</v>
      </c>
      <c r="AR2856" s="206" t="str">
        <f t="shared" si="846"/>
        <v>YAMAHA_Mounter</v>
      </c>
      <c r="AS2856" s="22">
        <f t="shared" si="847"/>
        <v>13</v>
      </c>
      <c r="AT2856" s="24" t="str">
        <f t="shared" si="848"/>
        <v>&gt; 6 months</v>
      </c>
      <c r="AU2856" s="22" t="s">
        <v>3744</v>
      </c>
    </row>
    <row r="2857" spans="1:47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84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851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853"/>
        <v>1</v>
      </c>
      <c r="Z2857" s="18">
        <f t="shared" si="849"/>
        <v>18100000</v>
      </c>
      <c r="AA2857" s="13">
        <v>5.8700000000000002E-2</v>
      </c>
      <c r="AB2857" s="21">
        <f t="shared" si="835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36"/>
        <v>499582152.5142017</v>
      </c>
      <c r="AJ2857" s="19">
        <f t="shared" si="837"/>
        <v>59520528.679470733</v>
      </c>
      <c r="AK2857" s="20">
        <f t="shared" si="843"/>
        <v>0.11914062257814291</v>
      </c>
      <c r="AL2857" s="17"/>
      <c r="AM2857" s="17"/>
      <c r="AN2857" s="17"/>
      <c r="AO2857" s="17"/>
      <c r="AP2857" s="28" t="str">
        <f t="shared" si="844"/>
        <v>CancelCancel</v>
      </c>
      <c r="AQ2857" s="28" t="str">
        <f t="shared" si="845"/>
        <v>CancelCancelJPY</v>
      </c>
      <c r="AR2857" s="206" t="str">
        <f t="shared" si="846"/>
        <v>YAMAHA_Mounter</v>
      </c>
      <c r="AS2857" s="22" t="str">
        <f t="shared" si="847"/>
        <v/>
      </c>
      <c r="AT2857" s="24" t="str">
        <f t="shared" si="848"/>
        <v/>
      </c>
      <c r="AU2857" s="22" t="s">
        <v>3744</v>
      </c>
    </row>
    <row r="2858" spans="1:47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84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851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853"/>
        <v>1</v>
      </c>
      <c r="Z2858" s="18">
        <f t="shared" si="849"/>
        <v>18100000</v>
      </c>
      <c r="AA2858" s="13">
        <v>5.8700000000000002E-2</v>
      </c>
      <c r="AB2858" s="21">
        <f t="shared" si="835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36"/>
        <v>499582152.5142017</v>
      </c>
      <c r="AJ2858" s="19">
        <f t="shared" si="837"/>
        <v>59520528.679470733</v>
      </c>
      <c r="AK2858" s="20">
        <f t="shared" si="843"/>
        <v>0.11914062257814291</v>
      </c>
      <c r="AL2858" s="17"/>
      <c r="AM2858" s="17"/>
      <c r="AN2858" s="17"/>
      <c r="AO2858" s="17"/>
      <c r="AP2858" s="28" t="str">
        <f t="shared" si="844"/>
        <v>CancelCancel</v>
      </c>
      <c r="AQ2858" s="28" t="str">
        <f t="shared" si="845"/>
        <v>CancelCancelJPY</v>
      </c>
      <c r="AR2858" s="206" t="str">
        <f t="shared" si="846"/>
        <v>YAMAHA_Mounter</v>
      </c>
      <c r="AS2858" s="22" t="str">
        <f t="shared" si="847"/>
        <v/>
      </c>
      <c r="AT2858" s="24" t="str">
        <f t="shared" si="848"/>
        <v/>
      </c>
      <c r="AU2858" s="22" t="s">
        <v>3744</v>
      </c>
    </row>
    <row r="2859" spans="1:47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851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849"/>
        <v>915000</v>
      </c>
      <c r="AA2859" s="13">
        <v>1.135</v>
      </c>
      <c r="AB2859" s="21">
        <f t="shared" si="835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36"/>
        <v>28011162.254106201</v>
      </c>
      <c r="AJ2859" s="19">
        <f t="shared" si="837"/>
        <v>3401347.1124888416</v>
      </c>
      <c r="AK2859" s="20">
        <f t="shared" si="843"/>
        <v>0.12142827497242578</v>
      </c>
      <c r="AL2859" s="17"/>
      <c r="AM2859" s="17"/>
      <c r="AN2859" s="17"/>
      <c r="AO2859" s="17"/>
      <c r="AP2859" s="28" t="str">
        <f t="shared" si="844"/>
        <v>202010</v>
      </c>
      <c r="AQ2859" s="28" t="str">
        <f t="shared" si="845"/>
        <v>202010RMB</v>
      </c>
      <c r="AR2859" s="206" t="str">
        <f t="shared" si="846"/>
        <v>YAMAHA_Mounter</v>
      </c>
      <c r="AS2859" s="22">
        <f t="shared" si="847"/>
        <v>2</v>
      </c>
      <c r="AT2859" s="24" t="str">
        <f t="shared" si="848"/>
        <v>0-3 months</v>
      </c>
      <c r="AU2859" s="22" t="s">
        <v>3743</v>
      </c>
    </row>
    <row r="2860" spans="1:47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851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854">IF(W2860="RMB","1.13", "1")</f>
        <v>1.13</v>
      </c>
      <c r="Z2860" s="18">
        <f t="shared" si="849"/>
        <v>400000</v>
      </c>
      <c r="AA2860" s="13">
        <v>1.1299999999999999</v>
      </c>
      <c r="AB2860" s="21">
        <f t="shared" si="835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36"/>
        <v>33543315.897345133</v>
      </c>
      <c r="AJ2860" s="19">
        <f t="shared" si="837"/>
        <v>4706169.3252984071</v>
      </c>
      <c r="AK2860" s="20">
        <f t="shared" si="843"/>
        <v>0.14030125523967318</v>
      </c>
      <c r="AL2860" s="17"/>
      <c r="AM2860" s="17"/>
      <c r="AN2860" s="17"/>
      <c r="AO2860" s="17"/>
      <c r="AP2860" s="28" t="str">
        <f t="shared" si="844"/>
        <v>20233</v>
      </c>
      <c r="AQ2860" s="28" t="str">
        <f t="shared" si="845"/>
        <v>20233RMB</v>
      </c>
      <c r="AR2860" s="206" t="str">
        <f t="shared" si="846"/>
        <v>YAMAHA_Mounter</v>
      </c>
      <c r="AS2860" s="22">
        <f t="shared" si="847"/>
        <v>1</v>
      </c>
      <c r="AT2860" s="24" t="str">
        <f t="shared" si="848"/>
        <v>0-3 months</v>
      </c>
      <c r="AU2860" s="22" t="s">
        <v>3750</v>
      </c>
    </row>
    <row r="2861" spans="1:47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851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854"/>
        <v>1.13</v>
      </c>
      <c r="Z2861" s="18">
        <f t="shared" si="849"/>
        <v>700000</v>
      </c>
      <c r="AA2861" s="13">
        <v>1.1299999999999999</v>
      </c>
      <c r="AB2861" s="21">
        <f t="shared" si="835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36"/>
        <v>33543315.897345133</v>
      </c>
      <c r="AJ2861" s="19">
        <f t="shared" si="837"/>
        <v>4706169.3252984071</v>
      </c>
      <c r="AK2861" s="20">
        <f t="shared" si="843"/>
        <v>0.14030125523967318</v>
      </c>
      <c r="AL2861" s="17"/>
      <c r="AM2861" s="17"/>
      <c r="AN2861" s="17"/>
      <c r="AO2861" s="17"/>
      <c r="AP2861" s="28" t="str">
        <f t="shared" si="844"/>
        <v>20233</v>
      </c>
      <c r="AQ2861" s="28" t="str">
        <f t="shared" si="845"/>
        <v>20233RMB</v>
      </c>
      <c r="AR2861" s="206" t="str">
        <f t="shared" si="846"/>
        <v>YAMAHA_Mounter</v>
      </c>
      <c r="AS2861" s="22">
        <f t="shared" si="847"/>
        <v>1</v>
      </c>
      <c r="AT2861" s="24" t="str">
        <f t="shared" si="848"/>
        <v>0-3 months</v>
      </c>
      <c r="AU2861" s="22" t="s">
        <v>3750</v>
      </c>
    </row>
    <row r="2862" spans="1:47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851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854"/>
        <v>1</v>
      </c>
      <c r="Z2862" s="18">
        <f t="shared" si="849"/>
        <v>18000000</v>
      </c>
      <c r="AA2862" s="13">
        <v>6.2799999999999995E-2</v>
      </c>
      <c r="AB2862" s="21">
        <f t="shared" si="835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36"/>
        <v>44014086.982070789</v>
      </c>
      <c r="AJ2862" s="19">
        <f t="shared" si="837"/>
        <v>6419974.0221889298</v>
      </c>
      <c r="AK2862" s="20">
        <f t="shared" si="843"/>
        <v>0.14586180158193709</v>
      </c>
      <c r="AL2862" s="17"/>
      <c r="AM2862" s="17"/>
      <c r="AN2862" s="17"/>
      <c r="AO2862" s="17"/>
      <c r="AP2862" s="28" t="str">
        <f t="shared" si="844"/>
        <v>20225</v>
      </c>
      <c r="AQ2862" s="28" t="str">
        <f t="shared" si="845"/>
        <v>20225JPY</v>
      </c>
      <c r="AR2862" s="206" t="str">
        <f t="shared" si="846"/>
        <v>YAMAHA_Mounter</v>
      </c>
      <c r="AS2862" s="22">
        <f t="shared" si="847"/>
        <v>4</v>
      </c>
      <c r="AT2862" s="24" t="str">
        <f t="shared" si="848"/>
        <v>4-6 months</v>
      </c>
      <c r="AU2862" s="22" t="s">
        <v>3744</v>
      </c>
    </row>
    <row r="2863" spans="1:47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851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854"/>
        <v>1</v>
      </c>
      <c r="Z2863" s="18">
        <f t="shared" si="849"/>
        <v>18000000</v>
      </c>
      <c r="AA2863" s="13">
        <v>6.2799999999999995E-2</v>
      </c>
      <c r="AB2863" s="21">
        <f t="shared" si="835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36"/>
        <v>44014086.982070789</v>
      </c>
      <c r="AJ2863" s="19">
        <f t="shared" si="837"/>
        <v>6419974.0221889298</v>
      </c>
      <c r="AK2863" s="20">
        <f t="shared" si="843"/>
        <v>0.14586180158193709</v>
      </c>
      <c r="AL2863" s="17"/>
      <c r="AM2863" s="17"/>
      <c r="AN2863" s="17"/>
      <c r="AO2863" s="17"/>
      <c r="AP2863" s="28" t="str">
        <f t="shared" si="844"/>
        <v>20225</v>
      </c>
      <c r="AQ2863" s="28" t="str">
        <f t="shared" si="845"/>
        <v>20225JPY</v>
      </c>
      <c r="AR2863" s="206" t="str">
        <f t="shared" si="846"/>
        <v>YAMAHA_Mounter</v>
      </c>
      <c r="AS2863" s="22">
        <f t="shared" si="847"/>
        <v>4</v>
      </c>
      <c r="AT2863" s="24" t="str">
        <f t="shared" si="848"/>
        <v>4-6 months</v>
      </c>
      <c r="AU2863" s="22" t="s">
        <v>3744</v>
      </c>
    </row>
    <row r="2864" spans="1:47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851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854"/>
        <v>1</v>
      </c>
      <c r="Z2864" s="18">
        <f t="shared" si="849"/>
        <v>13453405</v>
      </c>
      <c r="AA2864" s="13">
        <v>6.2799999999999995E-2</v>
      </c>
      <c r="AB2864" s="21">
        <f t="shared" si="835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36"/>
        <v>44014086.982070789</v>
      </c>
      <c r="AJ2864" s="19">
        <f t="shared" si="837"/>
        <v>6419974.0221889298</v>
      </c>
      <c r="AK2864" s="20">
        <f t="shared" si="843"/>
        <v>0.14586180158193709</v>
      </c>
      <c r="AL2864" s="17"/>
      <c r="AM2864" s="17"/>
      <c r="AN2864" s="17"/>
      <c r="AO2864" s="17"/>
      <c r="AP2864" s="28" t="str">
        <f t="shared" si="844"/>
        <v>20225</v>
      </c>
      <c r="AQ2864" s="28" t="str">
        <f t="shared" si="845"/>
        <v>20225JPY</v>
      </c>
      <c r="AR2864" s="206" t="str">
        <f t="shared" si="846"/>
        <v>YAMAHA_Mounter</v>
      </c>
      <c r="AS2864" s="22">
        <f t="shared" si="847"/>
        <v>4</v>
      </c>
      <c r="AT2864" s="24" t="str">
        <f t="shared" si="848"/>
        <v>4-6 months</v>
      </c>
      <c r="AU2864" s="22" t="s">
        <v>3744</v>
      </c>
    </row>
    <row r="2865" spans="1:47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851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854"/>
        <v>1</v>
      </c>
      <c r="Z2865" s="18">
        <f t="shared" si="849"/>
        <v>13453405</v>
      </c>
      <c r="AA2865" s="13">
        <v>6.2799999999999995E-2</v>
      </c>
      <c r="AB2865" s="21">
        <f t="shared" si="835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36"/>
        <v>44014086.982070789</v>
      </c>
      <c r="AJ2865" s="19">
        <f t="shared" si="837"/>
        <v>6419974.0221889298</v>
      </c>
      <c r="AK2865" s="20">
        <f t="shared" si="843"/>
        <v>0.14586180158193709</v>
      </c>
      <c r="AL2865" s="17"/>
      <c r="AM2865" s="17"/>
      <c r="AN2865" s="17"/>
      <c r="AO2865" s="17"/>
      <c r="AP2865" s="28" t="str">
        <f t="shared" si="844"/>
        <v>20225</v>
      </c>
      <c r="AQ2865" s="28" t="str">
        <f t="shared" si="845"/>
        <v>20225JPY</v>
      </c>
      <c r="AR2865" s="206" t="str">
        <f t="shared" si="846"/>
        <v>YAMAHA_Mounter</v>
      </c>
      <c r="AS2865" s="22">
        <f t="shared" si="847"/>
        <v>4</v>
      </c>
      <c r="AT2865" s="24" t="str">
        <f t="shared" si="848"/>
        <v>4-6 months</v>
      </c>
      <c r="AU2865" s="22" t="s">
        <v>3744</v>
      </c>
    </row>
    <row r="2866" spans="1:47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851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854"/>
        <v>1</v>
      </c>
      <c r="Z2866" s="18">
        <f t="shared" si="849"/>
        <v>7000000</v>
      </c>
      <c r="AA2866" s="13">
        <v>7.4499999999999997E-2</v>
      </c>
      <c r="AB2866" s="21">
        <f t="shared" si="835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36"/>
        <v>57778307.282035396</v>
      </c>
      <c r="AJ2866" s="19">
        <f t="shared" si="837"/>
        <v>7259860.7225420559</v>
      </c>
      <c r="AK2866" s="20">
        <f t="shared" si="843"/>
        <v>0.12565028406083667</v>
      </c>
      <c r="AL2866" s="17"/>
      <c r="AM2866" s="17"/>
      <c r="AN2866" s="17"/>
      <c r="AO2866" s="17"/>
      <c r="AP2866" s="28" t="str">
        <f t="shared" si="844"/>
        <v>20213</v>
      </c>
      <c r="AQ2866" s="28" t="str">
        <f t="shared" si="845"/>
        <v>20213JPY</v>
      </c>
      <c r="AR2866" s="206" t="str">
        <f t="shared" si="846"/>
        <v>YAMAHA_Mounter</v>
      </c>
      <c r="AS2866" s="22">
        <f t="shared" si="847"/>
        <v>0</v>
      </c>
      <c r="AT2866" s="24" t="str">
        <f t="shared" si="848"/>
        <v>0-3 months</v>
      </c>
      <c r="AU2866" s="22" t="s">
        <v>3744</v>
      </c>
    </row>
    <row r="2867" spans="1:47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851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854"/>
        <v>1</v>
      </c>
      <c r="Z2867" s="18">
        <f t="shared" si="849"/>
        <v>8225000</v>
      </c>
      <c r="AA2867" s="13">
        <v>7.5700000000000003E-2</v>
      </c>
      <c r="AB2867" s="21">
        <f t="shared" si="835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36"/>
        <v>31097187.02948761</v>
      </c>
      <c r="AJ2867" s="19">
        <f t="shared" si="837"/>
        <v>3892353.6644401965</v>
      </c>
      <c r="AK2867" s="20">
        <f t="shared" si="843"/>
        <v>0.12516738767237401</v>
      </c>
      <c r="AL2867" s="17"/>
      <c r="AM2867" s="17"/>
      <c r="AN2867" s="17"/>
      <c r="AO2867" s="17"/>
      <c r="AP2867" s="28" t="str">
        <f t="shared" si="844"/>
        <v>20212</v>
      </c>
      <c r="AQ2867" s="28" t="str">
        <f t="shared" si="845"/>
        <v>20212JPY</v>
      </c>
      <c r="AR2867" s="206" t="str">
        <f t="shared" si="846"/>
        <v>YAMAHA_Mounter</v>
      </c>
      <c r="AS2867" s="22">
        <f t="shared" si="847"/>
        <v>2</v>
      </c>
      <c r="AT2867" s="24" t="str">
        <f t="shared" si="848"/>
        <v>0-3 months</v>
      </c>
      <c r="AU2867" s="22" t="s">
        <v>3744</v>
      </c>
    </row>
    <row r="2868" spans="1:47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851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849"/>
        <v>420000</v>
      </c>
      <c r="AA2868" s="13">
        <v>1</v>
      </c>
      <c r="AB2868" s="21">
        <f t="shared" si="835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36"/>
        <v>10785027.603448275</v>
      </c>
      <c r="AJ2868" s="19">
        <f t="shared" si="837"/>
        <v>1540894.1297982759</v>
      </c>
      <c r="AK2868" s="20">
        <f t="shared" si="843"/>
        <v>0.1428734525728621</v>
      </c>
      <c r="AL2868" s="17"/>
      <c r="AM2868" s="17"/>
      <c r="AN2868" s="17"/>
      <c r="AO2868" s="17"/>
      <c r="AP2868" s="28" t="str">
        <f t="shared" si="844"/>
        <v>201811</v>
      </c>
      <c r="AQ2868" s="28" t="str">
        <f t="shared" si="845"/>
        <v>201811HKD</v>
      </c>
      <c r="AR2868" s="206" t="str">
        <f t="shared" si="846"/>
        <v>HELLER</v>
      </c>
      <c r="AS2868" s="22">
        <f t="shared" si="847"/>
        <v>2</v>
      </c>
      <c r="AT2868" s="24" t="str">
        <f t="shared" si="848"/>
        <v>0-3 months</v>
      </c>
      <c r="AU2868" s="22" t="s">
        <v>3745</v>
      </c>
    </row>
    <row r="2869" spans="1:47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851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849"/>
        <v>282000</v>
      </c>
      <c r="AA2869" s="13">
        <v>1</v>
      </c>
      <c r="AB2869" s="21">
        <f t="shared" si="835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36"/>
        <v>25380121.402654871</v>
      </c>
      <c r="AJ2869" s="19">
        <f t="shared" si="837"/>
        <v>3850343.1237796471</v>
      </c>
      <c r="AK2869" s="20">
        <f t="shared" si="843"/>
        <v>0.1517070412191521</v>
      </c>
      <c r="AL2869" s="17"/>
      <c r="AM2869" s="17"/>
      <c r="AN2869" s="17"/>
      <c r="AO2869" s="17"/>
      <c r="AP2869" s="28" t="str">
        <f t="shared" si="844"/>
        <v>202112</v>
      </c>
      <c r="AQ2869" s="28" t="str">
        <f t="shared" si="845"/>
        <v>202112HKD</v>
      </c>
      <c r="AR2869" s="206" t="str">
        <f t="shared" si="846"/>
        <v>LOCAL SUPPLIER</v>
      </c>
      <c r="AS2869" s="22">
        <f t="shared" si="847"/>
        <v>1</v>
      </c>
      <c r="AT2869" s="24" t="str">
        <f t="shared" si="848"/>
        <v>0-3 months</v>
      </c>
      <c r="AU2869" s="22" t="s">
        <v>3745</v>
      </c>
    </row>
    <row r="2870" spans="1:47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851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849"/>
        <v>26000</v>
      </c>
      <c r="AA2870" s="13">
        <v>1</v>
      </c>
      <c r="AB2870" s="21">
        <f t="shared" si="835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36"/>
        <v>31750699.113741599</v>
      </c>
      <c r="AJ2870" s="19">
        <f t="shared" si="837"/>
        <v>4396077.3195289988</v>
      </c>
      <c r="AK2870" s="20">
        <f t="shared" si="843"/>
        <v>0.13845607946397598</v>
      </c>
      <c r="AL2870" s="17"/>
      <c r="AM2870" s="17"/>
      <c r="AN2870" s="17"/>
      <c r="AO2870" s="17"/>
      <c r="AP2870" s="28" t="str">
        <f t="shared" si="844"/>
        <v>20222</v>
      </c>
      <c r="AQ2870" s="28" t="str">
        <f t="shared" si="845"/>
        <v>20222HKD</v>
      </c>
      <c r="AR2870" s="206" t="str">
        <f t="shared" si="846"/>
        <v>SOLDERSTAR</v>
      </c>
      <c r="AS2870" s="22">
        <f t="shared" si="847"/>
        <v>0</v>
      </c>
      <c r="AT2870" s="24" t="str">
        <f t="shared" si="848"/>
        <v>0-3 months</v>
      </c>
      <c r="AU2870" s="22" t="s">
        <v>3240</v>
      </c>
    </row>
    <row r="2871" spans="1:47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851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849"/>
        <v>13530000</v>
      </c>
      <c r="AA2871" s="22">
        <v>5.2299999999999999E-2</v>
      </c>
      <c r="AB2871" s="21">
        <f t="shared" si="835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36"/>
        <v>25354039.366920356</v>
      </c>
      <c r="AJ2871" s="27">
        <f t="shared" si="837"/>
        <v>3028631.2816309328</v>
      </c>
      <c r="AK2871" s="28">
        <f t="shared" si="843"/>
        <v>0.11945360018579192</v>
      </c>
      <c r="AL2871" s="24"/>
      <c r="AM2871" s="24"/>
      <c r="AN2871" s="24"/>
      <c r="AO2871" s="24"/>
      <c r="AP2871" s="28" t="str">
        <f t="shared" si="844"/>
        <v>20248</v>
      </c>
      <c r="AQ2871" s="28" t="str">
        <f t="shared" si="845"/>
        <v>20248JPY</v>
      </c>
      <c r="AR2871" s="206" t="str">
        <f t="shared" si="846"/>
        <v>YAMAHA_Mounter</v>
      </c>
      <c r="AS2871" s="22">
        <f t="shared" si="847"/>
        <v>4</v>
      </c>
      <c r="AT2871" s="24" t="str">
        <f t="shared" si="848"/>
        <v>4-6 months</v>
      </c>
      <c r="AU2871" s="22" t="s">
        <v>3744</v>
      </c>
    </row>
    <row r="2872" spans="1:47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851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849"/>
        <v>11000000</v>
      </c>
      <c r="AA2872" s="22">
        <v>5.2299999999999999E-2</v>
      </c>
      <c r="AB2872" s="197">
        <f t="shared" si="835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36"/>
        <v>25354039.366920356</v>
      </c>
      <c r="AJ2872" s="200">
        <f t="shared" si="837"/>
        <v>3028631.2816309328</v>
      </c>
      <c r="AK2872" s="201">
        <f t="shared" si="843"/>
        <v>0.11945360018579192</v>
      </c>
      <c r="AL2872" s="24"/>
      <c r="AM2872" s="24"/>
      <c r="AN2872" s="24"/>
      <c r="AO2872" s="24"/>
      <c r="AP2872" s="105" t="str">
        <f t="shared" si="844"/>
        <v>20248</v>
      </c>
      <c r="AQ2872" s="28" t="str">
        <f t="shared" si="845"/>
        <v>20248JPY</v>
      </c>
      <c r="AR2872" s="206" t="str">
        <f t="shared" si="846"/>
        <v>YAMAHA_Mounter</v>
      </c>
      <c r="AS2872" s="22">
        <f t="shared" si="847"/>
        <v>3</v>
      </c>
      <c r="AT2872" s="24" t="str">
        <f t="shared" si="848"/>
        <v>0-3 months</v>
      </c>
      <c r="AU2872" s="22" t="s">
        <v>3744</v>
      </c>
    </row>
    <row r="2873" spans="1:47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851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849"/>
        <v>16000000</v>
      </c>
      <c r="AA2873" s="13">
        <v>7.22E-2</v>
      </c>
      <c r="AB2873" s="21">
        <f t="shared" si="835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36"/>
        <v>47416008.333399981</v>
      </c>
      <c r="AJ2873" s="19">
        <f t="shared" si="837"/>
        <v>6981738.4465290187</v>
      </c>
      <c r="AK2873" s="20">
        <f t="shared" si="843"/>
        <v>0.14724433143839863</v>
      </c>
      <c r="AL2873" s="17"/>
      <c r="AM2873" s="17"/>
      <c r="AN2873" s="17"/>
      <c r="AO2873" s="17"/>
      <c r="AP2873" s="28" t="str">
        <f t="shared" si="844"/>
        <v>20193</v>
      </c>
      <c r="AQ2873" s="28" t="str">
        <f t="shared" si="845"/>
        <v>20193JPY</v>
      </c>
      <c r="AR2873" s="206" t="str">
        <f t="shared" si="846"/>
        <v>YAMAHA_Mounter</v>
      </c>
      <c r="AS2873" s="22">
        <f t="shared" si="847"/>
        <v>1</v>
      </c>
      <c r="AT2873" s="24" t="str">
        <f t="shared" si="848"/>
        <v>0-3 months</v>
      </c>
      <c r="AU2873" s="22" t="s">
        <v>3744</v>
      </c>
    </row>
    <row r="2874" spans="1:47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851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849"/>
        <v>830000</v>
      </c>
      <c r="AA2874" s="13">
        <v>1.095</v>
      </c>
      <c r="AB2874" s="21">
        <f t="shared" si="835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36"/>
        <v>28065694.408805311</v>
      </c>
      <c r="AJ2874" s="19">
        <f t="shared" si="837"/>
        <v>4157433.2906989697</v>
      </c>
      <c r="AK2874" s="20">
        <f t="shared" si="843"/>
        <v>0.14813220831602228</v>
      </c>
      <c r="AL2874" s="17"/>
      <c r="AM2874" s="17"/>
      <c r="AN2874" s="17"/>
      <c r="AO2874" s="17"/>
      <c r="AP2874" s="28" t="str">
        <f t="shared" si="844"/>
        <v>20205</v>
      </c>
      <c r="AQ2874" s="28" t="str">
        <f t="shared" si="845"/>
        <v>20205RMB</v>
      </c>
      <c r="AR2874" s="206" t="str">
        <f t="shared" si="846"/>
        <v>YAMAHA_Mounter</v>
      </c>
      <c r="AS2874" s="22">
        <f t="shared" si="847"/>
        <v>1</v>
      </c>
      <c r="AT2874" s="24" t="str">
        <f t="shared" si="848"/>
        <v>0-3 months</v>
      </c>
      <c r="AU2874" s="22" t="s">
        <v>3743</v>
      </c>
    </row>
    <row r="2875" spans="1:47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851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849"/>
        <v>830000</v>
      </c>
      <c r="AA2875" s="13">
        <v>1.095</v>
      </c>
      <c r="AB2875" s="21">
        <f t="shared" si="835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36"/>
        <v>28065694.408805311</v>
      </c>
      <c r="AJ2875" s="19">
        <f t="shared" si="837"/>
        <v>4157433.2906989697</v>
      </c>
      <c r="AK2875" s="20">
        <f t="shared" si="843"/>
        <v>0.14813220831602228</v>
      </c>
      <c r="AL2875" s="17"/>
      <c r="AM2875" s="17"/>
      <c r="AN2875" s="17"/>
      <c r="AO2875" s="17"/>
      <c r="AP2875" s="28" t="str">
        <f t="shared" si="844"/>
        <v>20205</v>
      </c>
      <c r="AQ2875" s="28" t="str">
        <f t="shared" si="845"/>
        <v>20205RMB</v>
      </c>
      <c r="AR2875" s="206" t="str">
        <f t="shared" si="846"/>
        <v>YAMAHA_Mounter</v>
      </c>
      <c r="AS2875" s="22">
        <f t="shared" si="847"/>
        <v>1</v>
      </c>
      <c r="AT2875" s="24" t="str">
        <f t="shared" si="848"/>
        <v>0-3 months</v>
      </c>
      <c r="AU2875" s="22" t="s">
        <v>3743</v>
      </c>
    </row>
    <row r="2876" spans="1:47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851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849"/>
        <v>830000</v>
      </c>
      <c r="AA2876" s="13">
        <v>1.095</v>
      </c>
      <c r="AB2876" s="21">
        <f t="shared" ref="AB2876:AB2939" si="855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36"/>
        <v>28065694.408805311</v>
      </c>
      <c r="AJ2876" s="19">
        <f t="shared" si="837"/>
        <v>4157433.2906989697</v>
      </c>
      <c r="AK2876" s="20">
        <f t="shared" si="843"/>
        <v>0.14813220831602228</v>
      </c>
      <c r="AL2876" s="17"/>
      <c r="AM2876" s="17"/>
      <c r="AN2876" s="17"/>
      <c r="AO2876" s="17"/>
      <c r="AP2876" s="28" t="str">
        <f t="shared" si="844"/>
        <v>20205</v>
      </c>
      <c r="AQ2876" s="28" t="str">
        <f t="shared" si="845"/>
        <v>20205RMB</v>
      </c>
      <c r="AR2876" s="206" t="str">
        <f t="shared" si="846"/>
        <v>YAMAHA_Mounter</v>
      </c>
      <c r="AS2876" s="22">
        <f t="shared" si="847"/>
        <v>1</v>
      </c>
      <c r="AT2876" s="24" t="str">
        <f t="shared" si="848"/>
        <v>0-3 months</v>
      </c>
      <c r="AU2876" s="22" t="s">
        <v>3743</v>
      </c>
    </row>
    <row r="2877" spans="1:47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851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849"/>
        <v>830000</v>
      </c>
      <c r="AA2877" s="13">
        <v>1.095</v>
      </c>
      <c r="AB2877" s="21">
        <f t="shared" si="855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36"/>
        <v>28065694.408805311</v>
      </c>
      <c r="AJ2877" s="19">
        <f t="shared" si="837"/>
        <v>4157433.2906989697</v>
      </c>
      <c r="AK2877" s="20">
        <f t="shared" si="843"/>
        <v>0.14813220831602228</v>
      </c>
      <c r="AL2877" s="17"/>
      <c r="AM2877" s="17"/>
      <c r="AN2877" s="17"/>
      <c r="AO2877" s="17"/>
      <c r="AP2877" s="28" t="str">
        <f t="shared" si="844"/>
        <v>20205</v>
      </c>
      <c r="AQ2877" s="28" t="str">
        <f t="shared" si="845"/>
        <v>20205RMB</v>
      </c>
      <c r="AR2877" s="206" t="str">
        <f t="shared" si="846"/>
        <v>YAMAHA_Mounter</v>
      </c>
      <c r="AS2877" s="22">
        <f t="shared" si="847"/>
        <v>1</v>
      </c>
      <c r="AT2877" s="24" t="str">
        <f t="shared" si="848"/>
        <v>0-3 months</v>
      </c>
      <c r="AU2877" s="22" t="s">
        <v>3743</v>
      </c>
    </row>
    <row r="2878" spans="1:47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84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851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856">IF(W2878="RMB","1.13", "1")</f>
        <v>1.13</v>
      </c>
      <c r="Z2878" s="18">
        <f t="shared" si="849"/>
        <v>1420000</v>
      </c>
      <c r="AA2878" s="13">
        <v>1.17</v>
      </c>
      <c r="AB2878" s="21">
        <f t="shared" si="855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36"/>
        <v>499582152.5142017</v>
      </c>
      <c r="AJ2878" s="19">
        <f t="shared" si="837"/>
        <v>59520528.679470733</v>
      </c>
      <c r="AK2878" s="20">
        <f t="shared" si="843"/>
        <v>0.11914062257814291</v>
      </c>
      <c r="AL2878" s="17"/>
      <c r="AM2878" s="17"/>
      <c r="AN2878" s="17"/>
      <c r="AO2878" s="17"/>
      <c r="AP2878" s="28" t="str">
        <f t="shared" si="844"/>
        <v>CancelCancel</v>
      </c>
      <c r="AQ2878" s="28" t="str">
        <f t="shared" si="845"/>
        <v>CancelCancelRMB</v>
      </c>
      <c r="AR2878" s="206" t="str">
        <f t="shared" si="846"/>
        <v>YAMAHA_Mounter</v>
      </c>
      <c r="AS2878" s="22" t="str">
        <f t="shared" si="847"/>
        <v/>
      </c>
      <c r="AT2878" s="24" t="str">
        <f t="shared" si="848"/>
        <v/>
      </c>
      <c r="AU2878" s="22" t="s">
        <v>3240</v>
      </c>
    </row>
    <row r="2879" spans="1:47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851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856"/>
        <v>1</v>
      </c>
      <c r="Z2879" s="18">
        <f t="shared" si="849"/>
        <v>10900000</v>
      </c>
      <c r="AA2879" s="13">
        <v>7.17E-2</v>
      </c>
      <c r="AB2879" s="21">
        <f t="shared" si="855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36"/>
        <v>43684091.636631854</v>
      </c>
      <c r="AJ2879" s="19">
        <f t="shared" si="837"/>
        <v>6483951.8242071122</v>
      </c>
      <c r="AK2879" s="20">
        <f t="shared" si="843"/>
        <v>0.14842821680123736</v>
      </c>
      <c r="AL2879" s="17"/>
      <c r="AM2879" s="17"/>
      <c r="AN2879" s="17"/>
      <c r="AO2879" s="17"/>
      <c r="AP2879" s="28" t="str">
        <f t="shared" si="844"/>
        <v>20214</v>
      </c>
      <c r="AQ2879" s="28" t="str">
        <f t="shared" si="845"/>
        <v>20214JPY</v>
      </c>
      <c r="AR2879" s="206" t="str">
        <f t="shared" si="846"/>
        <v>YAMAHA_Mounter</v>
      </c>
      <c r="AS2879" s="22">
        <f t="shared" si="847"/>
        <v>1</v>
      </c>
      <c r="AT2879" s="24" t="str">
        <f t="shared" si="848"/>
        <v>0-3 months</v>
      </c>
      <c r="AU2879" s="22" t="s">
        <v>3744</v>
      </c>
    </row>
    <row r="2880" spans="1:47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851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856"/>
        <v>1</v>
      </c>
      <c r="Z2880" s="18">
        <f t="shared" si="849"/>
        <v>10900000</v>
      </c>
      <c r="AA2880" s="13">
        <v>7.17E-2</v>
      </c>
      <c r="AB2880" s="21">
        <f t="shared" si="855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36"/>
        <v>43684091.636631854</v>
      </c>
      <c r="AJ2880" s="19">
        <f t="shared" si="837"/>
        <v>6483951.8242071122</v>
      </c>
      <c r="AK2880" s="20">
        <f t="shared" si="843"/>
        <v>0.14842821680123736</v>
      </c>
      <c r="AL2880" s="17"/>
      <c r="AM2880" s="17"/>
      <c r="AN2880" s="17"/>
      <c r="AO2880" s="17"/>
      <c r="AP2880" s="28" t="str">
        <f t="shared" si="844"/>
        <v>20214</v>
      </c>
      <c r="AQ2880" s="28" t="str">
        <f t="shared" si="845"/>
        <v>20214JPY</v>
      </c>
      <c r="AR2880" s="206" t="str">
        <f t="shared" si="846"/>
        <v>YAMAHA_Mounter</v>
      </c>
      <c r="AS2880" s="22">
        <f t="shared" si="847"/>
        <v>1</v>
      </c>
      <c r="AT2880" s="24" t="str">
        <f t="shared" si="848"/>
        <v>0-3 months</v>
      </c>
      <c r="AU2880" s="22" t="s">
        <v>3744</v>
      </c>
    </row>
    <row r="2881" spans="1:47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851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856"/>
        <v>1</v>
      </c>
      <c r="Z2881" s="18">
        <f t="shared" si="849"/>
        <v>10900000</v>
      </c>
      <c r="AA2881" s="13">
        <v>7.17E-2</v>
      </c>
      <c r="AB2881" s="21">
        <f t="shared" si="855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36"/>
        <v>43684091.636631854</v>
      </c>
      <c r="AJ2881" s="19">
        <f t="shared" si="837"/>
        <v>6483951.8242071122</v>
      </c>
      <c r="AK2881" s="20">
        <f t="shared" si="843"/>
        <v>0.14842821680123736</v>
      </c>
      <c r="AL2881" s="17"/>
      <c r="AM2881" s="17"/>
      <c r="AN2881" s="17"/>
      <c r="AO2881" s="17"/>
      <c r="AP2881" s="28" t="str">
        <f t="shared" si="844"/>
        <v>20214</v>
      </c>
      <c r="AQ2881" s="28" t="str">
        <f t="shared" si="845"/>
        <v>20214JPY</v>
      </c>
      <c r="AR2881" s="206" t="str">
        <f t="shared" si="846"/>
        <v>YAMAHA_Mounter</v>
      </c>
      <c r="AS2881" s="22">
        <f t="shared" si="847"/>
        <v>1</v>
      </c>
      <c r="AT2881" s="24" t="str">
        <f t="shared" si="848"/>
        <v>0-3 months</v>
      </c>
      <c r="AU2881" s="22" t="s">
        <v>3744</v>
      </c>
    </row>
    <row r="2882" spans="1:47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851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856"/>
        <v>1</v>
      </c>
      <c r="Z2882" s="18">
        <f t="shared" si="849"/>
        <v>10900000</v>
      </c>
      <c r="AA2882" s="13">
        <v>7.2099999999999997E-2</v>
      </c>
      <c r="AB2882" s="21">
        <f t="shared" si="855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ref="AI2882:AI2945" si="857">IF(P2882="C66 SERVICE","",SUMIFS(AB:AB,F:F,F2882,G:G,G2882,E:E,E2882))</f>
        <v>54700260.692079648</v>
      </c>
      <c r="AJ2882" s="19">
        <f t="shared" ref="AJ2882:AJ2945" si="858">IF(P2882="C66 SERVICE","",SUMIFS(AC:AC,F:F,F2882,G:G,G2882,E:E,E2882))</f>
        <v>7482899.5749188727</v>
      </c>
      <c r="AK2882" s="20">
        <f t="shared" si="843"/>
        <v>0.13679824337660537</v>
      </c>
      <c r="AL2882" s="17"/>
      <c r="AM2882" s="17"/>
      <c r="AN2882" s="17"/>
      <c r="AO2882" s="17"/>
      <c r="AP2882" s="28" t="str">
        <f t="shared" si="844"/>
        <v>20216</v>
      </c>
      <c r="AQ2882" s="28" t="str">
        <f t="shared" si="845"/>
        <v>20216JPY</v>
      </c>
      <c r="AR2882" s="206" t="str">
        <f t="shared" si="846"/>
        <v>YAMAHA_Mounter</v>
      </c>
      <c r="AS2882" s="22">
        <f t="shared" si="847"/>
        <v>3</v>
      </c>
      <c r="AT2882" s="24" t="str">
        <f t="shared" si="848"/>
        <v>0-3 months</v>
      </c>
      <c r="AU2882" s="22" t="s">
        <v>3744</v>
      </c>
    </row>
    <row r="2883" spans="1:47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851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856"/>
        <v>1</v>
      </c>
      <c r="Z2883" s="18">
        <f t="shared" si="849"/>
        <v>10900000</v>
      </c>
      <c r="AA2883" s="13">
        <v>7.2099999999999997E-2</v>
      </c>
      <c r="AB2883" s="21">
        <f t="shared" si="855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57"/>
        <v>54700260.692079648</v>
      </c>
      <c r="AJ2883" s="19">
        <f t="shared" si="858"/>
        <v>7482899.5749188727</v>
      </c>
      <c r="AK2883" s="20">
        <f t="shared" si="843"/>
        <v>0.13679824337660537</v>
      </c>
      <c r="AL2883" s="17"/>
      <c r="AM2883" s="17"/>
      <c r="AN2883" s="17"/>
      <c r="AO2883" s="17"/>
      <c r="AP2883" s="28" t="str">
        <f t="shared" si="844"/>
        <v>20216</v>
      </c>
      <c r="AQ2883" s="28" t="str">
        <f t="shared" si="845"/>
        <v>20216JPY</v>
      </c>
      <c r="AR2883" s="206" t="str">
        <f t="shared" si="846"/>
        <v>YAMAHA_Mounter</v>
      </c>
      <c r="AS2883" s="22">
        <f t="shared" si="847"/>
        <v>3</v>
      </c>
      <c r="AT2883" s="24" t="str">
        <f t="shared" si="848"/>
        <v>0-3 months</v>
      </c>
      <c r="AU2883" s="22" t="s">
        <v>3744</v>
      </c>
    </row>
    <row r="2884" spans="1:47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851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856"/>
        <v>1</v>
      </c>
      <c r="Z2884" s="18">
        <f t="shared" si="849"/>
        <v>10900000</v>
      </c>
      <c r="AA2884" s="13">
        <v>7.2099999999999997E-2</v>
      </c>
      <c r="AB2884" s="21">
        <f t="shared" si="855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57"/>
        <v>54700260.692079648</v>
      </c>
      <c r="AJ2884" s="19">
        <f t="shared" si="858"/>
        <v>7482899.5749188727</v>
      </c>
      <c r="AK2884" s="20">
        <f t="shared" si="843"/>
        <v>0.13679824337660537</v>
      </c>
      <c r="AL2884" s="17"/>
      <c r="AM2884" s="17"/>
      <c r="AN2884" s="17"/>
      <c r="AO2884" s="17"/>
      <c r="AP2884" s="28" t="str">
        <f t="shared" si="844"/>
        <v>20216</v>
      </c>
      <c r="AQ2884" s="28" t="str">
        <f t="shared" si="845"/>
        <v>20216JPY</v>
      </c>
      <c r="AR2884" s="206" t="str">
        <f t="shared" si="846"/>
        <v>YAMAHA_Mounter</v>
      </c>
      <c r="AS2884" s="22">
        <f t="shared" si="847"/>
        <v>3</v>
      </c>
      <c r="AT2884" s="24" t="str">
        <f t="shared" si="848"/>
        <v>0-3 months</v>
      </c>
      <c r="AU2884" s="22" t="s">
        <v>3744</v>
      </c>
    </row>
    <row r="2885" spans="1:47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851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856"/>
        <v>1</v>
      </c>
      <c r="Z2885" s="18">
        <f t="shared" si="849"/>
        <v>10900000</v>
      </c>
      <c r="AA2885" s="13">
        <v>5.96E-2</v>
      </c>
      <c r="AB2885" s="21">
        <f t="shared" si="855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57"/>
        <v>35073581.838938057</v>
      </c>
      <c r="AJ2885" s="19">
        <f t="shared" si="858"/>
        <v>5034113.9728989396</v>
      </c>
      <c r="AK2885" s="20">
        <f t="shared" si="843"/>
        <v>0.14353007902118958</v>
      </c>
      <c r="AL2885" s="17"/>
      <c r="AM2885" s="17"/>
      <c r="AN2885" s="17"/>
      <c r="AO2885" s="17"/>
      <c r="AP2885" s="28" t="str">
        <f t="shared" si="844"/>
        <v>20228</v>
      </c>
      <c r="AQ2885" s="28" t="str">
        <f t="shared" si="845"/>
        <v>20228JPY</v>
      </c>
      <c r="AR2885" s="206" t="str">
        <f t="shared" si="846"/>
        <v>YAMAHA_Mounter</v>
      </c>
      <c r="AS2885" s="22">
        <f t="shared" si="847"/>
        <v>17</v>
      </c>
      <c r="AT2885" s="24" t="str">
        <f t="shared" si="848"/>
        <v>&gt; 6 months</v>
      </c>
      <c r="AU2885" s="22" t="s">
        <v>3744</v>
      </c>
    </row>
    <row r="2886" spans="1:47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851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856"/>
        <v>1</v>
      </c>
      <c r="Z2886" s="18">
        <f t="shared" si="849"/>
        <v>10900000</v>
      </c>
      <c r="AA2886" s="13">
        <v>5.8700000000000002E-2</v>
      </c>
      <c r="AB2886" s="21">
        <f t="shared" si="855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si="857"/>
        <v>499582152.5142017</v>
      </c>
      <c r="AJ2886" s="19">
        <f t="shared" si="858"/>
        <v>59520528.679470733</v>
      </c>
      <c r="AK2886" s="20">
        <f t="shared" ref="AK2886:AK2949" si="864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865">IF(F2886="","",F2886&amp;G2886)</f>
        <v>CancelCancel</v>
      </c>
      <c r="AQ2886" s="28" t="str">
        <f t="shared" ref="AQ2886:AQ2949" si="866">IF(W2886="","",F2886&amp;G2886&amp;W2886)</f>
        <v>CancelCancelJPY</v>
      </c>
      <c r="AR2886" s="206" t="str">
        <f t="shared" ref="AR2886:AR2949" si="867">IFERROR(IF(AND(M2886="YAMAHA", R2886="C28"), "YAMAHA_Non_Mounter", IF(AND(M2886="YAMAHA", R2886="C49"), "YAMAHA_Mounter", M2886)),"")</f>
        <v>YAMAHA_Mounter</v>
      </c>
      <c r="AS2886" s="22" t="str">
        <f t="shared" ref="AS2886:AS2949" si="868">IFERROR(IF(OR(G2886="TBA", G2886=""), "", DATEDIF(DATE(B2886, C2886, 1), DATE(F2886, G2886, 1), "M")),"")</f>
        <v/>
      </c>
      <c r="AT2886" s="24" t="str">
        <f t="shared" ref="AT2886:AT2949" si="869">IF(ISNUMBER(AS2886), IF(AS2886&gt;=0, IF(AS2886&lt;=3, "0-3 months", IF(AS2886&lt;=6, "4-6 months", "&gt; 6 months"))), "")</f>
        <v/>
      </c>
      <c r="AU2886" s="22" t="s">
        <v>3744</v>
      </c>
    </row>
    <row r="2887" spans="1:47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861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851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856"/>
        <v>1</v>
      </c>
      <c r="Z2887" s="18">
        <f t="shared" si="849"/>
        <v>10900000</v>
      </c>
      <c r="AA2887" s="13">
        <v>5.8700000000000002E-2</v>
      </c>
      <c r="AB2887" s="21">
        <f t="shared" si="855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57"/>
        <v>499582152.5142017</v>
      </c>
      <c r="AJ2887" s="19">
        <f t="shared" si="858"/>
        <v>59520528.679470733</v>
      </c>
      <c r="AK2887" s="20">
        <f t="shared" si="864"/>
        <v>0.11914062257814291</v>
      </c>
      <c r="AL2887" s="17"/>
      <c r="AM2887" s="17"/>
      <c r="AN2887" s="17"/>
      <c r="AO2887" s="17"/>
      <c r="AP2887" s="28" t="str">
        <f t="shared" si="865"/>
        <v>CancelCancel</v>
      </c>
      <c r="AQ2887" s="28" t="str">
        <f t="shared" si="866"/>
        <v>CancelCancelJPY</v>
      </c>
      <c r="AR2887" s="206" t="str">
        <f t="shared" si="867"/>
        <v>YAMAHA_Mounter</v>
      </c>
      <c r="AS2887" s="22" t="str">
        <f t="shared" si="868"/>
        <v/>
      </c>
      <c r="AT2887" s="24" t="str">
        <f t="shared" si="869"/>
        <v/>
      </c>
      <c r="AU2887" s="22" t="s">
        <v>3744</v>
      </c>
    </row>
    <row r="2888" spans="1:47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861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851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856"/>
        <v>1</v>
      </c>
      <c r="Z2888" s="18">
        <f t="shared" si="849"/>
        <v>10900000</v>
      </c>
      <c r="AA2888" s="13">
        <v>5.8700000000000002E-2</v>
      </c>
      <c r="AB2888" s="21">
        <f t="shared" si="855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57"/>
        <v>499582152.5142017</v>
      </c>
      <c r="AJ2888" s="19">
        <f t="shared" si="858"/>
        <v>59520528.679470733</v>
      </c>
      <c r="AK2888" s="20">
        <f t="shared" si="864"/>
        <v>0.11914062257814291</v>
      </c>
      <c r="AL2888" s="17"/>
      <c r="AM2888" s="17"/>
      <c r="AN2888" s="17"/>
      <c r="AO2888" s="17"/>
      <c r="AP2888" s="28" t="str">
        <f t="shared" si="865"/>
        <v>CancelCancel</v>
      </c>
      <c r="AQ2888" s="28" t="str">
        <f t="shared" si="866"/>
        <v>CancelCancelJPY</v>
      </c>
      <c r="AR2888" s="206" t="str">
        <f t="shared" si="867"/>
        <v>YAMAHA_Mounter</v>
      </c>
      <c r="AS2888" s="22" t="str">
        <f t="shared" si="868"/>
        <v/>
      </c>
      <c r="AT2888" s="24" t="str">
        <f t="shared" si="869"/>
        <v/>
      </c>
      <c r="AU2888" s="22" t="s">
        <v>3744</v>
      </c>
    </row>
    <row r="2889" spans="1:47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861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851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856"/>
        <v>1</v>
      </c>
      <c r="Z2889" s="18">
        <f t="shared" si="849"/>
        <v>10900000</v>
      </c>
      <c r="AA2889" s="13">
        <v>5.8700000000000002E-2</v>
      </c>
      <c r="AB2889" s="21">
        <f t="shared" si="855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57"/>
        <v>499582152.5142017</v>
      </c>
      <c r="AJ2889" s="19">
        <f t="shared" si="858"/>
        <v>59520528.679470733</v>
      </c>
      <c r="AK2889" s="20">
        <f t="shared" si="864"/>
        <v>0.11914062257814291</v>
      </c>
      <c r="AL2889" s="17"/>
      <c r="AM2889" s="17"/>
      <c r="AN2889" s="17"/>
      <c r="AO2889" s="17"/>
      <c r="AP2889" s="28" t="str">
        <f t="shared" si="865"/>
        <v>CancelCancel</v>
      </c>
      <c r="AQ2889" s="28" t="str">
        <f t="shared" si="866"/>
        <v>CancelCancelJPY</v>
      </c>
      <c r="AR2889" s="206" t="str">
        <f t="shared" si="867"/>
        <v>YAMAHA_Mounter</v>
      </c>
      <c r="AS2889" s="22" t="str">
        <f t="shared" si="868"/>
        <v/>
      </c>
      <c r="AT2889" s="24" t="str">
        <f t="shared" si="869"/>
        <v/>
      </c>
      <c r="AU2889" s="22" t="s">
        <v>3744</v>
      </c>
    </row>
    <row r="2890" spans="1:47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861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851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856"/>
        <v>1.13</v>
      </c>
      <c r="Z2890" s="18">
        <f t="shared" ref="Z2890:Z2953" si="870">IF(X2890="","",X2890*MAX(O2890,N2890))</f>
        <v>1300000</v>
      </c>
      <c r="AA2890" s="13">
        <v>1.175</v>
      </c>
      <c r="AB2890" s="21">
        <f t="shared" si="855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57"/>
        <v>499582152.5142017</v>
      </c>
      <c r="AJ2890" s="19">
        <f t="shared" si="858"/>
        <v>59520528.679470733</v>
      </c>
      <c r="AK2890" s="20">
        <f t="shared" si="864"/>
        <v>0.11914062257814291</v>
      </c>
      <c r="AL2890" s="17"/>
      <c r="AM2890" s="17"/>
      <c r="AN2890" s="17"/>
      <c r="AO2890" s="17" t="s">
        <v>2351</v>
      </c>
      <c r="AP2890" s="28" t="str">
        <f t="shared" si="865"/>
        <v>CancelCancel</v>
      </c>
      <c r="AQ2890" s="28" t="str">
        <f t="shared" si="866"/>
        <v>CancelCancelRMB</v>
      </c>
      <c r="AR2890" s="206" t="str">
        <f t="shared" si="867"/>
        <v>YAMAHA_Mounter</v>
      </c>
      <c r="AS2890" s="22" t="str">
        <f t="shared" si="868"/>
        <v/>
      </c>
      <c r="AT2890" s="24" t="str">
        <f t="shared" si="869"/>
        <v/>
      </c>
      <c r="AU2890" s="22" t="s">
        <v>3750</v>
      </c>
    </row>
    <row r="2891" spans="1:47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851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856"/>
        <v>1</v>
      </c>
      <c r="Z2891" s="18">
        <f t="shared" si="870"/>
        <v>12800000</v>
      </c>
      <c r="AA2891" s="13">
        <v>6.9199999999999998E-2</v>
      </c>
      <c r="AB2891" s="21">
        <f t="shared" si="855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57"/>
        <v>31750699.113741599</v>
      </c>
      <c r="AJ2891" s="19">
        <f t="shared" si="858"/>
        <v>4396077.3195289988</v>
      </c>
      <c r="AK2891" s="20">
        <f t="shared" si="864"/>
        <v>0.13845607946397598</v>
      </c>
      <c r="AL2891" s="17"/>
      <c r="AM2891" s="17"/>
      <c r="AN2891" s="17"/>
      <c r="AO2891" s="17"/>
      <c r="AP2891" s="28" t="str">
        <f t="shared" si="865"/>
        <v>20222</v>
      </c>
      <c r="AQ2891" s="28" t="str">
        <f t="shared" si="866"/>
        <v>20222JPY</v>
      </c>
      <c r="AR2891" s="206" t="str">
        <f t="shared" si="867"/>
        <v>YAMAHA_Mounter</v>
      </c>
      <c r="AS2891" s="22">
        <f t="shared" si="868"/>
        <v>1</v>
      </c>
      <c r="AT2891" s="24" t="str">
        <f t="shared" si="869"/>
        <v>0-3 months</v>
      </c>
      <c r="AU2891" s="22" t="s">
        <v>3744</v>
      </c>
    </row>
    <row r="2892" spans="1:47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851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856"/>
        <v>1</v>
      </c>
      <c r="Z2892" s="18">
        <f t="shared" si="870"/>
        <v>7800000</v>
      </c>
      <c r="AA2892" s="13">
        <v>6.54E-2</v>
      </c>
      <c r="AB2892" s="21">
        <f t="shared" si="855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57"/>
        <v>46600814.041769907</v>
      </c>
      <c r="AJ2892" s="19">
        <f t="shared" si="858"/>
        <v>5956366.3435927071</v>
      </c>
      <c r="AK2892" s="20">
        <f t="shared" si="864"/>
        <v>0.1278167874546958</v>
      </c>
      <c r="AL2892" s="17"/>
      <c r="AM2892" s="17"/>
      <c r="AN2892" s="17"/>
      <c r="AO2892" s="17"/>
      <c r="AP2892" s="28" t="str">
        <f t="shared" si="865"/>
        <v>20224</v>
      </c>
      <c r="AQ2892" s="28" t="str">
        <f t="shared" si="866"/>
        <v>20224JPY</v>
      </c>
      <c r="AR2892" s="206" t="str">
        <f t="shared" si="867"/>
        <v>YAMAHA_Mounter</v>
      </c>
      <c r="AS2892" s="22">
        <f t="shared" si="868"/>
        <v>3</v>
      </c>
      <c r="AT2892" s="24" t="str">
        <f t="shared" si="869"/>
        <v>0-3 months</v>
      </c>
      <c r="AU2892" s="22" t="s">
        <v>3744</v>
      </c>
    </row>
    <row r="2893" spans="1:47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851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856"/>
        <v>1.13</v>
      </c>
      <c r="Z2893" s="18">
        <f t="shared" si="870"/>
        <v>620000</v>
      </c>
      <c r="AA2893" s="13">
        <v>1.1950000000000001</v>
      </c>
      <c r="AB2893" s="21">
        <f t="shared" si="855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57"/>
        <v>63006605.696460173</v>
      </c>
      <c r="AJ2893" s="19">
        <f t="shared" si="858"/>
        <v>8897485.660753984</v>
      </c>
      <c r="AK2893" s="20">
        <f t="shared" si="864"/>
        <v>0.141215124388995</v>
      </c>
      <c r="AL2893" s="17"/>
      <c r="AM2893" s="17"/>
      <c r="AN2893" s="17"/>
      <c r="AO2893" s="17"/>
      <c r="AP2893" s="28" t="str">
        <f t="shared" si="865"/>
        <v>20215</v>
      </c>
      <c r="AQ2893" s="28" t="str">
        <f t="shared" si="866"/>
        <v>20215RMB</v>
      </c>
      <c r="AR2893" s="206" t="str">
        <f t="shared" si="867"/>
        <v>YAMAHA_Mounter</v>
      </c>
      <c r="AS2893" s="22">
        <f t="shared" si="868"/>
        <v>3</v>
      </c>
      <c r="AT2893" s="24" t="str">
        <f t="shared" si="869"/>
        <v>0-3 months</v>
      </c>
      <c r="AU2893" s="22" t="s">
        <v>3240</v>
      </c>
    </row>
    <row r="2894" spans="1:47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851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870"/>
        <v>665000</v>
      </c>
      <c r="AA2894" s="13">
        <v>1.135</v>
      </c>
      <c r="AB2894" s="21">
        <f t="shared" si="855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57"/>
        <v>31296887.037898075</v>
      </c>
      <c r="AJ2894" s="19">
        <f t="shared" si="858"/>
        <v>3588873.9502021763</v>
      </c>
      <c r="AK2894" s="20">
        <f t="shared" si="864"/>
        <v>0.11467191436184473</v>
      </c>
      <c r="AL2894" s="17"/>
      <c r="AM2894" s="17"/>
      <c r="AN2894" s="17"/>
      <c r="AO2894" s="17"/>
      <c r="AP2894" s="28" t="str">
        <f t="shared" si="865"/>
        <v>20196</v>
      </c>
      <c r="AQ2894" s="28" t="str">
        <f t="shared" si="866"/>
        <v>20196RMB</v>
      </c>
      <c r="AR2894" s="206" t="str">
        <f t="shared" si="867"/>
        <v>YAMAHA_Mounter</v>
      </c>
      <c r="AS2894" s="22">
        <f t="shared" si="868"/>
        <v>2</v>
      </c>
      <c r="AT2894" s="24" t="str">
        <f t="shared" si="869"/>
        <v>0-3 months</v>
      </c>
      <c r="AU2894" s="22" t="s">
        <v>3240</v>
      </c>
    </row>
    <row r="2895" spans="1:47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851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870"/>
        <v>610000</v>
      </c>
      <c r="AA2895" s="13">
        <v>1.175</v>
      </c>
      <c r="AB2895" s="21">
        <f t="shared" si="855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57"/>
        <v>35682787.057522126</v>
      </c>
      <c r="AJ2895" s="19">
        <f t="shared" si="858"/>
        <v>5833368.3789623892</v>
      </c>
      <c r="AK2895" s="20">
        <f t="shared" si="864"/>
        <v>0.16347849649632912</v>
      </c>
      <c r="AL2895" s="17"/>
      <c r="AM2895" s="17"/>
      <c r="AN2895" s="17"/>
      <c r="AO2895" s="17"/>
      <c r="AP2895" s="28" t="str">
        <f t="shared" si="865"/>
        <v>20226</v>
      </c>
      <c r="AQ2895" s="28" t="str">
        <f t="shared" si="866"/>
        <v>20226RMB</v>
      </c>
      <c r="AR2895" s="206" t="str">
        <f t="shared" si="867"/>
        <v>YAMAHA_Mounter</v>
      </c>
      <c r="AS2895" s="22">
        <f t="shared" si="868"/>
        <v>3</v>
      </c>
      <c r="AT2895" s="24" t="str">
        <f t="shared" si="869"/>
        <v>0-3 months</v>
      </c>
      <c r="AU2895" s="22" t="s">
        <v>3240</v>
      </c>
    </row>
    <row r="2896" spans="1:47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851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870"/>
        <v>590000</v>
      </c>
      <c r="AA2896" s="13">
        <v>1.17</v>
      </c>
      <c r="AB2896" s="21">
        <f t="shared" si="855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57"/>
        <v>36480247.665929198</v>
      </c>
      <c r="AJ2896" s="19">
        <f t="shared" si="858"/>
        <v>5330996.6372757526</v>
      </c>
      <c r="AK2896" s="20">
        <f t="shared" si="864"/>
        <v>0.14613378412599562</v>
      </c>
      <c r="AL2896" s="17"/>
      <c r="AM2896" s="17"/>
      <c r="AN2896" s="17"/>
      <c r="AO2896" s="17"/>
      <c r="AP2896" s="28" t="str">
        <f t="shared" si="865"/>
        <v>20227</v>
      </c>
      <c r="AQ2896" s="28" t="str">
        <f t="shared" si="866"/>
        <v>20227RMB</v>
      </c>
      <c r="AR2896" s="206" t="str">
        <f t="shared" si="867"/>
        <v>YAMAHA_Mounter</v>
      </c>
      <c r="AS2896" s="22">
        <f t="shared" si="868"/>
        <v>1</v>
      </c>
      <c r="AT2896" s="24" t="str">
        <f t="shared" si="869"/>
        <v>0-3 months</v>
      </c>
      <c r="AU2896" s="22" t="s">
        <v>3240</v>
      </c>
    </row>
    <row r="2897" spans="1:47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851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870"/>
        <v>590000</v>
      </c>
      <c r="AA2897" s="13">
        <v>1.17</v>
      </c>
      <c r="AB2897" s="21">
        <f t="shared" si="855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57"/>
        <v>36480247.665929198</v>
      </c>
      <c r="AJ2897" s="19">
        <f t="shared" si="858"/>
        <v>5330996.6372757526</v>
      </c>
      <c r="AK2897" s="20">
        <f t="shared" si="864"/>
        <v>0.14613378412599562</v>
      </c>
      <c r="AL2897" s="17"/>
      <c r="AM2897" s="17"/>
      <c r="AN2897" s="17"/>
      <c r="AO2897" s="17"/>
      <c r="AP2897" s="28" t="str">
        <f t="shared" si="865"/>
        <v>20227</v>
      </c>
      <c r="AQ2897" s="28" t="str">
        <f t="shared" si="866"/>
        <v>20227RMB</v>
      </c>
      <c r="AR2897" s="206" t="str">
        <f t="shared" si="867"/>
        <v>YAMAHA_Mounter</v>
      </c>
      <c r="AS2897" s="22">
        <f t="shared" si="868"/>
        <v>1</v>
      </c>
      <c r="AT2897" s="24" t="str">
        <f t="shared" si="869"/>
        <v>0-3 months</v>
      </c>
      <c r="AU2897" s="22" t="s">
        <v>3240</v>
      </c>
    </row>
    <row r="2898" spans="1:47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851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870"/>
        <v>8500000</v>
      </c>
      <c r="AA2898" s="22">
        <v>5.5599999999999997E-2</v>
      </c>
      <c r="AB2898" s="197">
        <f t="shared" si="855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57"/>
        <v>22758096.38940867</v>
      </c>
      <c r="AJ2898" s="200">
        <f t="shared" si="858"/>
        <v>2469357.2298956565</v>
      </c>
      <c r="AK2898" s="201">
        <f t="shared" si="864"/>
        <v>0.10850455976822666</v>
      </c>
      <c r="AL2898" s="24"/>
      <c r="AM2898" s="24"/>
      <c r="AN2898" s="24"/>
      <c r="AO2898" s="24"/>
      <c r="AP2898" s="105" t="str">
        <f t="shared" si="865"/>
        <v>202410</v>
      </c>
      <c r="AQ2898" s="28" t="str">
        <f t="shared" si="866"/>
        <v>202410JPY</v>
      </c>
      <c r="AR2898" s="206" t="str">
        <f t="shared" si="867"/>
        <v>YAMAHA_Mounter</v>
      </c>
      <c r="AS2898" s="22">
        <f t="shared" si="868"/>
        <v>5</v>
      </c>
      <c r="AT2898" s="24" t="str">
        <f t="shared" si="869"/>
        <v>4-6 months</v>
      </c>
      <c r="AU2898" s="22" t="s">
        <v>3745</v>
      </c>
    </row>
    <row r="2899" spans="1:47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851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870"/>
        <v>615000</v>
      </c>
      <c r="AA2899" s="13">
        <v>1.23</v>
      </c>
      <c r="AB2899" s="21">
        <f t="shared" si="855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57"/>
        <v>29288201.603076916</v>
      </c>
      <c r="AJ2899" s="19">
        <f t="shared" si="858"/>
        <v>3870159.1769246152</v>
      </c>
      <c r="AK2899" s="20">
        <f t="shared" si="864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865"/>
        <v>20184</v>
      </c>
      <c r="AQ2899" s="28" t="str">
        <f t="shared" si="866"/>
        <v>20184RMB</v>
      </c>
      <c r="AR2899" s="206" t="str">
        <f t="shared" si="867"/>
        <v>YAMAHA_Mounter</v>
      </c>
      <c r="AS2899" s="22" t="str">
        <f t="shared" si="868"/>
        <v/>
      </c>
      <c r="AT2899" s="24" t="str">
        <f t="shared" si="869"/>
        <v/>
      </c>
      <c r="AU2899" s="22" t="s">
        <v>3240</v>
      </c>
    </row>
    <row r="2900" spans="1:47" s="12" customFormat="1">
      <c r="A2900" s="33" t="str">
        <f t="shared" si="859"/>
        <v>cancel</v>
      </c>
      <c r="B2900" s="152"/>
      <c r="C2900" s="152" t="s">
        <v>185</v>
      </c>
      <c r="D2900" s="33" t="str">
        <f t="shared" si="860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861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851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870"/>
        <v>970000</v>
      </c>
      <c r="AA2900" s="13">
        <v>1.155</v>
      </c>
      <c r="AB2900" s="21">
        <f t="shared" si="855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57"/>
        <v>499582152.5142017</v>
      </c>
      <c r="AJ2900" s="19">
        <f t="shared" si="858"/>
        <v>59520528.679470733</v>
      </c>
      <c r="AK2900" s="20">
        <f t="shared" si="864"/>
        <v>0.11914062257814291</v>
      </c>
      <c r="AL2900" s="17"/>
      <c r="AM2900" s="17"/>
      <c r="AN2900" s="17"/>
      <c r="AO2900" s="17"/>
      <c r="AP2900" s="28" t="str">
        <f t="shared" si="865"/>
        <v>CancelCancel</v>
      </c>
      <c r="AQ2900" s="28" t="str">
        <f t="shared" si="866"/>
        <v>CancelCancelRMB</v>
      </c>
      <c r="AR2900" s="206" t="str">
        <f t="shared" si="867"/>
        <v>YAMAHA_Mounter</v>
      </c>
      <c r="AS2900" s="22" t="str">
        <f t="shared" si="868"/>
        <v/>
      </c>
      <c r="AT2900" s="24" t="str">
        <f t="shared" si="869"/>
        <v/>
      </c>
      <c r="AU2900" s="22" t="s">
        <v>3240</v>
      </c>
    </row>
    <row r="2901" spans="1:47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851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871">IF(W2901="RMB","1.13", "1")</f>
        <v>1.13</v>
      </c>
      <c r="Z2901" s="18">
        <f t="shared" si="870"/>
        <v>619350</v>
      </c>
      <c r="AA2901" s="13">
        <v>1.1950000000000001</v>
      </c>
      <c r="AB2901" s="21">
        <f t="shared" si="855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57"/>
        <v>63006605.696460173</v>
      </c>
      <c r="AJ2901" s="19">
        <f t="shared" si="858"/>
        <v>8897485.660753984</v>
      </c>
      <c r="AK2901" s="20">
        <f t="shared" si="864"/>
        <v>0.141215124388995</v>
      </c>
      <c r="AL2901" s="17"/>
      <c r="AM2901" s="17"/>
      <c r="AN2901" s="17"/>
      <c r="AO2901" s="17"/>
      <c r="AP2901" s="28" t="str">
        <f t="shared" si="865"/>
        <v>20215</v>
      </c>
      <c r="AQ2901" s="28" t="str">
        <f t="shared" si="866"/>
        <v>20215RMB</v>
      </c>
      <c r="AR2901" s="206" t="str">
        <f t="shared" si="867"/>
        <v>YAMAHA_Mounter</v>
      </c>
      <c r="AS2901" s="22">
        <f t="shared" si="868"/>
        <v>2</v>
      </c>
      <c r="AT2901" s="24" t="str">
        <f t="shared" si="869"/>
        <v>0-3 months</v>
      </c>
      <c r="AU2901" s="22" t="s">
        <v>3240</v>
      </c>
    </row>
    <row r="2902" spans="1:47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872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871"/>
        <v>1.13</v>
      </c>
      <c r="Z2902" s="18">
        <f t="shared" si="870"/>
        <v>619350</v>
      </c>
      <c r="AA2902" s="13">
        <v>1.1950000000000001</v>
      </c>
      <c r="AB2902" s="21">
        <f t="shared" si="855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57"/>
        <v>63006605.696460173</v>
      </c>
      <c r="AJ2902" s="19">
        <f t="shared" si="858"/>
        <v>8897485.660753984</v>
      </c>
      <c r="AK2902" s="20">
        <f t="shared" si="864"/>
        <v>0.141215124388995</v>
      </c>
      <c r="AL2902" s="17"/>
      <c r="AM2902" s="17"/>
      <c r="AN2902" s="17"/>
      <c r="AO2902" s="17"/>
      <c r="AP2902" s="28" t="str">
        <f t="shared" si="865"/>
        <v>20215</v>
      </c>
      <c r="AQ2902" s="28" t="str">
        <f t="shared" si="866"/>
        <v>20215RMB</v>
      </c>
      <c r="AR2902" s="206" t="str">
        <f t="shared" si="867"/>
        <v>YAMAHA_Mounter</v>
      </c>
      <c r="AS2902" s="22">
        <f t="shared" si="868"/>
        <v>2</v>
      </c>
      <c r="AT2902" s="24" t="str">
        <f t="shared" si="869"/>
        <v>0-3 months</v>
      </c>
      <c r="AU2902" s="22" t="s">
        <v>3240</v>
      </c>
    </row>
    <row r="2903" spans="1:47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872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871"/>
        <v>1.13</v>
      </c>
      <c r="Z2903" s="18">
        <f t="shared" si="870"/>
        <v>619350</v>
      </c>
      <c r="AA2903" s="13">
        <v>1.1950000000000001</v>
      </c>
      <c r="AB2903" s="21">
        <f t="shared" si="855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57"/>
        <v>63006605.696460173</v>
      </c>
      <c r="AJ2903" s="19">
        <f t="shared" si="858"/>
        <v>8897485.660753984</v>
      </c>
      <c r="AK2903" s="20">
        <f t="shared" si="864"/>
        <v>0.141215124388995</v>
      </c>
      <c r="AL2903" s="17"/>
      <c r="AM2903" s="17"/>
      <c r="AN2903" s="17"/>
      <c r="AO2903" s="17"/>
      <c r="AP2903" s="28" t="str">
        <f t="shared" si="865"/>
        <v>20215</v>
      </c>
      <c r="AQ2903" s="28" t="str">
        <f t="shared" si="866"/>
        <v>20215RMB</v>
      </c>
      <c r="AR2903" s="206" t="str">
        <f t="shared" si="867"/>
        <v>YAMAHA_Mounter</v>
      </c>
      <c r="AS2903" s="22">
        <f t="shared" si="868"/>
        <v>2</v>
      </c>
      <c r="AT2903" s="24" t="str">
        <f t="shared" si="869"/>
        <v>0-3 months</v>
      </c>
      <c r="AU2903" s="22" t="s">
        <v>3240</v>
      </c>
    </row>
    <row r="2904" spans="1:47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872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871"/>
        <v>1.13</v>
      </c>
      <c r="Z2904" s="18">
        <f t="shared" si="870"/>
        <v>619350</v>
      </c>
      <c r="AA2904" s="13">
        <v>1.1950000000000001</v>
      </c>
      <c r="AB2904" s="21">
        <f t="shared" si="855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57"/>
        <v>63006605.696460173</v>
      </c>
      <c r="AJ2904" s="19">
        <f t="shared" si="858"/>
        <v>8897485.660753984</v>
      </c>
      <c r="AK2904" s="20">
        <f t="shared" si="864"/>
        <v>0.141215124388995</v>
      </c>
      <c r="AL2904" s="17"/>
      <c r="AM2904" s="17"/>
      <c r="AN2904" s="17"/>
      <c r="AO2904" s="17"/>
      <c r="AP2904" s="28" t="str">
        <f t="shared" si="865"/>
        <v>20215</v>
      </c>
      <c r="AQ2904" s="28" t="str">
        <f t="shared" si="866"/>
        <v>20215RMB</v>
      </c>
      <c r="AR2904" s="206" t="str">
        <f t="shared" si="867"/>
        <v>YAMAHA_Mounter</v>
      </c>
      <c r="AS2904" s="22">
        <f t="shared" si="868"/>
        <v>2</v>
      </c>
      <c r="AT2904" s="24" t="str">
        <f t="shared" si="869"/>
        <v>0-3 months</v>
      </c>
      <c r="AU2904" s="22" t="s">
        <v>3240</v>
      </c>
    </row>
    <row r="2905" spans="1:47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861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872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871"/>
        <v>1.13</v>
      </c>
      <c r="Z2905" s="18">
        <f t="shared" si="870"/>
        <v>621300</v>
      </c>
      <c r="AA2905" s="13">
        <v>1.2</v>
      </c>
      <c r="AB2905" s="21">
        <f t="shared" si="855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57"/>
        <v>499582152.5142017</v>
      </c>
      <c r="AJ2905" s="19">
        <f t="shared" si="858"/>
        <v>59520528.679470733</v>
      </c>
      <c r="AK2905" s="20">
        <f t="shared" si="864"/>
        <v>0.11914062257814291</v>
      </c>
      <c r="AL2905" s="17"/>
      <c r="AM2905" s="17"/>
      <c r="AN2905" s="17"/>
      <c r="AO2905" s="17"/>
      <c r="AP2905" s="28" t="str">
        <f t="shared" si="865"/>
        <v>CancelCANCEL</v>
      </c>
      <c r="AQ2905" s="28" t="str">
        <f t="shared" si="866"/>
        <v>CancelCANCELRMB</v>
      </c>
      <c r="AR2905" s="206" t="str">
        <f t="shared" si="867"/>
        <v>YAMAHA_Mounter</v>
      </c>
      <c r="AS2905" s="22" t="str">
        <f t="shared" si="868"/>
        <v/>
      </c>
      <c r="AT2905" s="24" t="str">
        <f t="shared" si="869"/>
        <v/>
      </c>
      <c r="AU2905" s="22" t="s">
        <v>3240</v>
      </c>
    </row>
    <row r="2906" spans="1:47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872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871"/>
        <v>1.13</v>
      </c>
      <c r="Z2906" s="18">
        <f t="shared" si="870"/>
        <v>650000</v>
      </c>
      <c r="AA2906" s="13">
        <v>1.08</v>
      </c>
      <c r="AB2906" s="21">
        <f t="shared" si="855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57"/>
        <v>31017966.201968137</v>
      </c>
      <c r="AJ2906" s="19">
        <f t="shared" si="858"/>
        <v>4704250.3347305888</v>
      </c>
      <c r="AK2906" s="20">
        <f t="shared" si="864"/>
        <v>0.15166211427595458</v>
      </c>
      <c r="AL2906" s="17"/>
      <c r="AM2906" s="17"/>
      <c r="AN2906" s="17"/>
      <c r="AO2906" s="17"/>
      <c r="AP2906" s="28" t="str">
        <f t="shared" si="865"/>
        <v>202211</v>
      </c>
      <c r="AQ2906" s="28" t="str">
        <f t="shared" si="866"/>
        <v>202211RMB</v>
      </c>
      <c r="AR2906" s="206" t="str">
        <f t="shared" si="867"/>
        <v>YAMAHA_Mounter</v>
      </c>
      <c r="AS2906" s="22">
        <f t="shared" si="868"/>
        <v>1</v>
      </c>
      <c r="AT2906" s="24" t="str">
        <f t="shared" si="869"/>
        <v>0-3 months</v>
      </c>
      <c r="AU2906" s="22" t="s">
        <v>3240</v>
      </c>
    </row>
    <row r="2907" spans="1:47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872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871"/>
        <v>1.13</v>
      </c>
      <c r="Z2907" s="18">
        <f t="shared" si="870"/>
        <v>820000</v>
      </c>
      <c r="AA2907" s="13">
        <v>1.08</v>
      </c>
      <c r="AB2907" s="21">
        <f t="shared" si="855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57"/>
        <v>31017966.201968137</v>
      </c>
      <c r="AJ2907" s="19">
        <f t="shared" si="858"/>
        <v>4704250.3347305888</v>
      </c>
      <c r="AK2907" s="20">
        <f t="shared" si="864"/>
        <v>0.15166211427595458</v>
      </c>
      <c r="AL2907" s="17"/>
      <c r="AM2907" s="17"/>
      <c r="AN2907" s="17"/>
      <c r="AO2907" s="17"/>
      <c r="AP2907" s="28" t="str">
        <f t="shared" si="865"/>
        <v>202211</v>
      </c>
      <c r="AQ2907" s="28" t="str">
        <f t="shared" si="866"/>
        <v>202211RMB</v>
      </c>
      <c r="AR2907" s="206" t="str">
        <f t="shared" si="867"/>
        <v>YAMAHA_Mounter</v>
      </c>
      <c r="AS2907" s="22">
        <f t="shared" si="868"/>
        <v>1</v>
      </c>
      <c r="AT2907" s="24" t="str">
        <f t="shared" si="869"/>
        <v>0-3 months</v>
      </c>
      <c r="AU2907" s="22" t="s">
        <v>3240</v>
      </c>
    </row>
    <row r="2908" spans="1:47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872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871"/>
        <v>1.13</v>
      </c>
      <c r="Z2908" s="18">
        <f t="shared" si="870"/>
        <v>868670</v>
      </c>
      <c r="AA2908" s="13">
        <v>1.2150000000000001</v>
      </c>
      <c r="AB2908" s="21">
        <f t="shared" si="855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57"/>
        <v>25380121.402654871</v>
      </c>
      <c r="AJ2908" s="19">
        <f t="shared" si="858"/>
        <v>3850343.1237796471</v>
      </c>
      <c r="AK2908" s="20">
        <f t="shared" si="864"/>
        <v>0.1517070412191521</v>
      </c>
      <c r="AL2908" s="17"/>
      <c r="AM2908" s="17"/>
      <c r="AN2908" s="17"/>
      <c r="AO2908" s="17"/>
      <c r="AP2908" s="28" t="str">
        <f t="shared" si="865"/>
        <v>202112</v>
      </c>
      <c r="AQ2908" s="28" t="str">
        <f t="shared" si="866"/>
        <v>202112RMB</v>
      </c>
      <c r="AR2908" s="206" t="str">
        <f t="shared" si="867"/>
        <v>YAMAHA_Mounter</v>
      </c>
      <c r="AS2908" s="22">
        <f t="shared" si="868"/>
        <v>1</v>
      </c>
      <c r="AT2908" s="24" t="str">
        <f t="shared" si="869"/>
        <v>0-3 months</v>
      </c>
      <c r="AU2908" s="22" t="s">
        <v>3750</v>
      </c>
    </row>
    <row r="2909" spans="1:47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872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871"/>
        <v>1.13</v>
      </c>
      <c r="Z2909" s="18">
        <f t="shared" si="870"/>
        <v>868670</v>
      </c>
      <c r="AA2909" s="13">
        <v>1.2150000000000001</v>
      </c>
      <c r="AB2909" s="21">
        <f t="shared" si="855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57"/>
        <v>25380121.402654871</v>
      </c>
      <c r="AJ2909" s="19">
        <f t="shared" si="858"/>
        <v>3850343.1237796471</v>
      </c>
      <c r="AK2909" s="20">
        <f t="shared" si="864"/>
        <v>0.1517070412191521</v>
      </c>
      <c r="AL2909" s="17"/>
      <c r="AM2909" s="17"/>
      <c r="AN2909" s="17"/>
      <c r="AO2909" s="17"/>
      <c r="AP2909" s="28" t="str">
        <f t="shared" si="865"/>
        <v>202112</v>
      </c>
      <c r="AQ2909" s="28" t="str">
        <f t="shared" si="866"/>
        <v>202112RMB</v>
      </c>
      <c r="AR2909" s="206" t="str">
        <f t="shared" si="867"/>
        <v>YAMAHA_Mounter</v>
      </c>
      <c r="AS2909" s="22">
        <f t="shared" si="868"/>
        <v>1</v>
      </c>
      <c r="AT2909" s="24" t="str">
        <f t="shared" si="869"/>
        <v>0-3 months</v>
      </c>
      <c r="AU2909" s="22" t="s">
        <v>3750</v>
      </c>
    </row>
    <row r="2910" spans="1:47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872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871"/>
        <v>1</v>
      </c>
      <c r="Z2910" s="18">
        <f t="shared" si="870"/>
        <v>8452000</v>
      </c>
      <c r="AA2910" s="13">
        <v>6.9199999999999998E-2</v>
      </c>
      <c r="AB2910" s="21">
        <f t="shared" si="855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57"/>
        <v>26407088.359292038</v>
      </c>
      <c r="AJ2910" s="19">
        <f t="shared" si="858"/>
        <v>3424510.6998470789</v>
      </c>
      <c r="AK2910" s="20">
        <f t="shared" si="864"/>
        <v>0.12968149510667554</v>
      </c>
      <c r="AL2910" s="17"/>
      <c r="AM2910" s="17"/>
      <c r="AN2910" s="17"/>
      <c r="AO2910" s="17"/>
      <c r="AP2910" s="28" t="str">
        <f t="shared" si="865"/>
        <v>20221</v>
      </c>
      <c r="AQ2910" s="28" t="str">
        <f t="shared" si="866"/>
        <v>20221JPY</v>
      </c>
      <c r="AR2910" s="206" t="str">
        <f t="shared" si="867"/>
        <v>YAMAHA_Mounter</v>
      </c>
      <c r="AS2910" s="22">
        <f t="shared" si="868"/>
        <v>7</v>
      </c>
      <c r="AT2910" s="24" t="str">
        <f t="shared" si="869"/>
        <v>&gt; 6 months</v>
      </c>
      <c r="AU2910" s="22" t="s">
        <v>3744</v>
      </c>
    </row>
    <row r="2911" spans="1:47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872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871"/>
        <v>1.13</v>
      </c>
      <c r="Z2911" s="18">
        <f t="shared" si="870"/>
        <v>1300000</v>
      </c>
      <c r="AA2911" s="13">
        <v>1.22</v>
      </c>
      <c r="AB2911" s="21">
        <f t="shared" si="855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57"/>
        <v>28726768.133805312</v>
      </c>
      <c r="AJ2911" s="19">
        <f t="shared" si="858"/>
        <v>3853638.1988864429</v>
      </c>
      <c r="AK2911" s="20">
        <f t="shared" si="864"/>
        <v>0.1341479898099476</v>
      </c>
      <c r="AL2911" s="17"/>
      <c r="AM2911" s="17"/>
      <c r="AN2911" s="17"/>
      <c r="AO2911" s="17"/>
      <c r="AP2911" s="28" t="str">
        <f t="shared" si="865"/>
        <v>20223</v>
      </c>
      <c r="AQ2911" s="28" t="str">
        <f t="shared" si="866"/>
        <v>20223RMB</v>
      </c>
      <c r="AR2911" s="206" t="str">
        <f t="shared" si="867"/>
        <v>YAMAHA_Mounter</v>
      </c>
      <c r="AS2911" s="22">
        <f t="shared" si="868"/>
        <v>3</v>
      </c>
      <c r="AT2911" s="24" t="str">
        <f t="shared" si="869"/>
        <v>0-3 months</v>
      </c>
      <c r="AU2911" s="22" t="s">
        <v>3750</v>
      </c>
    </row>
    <row r="2912" spans="1:47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872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871"/>
        <v>1.13</v>
      </c>
      <c r="Z2912" s="18">
        <f t="shared" si="870"/>
        <v>1300000</v>
      </c>
      <c r="AA2912" s="13">
        <v>1.22</v>
      </c>
      <c r="AB2912" s="21">
        <f t="shared" si="855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57"/>
        <v>28726768.133805312</v>
      </c>
      <c r="AJ2912" s="19">
        <f t="shared" si="858"/>
        <v>3853638.1988864429</v>
      </c>
      <c r="AK2912" s="20">
        <f t="shared" si="864"/>
        <v>0.1341479898099476</v>
      </c>
      <c r="AL2912" s="17"/>
      <c r="AM2912" s="17"/>
      <c r="AN2912" s="17"/>
      <c r="AO2912" s="17"/>
      <c r="AP2912" s="28" t="str">
        <f t="shared" si="865"/>
        <v>20223</v>
      </c>
      <c r="AQ2912" s="28" t="str">
        <f t="shared" si="866"/>
        <v>20223RMB</v>
      </c>
      <c r="AR2912" s="206" t="str">
        <f t="shared" si="867"/>
        <v>YAMAHA_Mounter</v>
      </c>
      <c r="AS2912" s="22">
        <f t="shared" si="868"/>
        <v>3</v>
      </c>
      <c r="AT2912" s="24" t="str">
        <f t="shared" si="869"/>
        <v>0-3 months</v>
      </c>
      <c r="AU2912" s="22" t="s">
        <v>3750</v>
      </c>
    </row>
    <row r="2913" spans="1:47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872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871"/>
        <v>1.13</v>
      </c>
      <c r="Z2913" s="18">
        <f t="shared" si="870"/>
        <v>623546</v>
      </c>
      <c r="AA2913" s="13">
        <v>1.17</v>
      </c>
      <c r="AB2913" s="21">
        <f t="shared" si="855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57"/>
        <v>36480247.665929198</v>
      </c>
      <c r="AJ2913" s="19">
        <f t="shared" si="858"/>
        <v>5330996.6372757526</v>
      </c>
      <c r="AK2913" s="20">
        <f t="shared" si="864"/>
        <v>0.14613378412599562</v>
      </c>
      <c r="AL2913" s="17"/>
      <c r="AM2913" s="17"/>
      <c r="AN2913" s="17"/>
      <c r="AO2913" s="17"/>
      <c r="AP2913" s="28" t="str">
        <f t="shared" si="865"/>
        <v>20227</v>
      </c>
      <c r="AQ2913" s="28" t="str">
        <f t="shared" si="866"/>
        <v>20227RMB</v>
      </c>
      <c r="AR2913" s="206" t="str">
        <f t="shared" si="867"/>
        <v>YAMAHA_Mounter</v>
      </c>
      <c r="AS2913" s="22">
        <f t="shared" si="868"/>
        <v>1</v>
      </c>
      <c r="AT2913" s="24" t="str">
        <f t="shared" si="869"/>
        <v>0-3 months</v>
      </c>
      <c r="AU2913" s="22" t="s">
        <v>3750</v>
      </c>
    </row>
    <row r="2914" spans="1:47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872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871"/>
        <v>1.13</v>
      </c>
      <c r="Z2914" s="18">
        <f t="shared" si="870"/>
        <v>515000</v>
      </c>
      <c r="AA2914" s="13">
        <v>1.135</v>
      </c>
      <c r="AB2914" s="21">
        <f t="shared" si="855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57"/>
        <v>28177779.013274338</v>
      </c>
      <c r="AJ2914" s="19">
        <f t="shared" si="858"/>
        <v>4727216.6376190251</v>
      </c>
      <c r="AK2914" s="20">
        <f t="shared" si="864"/>
        <v>0.1677639900359808</v>
      </c>
      <c r="AL2914" s="17"/>
      <c r="AM2914" s="17"/>
      <c r="AN2914" s="17"/>
      <c r="AO2914" s="17"/>
      <c r="AP2914" s="28" t="str">
        <f t="shared" si="865"/>
        <v>20235</v>
      </c>
      <c r="AQ2914" s="28" t="str">
        <f t="shared" si="866"/>
        <v>20235RMB</v>
      </c>
      <c r="AR2914" s="206" t="str">
        <f t="shared" si="867"/>
        <v>YAMAHA_Mounter</v>
      </c>
      <c r="AS2914" s="22">
        <f t="shared" si="868"/>
        <v>0</v>
      </c>
      <c r="AT2914" s="24" t="str">
        <f t="shared" si="869"/>
        <v>0-3 months</v>
      </c>
      <c r="AU2914" s="22" t="s">
        <v>3750</v>
      </c>
    </row>
    <row r="2915" spans="1:47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872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870"/>
        <v>506000</v>
      </c>
      <c r="AA2915" s="13">
        <v>1.095</v>
      </c>
      <c r="AB2915" s="21">
        <f t="shared" si="855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57"/>
        <v>10271727.486725664</v>
      </c>
      <c r="AJ2915" s="19">
        <f t="shared" si="858"/>
        <v>1227228.7260761063</v>
      </c>
      <c r="AK2915" s="20">
        <f t="shared" si="864"/>
        <v>0.11947637120066472</v>
      </c>
      <c r="AL2915" s="17"/>
      <c r="AM2915" s="17"/>
      <c r="AN2915" s="17"/>
      <c r="AO2915" s="17"/>
      <c r="AP2915" s="28" t="str">
        <f t="shared" si="865"/>
        <v>202312</v>
      </c>
      <c r="AQ2915" s="28" t="str">
        <f t="shared" si="866"/>
        <v>202312RMB</v>
      </c>
      <c r="AR2915" s="206" t="str">
        <f t="shared" si="867"/>
        <v>YAMAHA_Mounter</v>
      </c>
      <c r="AS2915" s="22">
        <f t="shared" si="868"/>
        <v>1</v>
      </c>
      <c r="AT2915" s="24" t="str">
        <f t="shared" si="869"/>
        <v>0-3 months</v>
      </c>
      <c r="AU2915" s="22" t="s">
        <v>3750</v>
      </c>
    </row>
    <row r="2916" spans="1:47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872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873">IF(W2916="RMB","1.13", "1")</f>
        <v>1.13</v>
      </c>
      <c r="Z2916" s="18">
        <f t="shared" si="870"/>
        <v>500000</v>
      </c>
      <c r="AA2916" s="22">
        <v>1.0900000000000001</v>
      </c>
      <c r="AB2916" s="21">
        <f t="shared" si="855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57"/>
        <v>21241742.157380536</v>
      </c>
      <c r="AJ2916" s="27">
        <f t="shared" si="858"/>
        <v>2987081.1613773629</v>
      </c>
      <c r="AK2916" s="28">
        <f t="shared" si="864"/>
        <v>0.14062317201884914</v>
      </c>
      <c r="AL2916" s="24"/>
      <c r="AM2916" s="24"/>
      <c r="AN2916" s="24"/>
      <c r="AO2916" s="24"/>
      <c r="AP2916" s="105" t="str">
        <f t="shared" si="865"/>
        <v>20243</v>
      </c>
      <c r="AQ2916" s="28" t="str">
        <f t="shared" si="866"/>
        <v>20243RMB</v>
      </c>
      <c r="AR2916" s="206" t="str">
        <f t="shared" si="867"/>
        <v>YAMAHA_Mounter</v>
      </c>
      <c r="AS2916" s="22">
        <f t="shared" si="868"/>
        <v>1</v>
      </c>
      <c r="AT2916" s="24" t="str">
        <f t="shared" si="869"/>
        <v>0-3 months</v>
      </c>
      <c r="AU2916" s="22" t="s">
        <v>3750</v>
      </c>
    </row>
    <row r="2917" spans="1:47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872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873"/>
        <v>1</v>
      </c>
      <c r="Z2917" s="18">
        <f t="shared" si="870"/>
        <v>8000000</v>
      </c>
      <c r="AA2917" s="13">
        <v>7.5700000000000003E-2</v>
      </c>
      <c r="AB2917" s="21">
        <f t="shared" si="855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57"/>
        <v>31097187.02948761</v>
      </c>
      <c r="AJ2917" s="19">
        <f t="shared" si="858"/>
        <v>3892353.6644401965</v>
      </c>
      <c r="AK2917" s="20">
        <f t="shared" si="864"/>
        <v>0.12516738767237401</v>
      </c>
      <c r="AL2917" s="17"/>
      <c r="AM2917" s="17"/>
      <c r="AN2917" s="17"/>
      <c r="AO2917" s="17"/>
      <c r="AP2917" s="28" t="str">
        <f t="shared" si="865"/>
        <v>20212</v>
      </c>
      <c r="AQ2917" s="28" t="str">
        <f t="shared" si="866"/>
        <v>20212JPY</v>
      </c>
      <c r="AR2917" s="206" t="str">
        <f t="shared" si="867"/>
        <v>YAMAHA_Mounter</v>
      </c>
      <c r="AS2917" s="22">
        <f t="shared" si="868"/>
        <v>3</v>
      </c>
      <c r="AT2917" s="24" t="str">
        <f t="shared" si="869"/>
        <v>0-3 months</v>
      </c>
      <c r="AU2917" s="22" t="s">
        <v>3744</v>
      </c>
    </row>
    <row r="2918" spans="1:47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861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872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873"/>
        <v>1.13</v>
      </c>
      <c r="Z2918" s="18">
        <f t="shared" si="870"/>
        <v>425000</v>
      </c>
      <c r="AA2918" s="13">
        <v>1.095</v>
      </c>
      <c r="AB2918" s="21">
        <f t="shared" si="855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57"/>
        <v>499582152.5142017</v>
      </c>
      <c r="AJ2918" s="19">
        <f t="shared" si="858"/>
        <v>59520528.679470733</v>
      </c>
      <c r="AK2918" s="20">
        <f t="shared" si="864"/>
        <v>0.11914062257814291</v>
      </c>
      <c r="AL2918" s="17"/>
      <c r="AM2918" s="17"/>
      <c r="AN2918" s="17"/>
      <c r="AO2918" s="17"/>
      <c r="AP2918" s="28" t="str">
        <f t="shared" si="865"/>
        <v>CancelCancel</v>
      </c>
      <c r="AQ2918" s="28" t="str">
        <f t="shared" si="866"/>
        <v>CancelCancelRMB</v>
      </c>
      <c r="AR2918" s="206" t="str">
        <f t="shared" si="867"/>
        <v>YAMAHA_Mounter</v>
      </c>
      <c r="AS2918" s="22" t="str">
        <f t="shared" si="868"/>
        <v/>
      </c>
      <c r="AT2918" s="24" t="str">
        <f t="shared" si="869"/>
        <v/>
      </c>
      <c r="AU2918" s="22" t="s">
        <v>3750</v>
      </c>
    </row>
    <row r="2919" spans="1:47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861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872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873"/>
        <v>1.13</v>
      </c>
      <c r="Z2919" s="18">
        <f t="shared" si="870"/>
        <v>425000</v>
      </c>
      <c r="AA2919" s="13">
        <v>1.095</v>
      </c>
      <c r="AB2919" s="21">
        <f t="shared" si="855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57"/>
        <v>499582152.5142017</v>
      </c>
      <c r="AJ2919" s="19">
        <f t="shared" si="858"/>
        <v>59520528.679470733</v>
      </c>
      <c r="AK2919" s="20">
        <f t="shared" si="864"/>
        <v>0.11914062257814291</v>
      </c>
      <c r="AL2919" s="17"/>
      <c r="AM2919" s="17"/>
      <c r="AN2919" s="17"/>
      <c r="AO2919" s="17"/>
      <c r="AP2919" s="28" t="str">
        <f t="shared" si="865"/>
        <v>CancelCancel</v>
      </c>
      <c r="AQ2919" s="28" t="str">
        <f t="shared" si="866"/>
        <v>CancelCancelRMB</v>
      </c>
      <c r="AR2919" s="206" t="str">
        <f t="shared" si="867"/>
        <v>YAMAHA_Mounter</v>
      </c>
      <c r="AS2919" s="22" t="str">
        <f t="shared" si="868"/>
        <v/>
      </c>
      <c r="AT2919" s="24" t="str">
        <f t="shared" si="869"/>
        <v/>
      </c>
      <c r="AU2919" s="22" t="s">
        <v>3750</v>
      </c>
    </row>
    <row r="2920" spans="1:47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861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872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873"/>
        <v>1.13</v>
      </c>
      <c r="Z2920" s="18">
        <f t="shared" si="870"/>
        <v>710000</v>
      </c>
      <c r="AA2920" s="13">
        <v>1.095</v>
      </c>
      <c r="AB2920" s="21">
        <f t="shared" si="855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57"/>
        <v>499582152.5142017</v>
      </c>
      <c r="AJ2920" s="19">
        <f t="shared" si="858"/>
        <v>59520528.679470733</v>
      </c>
      <c r="AK2920" s="20">
        <f t="shared" si="864"/>
        <v>0.11914062257814291</v>
      </c>
      <c r="AL2920" s="17"/>
      <c r="AM2920" s="17"/>
      <c r="AN2920" s="17"/>
      <c r="AO2920" s="17"/>
      <c r="AP2920" s="28" t="str">
        <f t="shared" si="865"/>
        <v>CancelCancel</v>
      </c>
      <c r="AQ2920" s="28" t="str">
        <f t="shared" si="866"/>
        <v>CancelCancelRMB</v>
      </c>
      <c r="AR2920" s="206" t="str">
        <f t="shared" si="867"/>
        <v>YAMAHA_Mounter</v>
      </c>
      <c r="AS2920" s="22" t="str">
        <f t="shared" si="868"/>
        <v/>
      </c>
      <c r="AT2920" s="24" t="str">
        <f t="shared" si="869"/>
        <v/>
      </c>
      <c r="AU2920" s="22" t="s">
        <v>3750</v>
      </c>
    </row>
    <row r="2921" spans="1:47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861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872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873"/>
        <v>1.13</v>
      </c>
      <c r="Z2921" s="18">
        <f t="shared" si="870"/>
        <v>710000</v>
      </c>
      <c r="AA2921" s="13">
        <v>1.095</v>
      </c>
      <c r="AB2921" s="21">
        <f t="shared" si="855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57"/>
        <v>499582152.5142017</v>
      </c>
      <c r="AJ2921" s="19">
        <f t="shared" si="858"/>
        <v>59520528.679470733</v>
      </c>
      <c r="AK2921" s="20">
        <f t="shared" si="864"/>
        <v>0.11914062257814291</v>
      </c>
      <c r="AL2921" s="17"/>
      <c r="AM2921" s="17"/>
      <c r="AN2921" s="17"/>
      <c r="AO2921" s="17"/>
      <c r="AP2921" s="28" t="str">
        <f t="shared" si="865"/>
        <v>CancelCancel</v>
      </c>
      <c r="AQ2921" s="28" t="str">
        <f t="shared" si="866"/>
        <v>CancelCancelRMB</v>
      </c>
      <c r="AR2921" s="206" t="str">
        <f t="shared" si="867"/>
        <v>YAMAHA_Mounter</v>
      </c>
      <c r="AS2921" s="22" t="str">
        <f t="shared" si="868"/>
        <v/>
      </c>
      <c r="AT2921" s="24" t="str">
        <f t="shared" si="869"/>
        <v/>
      </c>
      <c r="AU2921" s="22" t="s">
        <v>3750</v>
      </c>
    </row>
    <row r="2922" spans="1:47" s="12" customFormat="1">
      <c r="A2922" s="33" t="str">
        <f t="shared" si="859"/>
        <v>cancel</v>
      </c>
      <c r="B2922" s="152"/>
      <c r="C2922" s="152" t="s">
        <v>185</v>
      </c>
      <c r="D2922" s="33" t="str">
        <f t="shared" si="860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861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872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870"/>
        <v>10705500</v>
      </c>
      <c r="AA2922" s="13">
        <v>7.3400000000000007E-2</v>
      </c>
      <c r="AB2922" s="21">
        <f t="shared" si="855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57"/>
        <v>499582152.5142017</v>
      </c>
      <c r="AJ2922" s="19">
        <f t="shared" si="858"/>
        <v>59520528.679470733</v>
      </c>
      <c r="AK2922" s="20">
        <f t="shared" si="864"/>
        <v>0.11914062257814291</v>
      </c>
      <c r="AL2922" s="17"/>
      <c r="AM2922" s="17"/>
      <c r="AN2922" s="17"/>
      <c r="AO2922" s="17"/>
      <c r="AP2922" s="28" t="str">
        <f t="shared" si="865"/>
        <v>CancelCancel</v>
      </c>
      <c r="AQ2922" s="28" t="str">
        <f t="shared" si="866"/>
        <v>CancelCancelJPY</v>
      </c>
      <c r="AR2922" s="206" t="str">
        <f t="shared" si="867"/>
        <v>YAMAHA_Mounter</v>
      </c>
      <c r="AS2922" s="22" t="str">
        <f t="shared" si="868"/>
        <v/>
      </c>
      <c r="AT2922" s="24" t="str">
        <f t="shared" si="869"/>
        <v/>
      </c>
      <c r="AU2922" s="22" t="s">
        <v>3745</v>
      </c>
    </row>
    <row r="2923" spans="1:47" s="12" customFormat="1">
      <c r="A2923" s="33" t="str">
        <f t="shared" si="859"/>
        <v>cancel</v>
      </c>
      <c r="B2923" s="152"/>
      <c r="C2923" s="152" t="s">
        <v>185</v>
      </c>
      <c r="D2923" s="33" t="str">
        <f t="shared" si="860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861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872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870"/>
        <v>13794500</v>
      </c>
      <c r="AA2923" s="13">
        <v>7.3400000000000007E-2</v>
      </c>
      <c r="AB2923" s="21">
        <f t="shared" si="855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57"/>
        <v>499582152.5142017</v>
      </c>
      <c r="AJ2923" s="19">
        <f t="shared" si="858"/>
        <v>59520528.679470733</v>
      </c>
      <c r="AK2923" s="20">
        <f t="shared" si="864"/>
        <v>0.11914062257814291</v>
      </c>
      <c r="AL2923" s="17"/>
      <c r="AM2923" s="17"/>
      <c r="AN2923" s="17"/>
      <c r="AO2923" s="17"/>
      <c r="AP2923" s="28" t="str">
        <f t="shared" si="865"/>
        <v>CancelCancel</v>
      </c>
      <c r="AQ2923" s="28" t="str">
        <f t="shared" si="866"/>
        <v>CancelCancelJPY</v>
      </c>
      <c r="AR2923" s="206" t="str">
        <f t="shared" si="867"/>
        <v>YAMAHA_Mounter</v>
      </c>
      <c r="AS2923" s="22" t="str">
        <f t="shared" si="868"/>
        <v/>
      </c>
      <c r="AT2923" s="24" t="str">
        <f t="shared" si="869"/>
        <v/>
      </c>
      <c r="AU2923" s="22" t="s">
        <v>3745</v>
      </c>
    </row>
    <row r="2924" spans="1:47" s="12" customFormat="1">
      <c r="A2924" s="33" t="str">
        <f t="shared" si="859"/>
        <v>cancel</v>
      </c>
      <c r="B2924" s="152"/>
      <c r="C2924" s="152" t="s">
        <v>185</v>
      </c>
      <c r="D2924" s="33" t="str">
        <f t="shared" si="860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861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872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870"/>
        <v>10705500</v>
      </c>
      <c r="AA2924" s="13">
        <v>7.3999999999999996E-2</v>
      </c>
      <c r="AB2924" s="21">
        <f t="shared" si="855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57"/>
        <v>499582152.5142017</v>
      </c>
      <c r="AJ2924" s="19">
        <f t="shared" si="858"/>
        <v>59520528.679470733</v>
      </c>
      <c r="AK2924" s="20">
        <f t="shared" si="864"/>
        <v>0.11914062257814291</v>
      </c>
      <c r="AL2924" s="17"/>
      <c r="AM2924" s="17"/>
      <c r="AN2924" s="17"/>
      <c r="AO2924" s="17"/>
      <c r="AP2924" s="28" t="str">
        <f t="shared" si="865"/>
        <v>CancelCancel</v>
      </c>
      <c r="AQ2924" s="28" t="str">
        <f t="shared" si="866"/>
        <v>CancelCancelJPY</v>
      </c>
      <c r="AR2924" s="206" t="str">
        <f t="shared" si="867"/>
        <v>YAMAHA_Mounter</v>
      </c>
      <c r="AS2924" s="22" t="str">
        <f t="shared" si="868"/>
        <v/>
      </c>
      <c r="AT2924" s="24" t="str">
        <f t="shared" si="869"/>
        <v/>
      </c>
      <c r="AU2924" s="22" t="s">
        <v>3745</v>
      </c>
    </row>
    <row r="2925" spans="1:47" s="12" customFormat="1">
      <c r="A2925" s="33" t="str">
        <f t="shared" si="859"/>
        <v>cancel</v>
      </c>
      <c r="B2925" s="152"/>
      <c r="C2925" s="152" t="s">
        <v>185</v>
      </c>
      <c r="D2925" s="33" t="str">
        <f t="shared" si="860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861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872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870"/>
        <v>13794500</v>
      </c>
      <c r="AA2925" s="13">
        <v>7.3999999999999996E-2</v>
      </c>
      <c r="AB2925" s="21">
        <f t="shared" si="855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57"/>
        <v>499582152.5142017</v>
      </c>
      <c r="AJ2925" s="19">
        <f t="shared" si="858"/>
        <v>59520528.679470733</v>
      </c>
      <c r="AK2925" s="20">
        <f t="shared" si="864"/>
        <v>0.11914062257814291</v>
      </c>
      <c r="AL2925" s="17"/>
      <c r="AM2925" s="17"/>
      <c r="AN2925" s="17"/>
      <c r="AO2925" s="17"/>
      <c r="AP2925" s="28" t="str">
        <f t="shared" si="865"/>
        <v>CancelCancel</v>
      </c>
      <c r="AQ2925" s="28" t="str">
        <f t="shared" si="866"/>
        <v>CancelCancelJPY</v>
      </c>
      <c r="AR2925" s="206" t="str">
        <f t="shared" si="867"/>
        <v>YAMAHA_Mounter</v>
      </c>
      <c r="AS2925" s="22" t="str">
        <f t="shared" si="868"/>
        <v/>
      </c>
      <c r="AT2925" s="24" t="str">
        <f t="shared" si="869"/>
        <v/>
      </c>
      <c r="AU2925" s="22" t="s">
        <v>3745</v>
      </c>
    </row>
    <row r="2926" spans="1:47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872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870"/>
        <v>1006000</v>
      </c>
      <c r="AA2926" s="13">
        <v>1.135</v>
      </c>
      <c r="AB2926" s="21">
        <f t="shared" si="855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57"/>
        <v>28011162.254106201</v>
      </c>
      <c r="AJ2926" s="19">
        <f t="shared" si="858"/>
        <v>3401347.1124888416</v>
      </c>
      <c r="AK2926" s="20">
        <f t="shared" si="864"/>
        <v>0.12142827497242578</v>
      </c>
      <c r="AL2926" s="17"/>
      <c r="AM2926" s="17"/>
      <c r="AN2926" s="17"/>
      <c r="AO2926" s="17"/>
      <c r="AP2926" s="28" t="str">
        <f t="shared" si="865"/>
        <v>202010</v>
      </c>
      <c r="AQ2926" s="28" t="str">
        <f t="shared" si="866"/>
        <v>202010RMB</v>
      </c>
      <c r="AR2926" s="206" t="str">
        <f t="shared" si="867"/>
        <v>YAMAHA_Mounter</v>
      </c>
      <c r="AS2926" s="22">
        <f t="shared" si="868"/>
        <v>2</v>
      </c>
      <c r="AT2926" s="24" t="str">
        <f t="shared" si="869"/>
        <v>0-3 months</v>
      </c>
      <c r="AU2926" s="22" t="s">
        <v>3240</v>
      </c>
    </row>
    <row r="2927" spans="1:47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872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870"/>
        <v>14600000</v>
      </c>
      <c r="AA2927" s="22">
        <v>5.4199999999999998E-2</v>
      </c>
      <c r="AB2927" s="21">
        <f t="shared" si="855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57"/>
        <v>10271727.486725664</v>
      </c>
      <c r="AJ2927" s="27">
        <f t="shared" si="858"/>
        <v>1227228.7260761063</v>
      </c>
      <c r="AK2927" s="28">
        <f t="shared" si="864"/>
        <v>0.11947637120066472</v>
      </c>
      <c r="AL2927" s="24"/>
      <c r="AM2927" s="24"/>
      <c r="AN2927" s="24"/>
      <c r="AO2927" s="24"/>
      <c r="AP2927" s="28" t="str">
        <f t="shared" si="865"/>
        <v>202312</v>
      </c>
      <c r="AQ2927" s="28" t="str">
        <f t="shared" si="866"/>
        <v>202312JPY</v>
      </c>
      <c r="AR2927" s="206" t="str">
        <f t="shared" si="867"/>
        <v>YAMAHA_Mounter</v>
      </c>
      <c r="AS2927" s="22">
        <f t="shared" si="868"/>
        <v>0</v>
      </c>
      <c r="AT2927" s="24" t="str">
        <f t="shared" si="869"/>
        <v>0-3 months</v>
      </c>
      <c r="AU2927" s="22" t="s">
        <v>3744</v>
      </c>
    </row>
    <row r="2928" spans="1:47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872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874">IF(W2928="RMB","1.13", "1")</f>
        <v>1.13</v>
      </c>
      <c r="Z2928" s="18">
        <f t="shared" si="870"/>
        <v>1160000</v>
      </c>
      <c r="AA2928" s="13">
        <v>1.1399999999999999</v>
      </c>
      <c r="AB2928" s="21">
        <f t="shared" si="855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57"/>
        <v>30573205.452778768</v>
      </c>
      <c r="AJ2928" s="19">
        <f t="shared" si="858"/>
        <v>3790930.1683151261</v>
      </c>
      <c r="AK2928" s="20">
        <f t="shared" si="864"/>
        <v>0.12399518179964254</v>
      </c>
      <c r="AL2928" s="17"/>
      <c r="AM2928" s="17"/>
      <c r="AN2928" s="17"/>
      <c r="AO2928" s="17"/>
      <c r="AP2928" s="28" t="str">
        <f t="shared" si="865"/>
        <v>20234</v>
      </c>
      <c r="AQ2928" s="28" t="str">
        <f t="shared" si="866"/>
        <v>20234RMB</v>
      </c>
      <c r="AR2928" s="206" t="str">
        <f t="shared" si="867"/>
        <v>YAMAHA_Mounter</v>
      </c>
      <c r="AS2928" s="22">
        <f t="shared" si="868"/>
        <v>1</v>
      </c>
      <c r="AT2928" s="24" t="str">
        <f t="shared" si="869"/>
        <v>0-3 months</v>
      </c>
      <c r="AU2928" s="22" t="s">
        <v>3750</v>
      </c>
    </row>
    <row r="2929" spans="1:47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872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874"/>
        <v>1.13</v>
      </c>
      <c r="Z2929" s="18">
        <f t="shared" si="870"/>
        <v>600000</v>
      </c>
      <c r="AA2929" s="13">
        <v>1.1399999999999999</v>
      </c>
      <c r="AB2929" s="21">
        <f t="shared" si="855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57"/>
        <v>30573205.452778768</v>
      </c>
      <c r="AJ2929" s="19">
        <f t="shared" si="858"/>
        <v>3790930.1683151261</v>
      </c>
      <c r="AK2929" s="20">
        <f t="shared" si="864"/>
        <v>0.12399518179964254</v>
      </c>
      <c r="AL2929" s="17"/>
      <c r="AM2929" s="17"/>
      <c r="AN2929" s="17"/>
      <c r="AO2929" s="17"/>
      <c r="AP2929" s="28" t="str">
        <f t="shared" si="865"/>
        <v>20234</v>
      </c>
      <c r="AQ2929" s="28" t="str">
        <f t="shared" si="866"/>
        <v>20234RMB</v>
      </c>
      <c r="AR2929" s="206" t="str">
        <f t="shared" si="867"/>
        <v>YAMAHA_Mounter</v>
      </c>
      <c r="AS2929" s="22">
        <f t="shared" si="868"/>
        <v>1</v>
      </c>
      <c r="AT2929" s="24" t="str">
        <f t="shared" si="869"/>
        <v>0-3 months</v>
      </c>
      <c r="AU2929" s="22" t="s">
        <v>3750</v>
      </c>
    </row>
    <row r="2930" spans="1:47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872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874"/>
        <v>1</v>
      </c>
      <c r="Z2930" s="18">
        <f t="shared" si="870"/>
        <v>12500000</v>
      </c>
      <c r="AA2930" s="13">
        <v>5.3400000000000003E-2</v>
      </c>
      <c r="AB2930" s="21">
        <f t="shared" si="855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57"/>
        <v>5219988.5752212387</v>
      </c>
      <c r="AJ2930" s="19">
        <f t="shared" si="858"/>
        <v>631627.0013460177</v>
      </c>
      <c r="AK2930" s="20">
        <f t="shared" si="864"/>
        <v>0.12100160608478869</v>
      </c>
      <c r="AL2930" s="17"/>
      <c r="AM2930" s="17"/>
      <c r="AN2930" s="17"/>
      <c r="AO2930" s="17"/>
      <c r="AP2930" s="28" t="str">
        <f t="shared" si="865"/>
        <v>202310</v>
      </c>
      <c r="AQ2930" s="28" t="str">
        <f t="shared" si="866"/>
        <v>202310JPY</v>
      </c>
      <c r="AR2930" s="206" t="str">
        <f t="shared" si="867"/>
        <v>YAMAHA_Mounter</v>
      </c>
      <c r="AS2930" s="22">
        <f t="shared" si="868"/>
        <v>1</v>
      </c>
      <c r="AT2930" s="24" t="str">
        <f t="shared" si="869"/>
        <v>0-3 months</v>
      </c>
      <c r="AU2930" s="22" t="s">
        <v>3240</v>
      </c>
    </row>
    <row r="2931" spans="1:47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861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872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874"/>
        <v>1</v>
      </c>
      <c r="Z2931" s="18">
        <f t="shared" si="870"/>
        <v>12450000</v>
      </c>
      <c r="AA2931" s="13">
        <v>5.4899999999999997E-2</v>
      </c>
      <c r="AB2931" s="21">
        <f t="shared" si="855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57"/>
        <v>499582152.5142017</v>
      </c>
      <c r="AJ2931" s="19">
        <f t="shared" si="858"/>
        <v>59520528.679470733</v>
      </c>
      <c r="AK2931" s="20">
        <f t="shared" si="864"/>
        <v>0.11914062257814291</v>
      </c>
      <c r="AL2931" s="17"/>
      <c r="AM2931" s="17"/>
      <c r="AN2931" s="17"/>
      <c r="AO2931" s="17"/>
      <c r="AP2931" s="28" t="str">
        <f t="shared" si="865"/>
        <v>CancelCancel</v>
      </c>
      <c r="AQ2931" s="28" t="str">
        <f t="shared" si="866"/>
        <v>CancelCancelJPY</v>
      </c>
      <c r="AR2931" s="206" t="str">
        <f t="shared" si="867"/>
        <v>YAMAHA_Mounter</v>
      </c>
      <c r="AS2931" s="22" t="str">
        <f t="shared" si="868"/>
        <v/>
      </c>
      <c r="AT2931" s="24" t="str">
        <f t="shared" si="869"/>
        <v/>
      </c>
      <c r="AU2931" s="22" t="s">
        <v>3744</v>
      </c>
    </row>
    <row r="2932" spans="1:47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872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874"/>
        <v>1</v>
      </c>
      <c r="Z2932" s="18">
        <f t="shared" si="870"/>
        <v>8170000</v>
      </c>
      <c r="AA2932" s="13">
        <v>5.3400000000000003E-2</v>
      </c>
      <c r="AB2932" s="21">
        <f t="shared" si="855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57"/>
        <v>5219988.5752212387</v>
      </c>
      <c r="AJ2932" s="19">
        <f t="shared" si="858"/>
        <v>631627.0013460177</v>
      </c>
      <c r="AK2932" s="20">
        <f t="shared" si="864"/>
        <v>0.12100160608478869</v>
      </c>
      <c r="AL2932" s="17"/>
      <c r="AM2932" s="17"/>
      <c r="AN2932" s="17"/>
      <c r="AO2932" s="17"/>
      <c r="AP2932" s="28" t="str">
        <f t="shared" si="865"/>
        <v>202310</v>
      </c>
      <c r="AQ2932" s="28" t="str">
        <f t="shared" si="866"/>
        <v>202310JPY</v>
      </c>
      <c r="AR2932" s="206" t="str">
        <f t="shared" si="867"/>
        <v>YAMAHA_Mounter</v>
      </c>
      <c r="AS2932" s="22">
        <f t="shared" si="868"/>
        <v>1</v>
      </c>
      <c r="AT2932" s="24" t="str">
        <f t="shared" si="869"/>
        <v>0-3 months</v>
      </c>
      <c r="AU2932" s="22" t="s">
        <v>3240</v>
      </c>
    </row>
    <row r="2933" spans="1:47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861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872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874"/>
        <v>1</v>
      </c>
      <c r="Z2933" s="18">
        <f t="shared" si="870"/>
        <v>7800000</v>
      </c>
      <c r="AA2933" s="13">
        <v>5.4899999999999997E-2</v>
      </c>
      <c r="AB2933" s="21">
        <f t="shared" si="855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57"/>
        <v>499582152.5142017</v>
      </c>
      <c r="AJ2933" s="19">
        <f t="shared" si="858"/>
        <v>59520528.679470733</v>
      </c>
      <c r="AK2933" s="20">
        <f t="shared" si="864"/>
        <v>0.11914062257814291</v>
      </c>
      <c r="AL2933" s="17"/>
      <c r="AM2933" s="17"/>
      <c r="AN2933" s="17"/>
      <c r="AO2933" s="17"/>
      <c r="AP2933" s="28" t="str">
        <f t="shared" si="865"/>
        <v>CancelCancel</v>
      </c>
      <c r="AQ2933" s="28" t="str">
        <f t="shared" si="866"/>
        <v>CancelCancelJPY</v>
      </c>
      <c r="AR2933" s="206" t="str">
        <f t="shared" si="867"/>
        <v>YAMAHA_Mounter</v>
      </c>
      <c r="AS2933" s="22" t="str">
        <f t="shared" si="868"/>
        <v/>
      </c>
      <c r="AT2933" s="24" t="str">
        <f t="shared" si="869"/>
        <v/>
      </c>
      <c r="AU2933" s="22" t="s">
        <v>3744</v>
      </c>
    </row>
    <row r="2934" spans="1:47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872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870"/>
        <v>63000</v>
      </c>
      <c r="AA2934" s="13">
        <v>7.8</v>
      </c>
      <c r="AB2934" s="21">
        <f t="shared" si="855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57"/>
        <v>11730565.00042478</v>
      </c>
      <c r="AJ2934" s="19">
        <f t="shared" si="858"/>
        <v>1439625.5685810833</v>
      </c>
      <c r="AK2934" s="20">
        <f t="shared" si="864"/>
        <v>0.12272431622253084</v>
      </c>
      <c r="AL2934" s="17"/>
      <c r="AM2934" s="17"/>
      <c r="AN2934" s="17"/>
      <c r="AO2934" s="17"/>
      <c r="AP2934" s="28" t="str">
        <f t="shared" si="865"/>
        <v>202311</v>
      </c>
      <c r="AQ2934" s="28" t="str">
        <f t="shared" si="866"/>
        <v>202311USD</v>
      </c>
      <c r="AR2934" s="206" t="str">
        <f t="shared" si="867"/>
        <v>YAMAHA_Mounter</v>
      </c>
      <c r="AS2934" s="22">
        <f t="shared" si="868"/>
        <v>1</v>
      </c>
      <c r="AT2934" s="24" t="str">
        <f t="shared" si="869"/>
        <v>0-3 months</v>
      </c>
      <c r="AU2934" s="22" t="s">
        <v>3745</v>
      </c>
    </row>
    <row r="2935" spans="1:47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872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870"/>
        <v>94600</v>
      </c>
      <c r="AA2935" s="22">
        <v>7.8</v>
      </c>
      <c r="AB2935" s="21">
        <f t="shared" si="855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57"/>
        <v>21241742.157380536</v>
      </c>
      <c r="AJ2935" s="27">
        <f t="shared" si="858"/>
        <v>2987081.1613773629</v>
      </c>
      <c r="AK2935" s="28">
        <f t="shared" si="864"/>
        <v>0.14062317201884914</v>
      </c>
      <c r="AL2935" s="24"/>
      <c r="AM2935" s="24"/>
      <c r="AN2935" s="24"/>
      <c r="AO2935" s="24"/>
      <c r="AP2935" s="28" t="str">
        <f t="shared" si="865"/>
        <v>20243</v>
      </c>
      <c r="AQ2935" s="28" t="str">
        <f t="shared" si="866"/>
        <v>20243USD</v>
      </c>
      <c r="AR2935" s="206" t="str">
        <f t="shared" si="867"/>
        <v>YAMAHA_Mounter</v>
      </c>
      <c r="AS2935" s="22">
        <f t="shared" si="868"/>
        <v>1</v>
      </c>
      <c r="AT2935" s="24" t="str">
        <f t="shared" si="869"/>
        <v>0-3 months</v>
      </c>
      <c r="AU2935" s="22" t="s">
        <v>3751</v>
      </c>
    </row>
    <row r="2936" spans="1:47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872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870"/>
        <v>6800000</v>
      </c>
      <c r="AA2936" s="13">
        <v>7.2800000000000004E-2</v>
      </c>
      <c r="AB2936" s="21">
        <f t="shared" si="855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57"/>
        <v>63006605.696460173</v>
      </c>
      <c r="AJ2936" s="19">
        <f t="shared" si="858"/>
        <v>8897485.660753984</v>
      </c>
      <c r="AK2936" s="20">
        <f t="shared" si="864"/>
        <v>0.141215124388995</v>
      </c>
      <c r="AL2936" s="17"/>
      <c r="AM2936" s="17"/>
      <c r="AN2936" s="17"/>
      <c r="AO2936" s="17"/>
      <c r="AP2936" s="28" t="str">
        <f t="shared" si="865"/>
        <v>20215</v>
      </c>
      <c r="AQ2936" s="28" t="str">
        <f t="shared" si="866"/>
        <v>20215JPY</v>
      </c>
      <c r="AR2936" s="206" t="str">
        <f t="shared" si="867"/>
        <v>YAMAHA_Mounter</v>
      </c>
      <c r="AS2936" s="22">
        <f t="shared" si="868"/>
        <v>4</v>
      </c>
      <c r="AT2936" s="24" t="str">
        <f t="shared" si="869"/>
        <v>4-6 months</v>
      </c>
      <c r="AU2936" s="22" t="s">
        <v>3744</v>
      </c>
    </row>
    <row r="2937" spans="1:47" s="12" customFormat="1">
      <c r="A2937" s="33" t="str">
        <f t="shared" si="859"/>
        <v>cancel</v>
      </c>
      <c r="B2937" s="152"/>
      <c r="C2937" s="152" t="s">
        <v>185</v>
      </c>
      <c r="D2937" s="33" t="str">
        <f t="shared" si="860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861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872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870"/>
        <v>7448000</v>
      </c>
      <c r="AA2937" s="13">
        <v>7.5700000000000003E-2</v>
      </c>
      <c r="AB2937" s="21">
        <f t="shared" si="855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57"/>
        <v>499582152.5142017</v>
      </c>
      <c r="AJ2937" s="19">
        <f t="shared" si="858"/>
        <v>59520528.679470733</v>
      </c>
      <c r="AK2937" s="20">
        <f t="shared" si="864"/>
        <v>0.11914062257814291</v>
      </c>
      <c r="AL2937" s="17"/>
      <c r="AM2937" s="17"/>
      <c r="AN2937" s="17"/>
      <c r="AO2937" s="17"/>
      <c r="AP2937" s="28" t="str">
        <f t="shared" si="865"/>
        <v>CancelCancel</v>
      </c>
      <c r="AQ2937" s="28" t="str">
        <f t="shared" si="866"/>
        <v>CancelCancelJPY</v>
      </c>
      <c r="AR2937" s="206" t="str">
        <f t="shared" si="867"/>
        <v>YAMAHA_Mounter</v>
      </c>
      <c r="AS2937" s="22" t="str">
        <f t="shared" si="868"/>
        <v/>
      </c>
      <c r="AT2937" s="24" t="str">
        <f t="shared" si="869"/>
        <v/>
      </c>
      <c r="AU2937" s="22" t="s">
        <v>3240</v>
      </c>
    </row>
    <row r="2938" spans="1:47" s="12" customFormat="1">
      <c r="A2938" s="33" t="str">
        <f t="shared" si="859"/>
        <v>cancel</v>
      </c>
      <c r="B2938" s="152"/>
      <c r="C2938" s="152" t="s">
        <v>185</v>
      </c>
      <c r="D2938" s="33" t="str">
        <f t="shared" si="860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861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872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870"/>
        <v>7448000</v>
      </c>
      <c r="AA2938" s="13">
        <v>7.5700000000000003E-2</v>
      </c>
      <c r="AB2938" s="21">
        <f t="shared" si="855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57"/>
        <v>499582152.5142017</v>
      </c>
      <c r="AJ2938" s="19">
        <f t="shared" si="858"/>
        <v>59520528.679470733</v>
      </c>
      <c r="AK2938" s="20">
        <f t="shared" si="864"/>
        <v>0.11914062257814291</v>
      </c>
      <c r="AL2938" s="17"/>
      <c r="AM2938" s="17"/>
      <c r="AN2938" s="17"/>
      <c r="AO2938" s="17"/>
      <c r="AP2938" s="28" t="str">
        <f t="shared" si="865"/>
        <v>CancelCancel</v>
      </c>
      <c r="AQ2938" s="28" t="str">
        <f t="shared" si="866"/>
        <v>CancelCancelJPY</v>
      </c>
      <c r="AR2938" s="206" t="str">
        <f t="shared" si="867"/>
        <v>YAMAHA_Mounter</v>
      </c>
      <c r="AS2938" s="22" t="str">
        <f t="shared" si="868"/>
        <v/>
      </c>
      <c r="AT2938" s="24" t="str">
        <f t="shared" si="869"/>
        <v/>
      </c>
      <c r="AU2938" s="22" t="s">
        <v>3240</v>
      </c>
    </row>
    <row r="2939" spans="1:47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872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870"/>
        <v>11819760</v>
      </c>
      <c r="AA2939" s="13">
        <v>7.22E-2</v>
      </c>
      <c r="AB2939" s="21">
        <f t="shared" si="855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57"/>
        <v>26492741.106427077</v>
      </c>
      <c r="AJ2939" s="19">
        <f t="shared" si="858"/>
        <v>3348032.1325698122</v>
      </c>
      <c r="AK2939" s="20">
        <f t="shared" si="864"/>
        <v>0.12637545201985867</v>
      </c>
      <c r="AL2939" s="17"/>
      <c r="AM2939" s="17"/>
      <c r="AN2939" s="17"/>
      <c r="AO2939" s="17"/>
      <c r="AP2939" s="28" t="str">
        <f t="shared" si="865"/>
        <v>20189</v>
      </c>
      <c r="AQ2939" s="28" t="str">
        <f t="shared" si="866"/>
        <v>20189JPY</v>
      </c>
      <c r="AR2939" s="206" t="str">
        <f t="shared" si="867"/>
        <v>YAMAHA_Mounter</v>
      </c>
      <c r="AS2939" s="22">
        <f t="shared" si="868"/>
        <v>2</v>
      </c>
      <c r="AT2939" s="24" t="str">
        <f t="shared" si="869"/>
        <v>0-3 months</v>
      </c>
      <c r="AU2939" s="22" t="s">
        <v>3744</v>
      </c>
    </row>
    <row r="2940" spans="1:47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872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870"/>
        <v>1530000</v>
      </c>
      <c r="AA2940" s="13">
        <v>1.1100000000000001</v>
      </c>
      <c r="AB2940" s="21">
        <f t="shared" ref="AB2940:AB3003" si="875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57"/>
        <v>27318180.088495575</v>
      </c>
      <c r="AJ2940" s="19">
        <f t="shared" si="858"/>
        <v>3014099.212353982</v>
      </c>
      <c r="AK2940" s="20">
        <f t="shared" si="864"/>
        <v>0.11033308963444827</v>
      </c>
      <c r="AL2940" s="17"/>
      <c r="AM2940" s="17"/>
      <c r="AN2940" s="17"/>
      <c r="AO2940" s="17"/>
      <c r="AP2940" s="28" t="str">
        <f t="shared" si="865"/>
        <v>201912</v>
      </c>
      <c r="AQ2940" s="28" t="str">
        <f t="shared" si="866"/>
        <v>201912RMB</v>
      </c>
      <c r="AR2940" s="206" t="str">
        <f t="shared" si="867"/>
        <v>YAMAHA_Mounter</v>
      </c>
      <c r="AS2940" s="22">
        <f t="shared" si="868"/>
        <v>0</v>
      </c>
      <c r="AT2940" s="24" t="str">
        <f t="shared" si="869"/>
        <v>0-3 months</v>
      </c>
      <c r="AU2940" s="22" t="s">
        <v>3750</v>
      </c>
    </row>
    <row r="2941" spans="1:47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872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870"/>
        <v>630000</v>
      </c>
      <c r="AA2941" s="13">
        <v>1.135</v>
      </c>
      <c r="AB2941" s="21">
        <f t="shared" si="875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57"/>
        <v>34015877.71150443</v>
      </c>
      <c r="AJ2941" s="19">
        <f t="shared" si="858"/>
        <v>4446292.375441948</v>
      </c>
      <c r="AK2941" s="20">
        <f t="shared" si="864"/>
        <v>0.13071226364205143</v>
      </c>
      <c r="AL2941" s="17"/>
      <c r="AM2941" s="17"/>
      <c r="AN2941" s="17"/>
      <c r="AO2941" s="17"/>
      <c r="AP2941" s="28" t="str">
        <f t="shared" si="865"/>
        <v>20197</v>
      </c>
      <c r="AQ2941" s="28" t="str">
        <f t="shared" si="866"/>
        <v>20197RMB</v>
      </c>
      <c r="AR2941" s="206" t="str">
        <f t="shared" si="867"/>
        <v>YAMAHA_Mounter</v>
      </c>
      <c r="AS2941" s="22">
        <f t="shared" si="868"/>
        <v>1</v>
      </c>
      <c r="AT2941" s="24" t="str">
        <f t="shared" si="869"/>
        <v>0-3 months</v>
      </c>
      <c r="AU2941" s="22" t="s">
        <v>3743</v>
      </c>
    </row>
    <row r="2942" spans="1:47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872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870"/>
        <v>7175000</v>
      </c>
      <c r="AA2942" s="13">
        <v>7.5700000000000003E-2</v>
      </c>
      <c r="AB2942" s="21">
        <f t="shared" si="875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57"/>
        <v>37969334.083628319</v>
      </c>
      <c r="AJ2942" s="19">
        <f t="shared" si="858"/>
        <v>5097226.4551657084</v>
      </c>
      <c r="AK2942" s="20">
        <f t="shared" si="864"/>
        <v>0.13424587441904964</v>
      </c>
      <c r="AL2942" s="17"/>
      <c r="AM2942" s="17"/>
      <c r="AN2942" s="17"/>
      <c r="AO2942" s="17"/>
      <c r="AP2942" s="28" t="str">
        <f t="shared" si="865"/>
        <v>20208</v>
      </c>
      <c r="AQ2942" s="28" t="str">
        <f t="shared" si="866"/>
        <v>20208JPY</v>
      </c>
      <c r="AR2942" s="206" t="str">
        <f t="shared" si="867"/>
        <v>YAMAHA_Mounter</v>
      </c>
      <c r="AS2942" s="22">
        <f t="shared" si="868"/>
        <v>1</v>
      </c>
      <c r="AT2942" s="24" t="str">
        <f t="shared" si="869"/>
        <v>0-3 months</v>
      </c>
      <c r="AU2942" s="22" t="s">
        <v>3744</v>
      </c>
    </row>
    <row r="2943" spans="1:47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872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870"/>
        <v>7175000</v>
      </c>
      <c r="AA2943" s="13">
        <v>7.5700000000000003E-2</v>
      </c>
      <c r="AB2943" s="21">
        <f t="shared" si="875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57"/>
        <v>37969334.083628319</v>
      </c>
      <c r="AJ2943" s="19">
        <f t="shared" si="858"/>
        <v>5097226.4551657084</v>
      </c>
      <c r="AK2943" s="20">
        <f t="shared" si="864"/>
        <v>0.13424587441904964</v>
      </c>
      <c r="AL2943" s="17"/>
      <c r="AM2943" s="17"/>
      <c r="AN2943" s="17"/>
      <c r="AO2943" s="17"/>
      <c r="AP2943" s="28" t="str">
        <f t="shared" si="865"/>
        <v>20208</v>
      </c>
      <c r="AQ2943" s="28" t="str">
        <f t="shared" si="866"/>
        <v>20208JPY</v>
      </c>
      <c r="AR2943" s="206" t="str">
        <f t="shared" si="867"/>
        <v>YAMAHA_Mounter</v>
      </c>
      <c r="AS2943" s="22">
        <f t="shared" si="868"/>
        <v>1</v>
      </c>
      <c r="AT2943" s="24" t="str">
        <f t="shared" si="869"/>
        <v>0-3 months</v>
      </c>
      <c r="AU2943" s="22" t="s">
        <v>3744</v>
      </c>
    </row>
    <row r="2944" spans="1:47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872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876">IF(W2944="RMB","1.13", "1")</f>
        <v>1</v>
      </c>
      <c r="Z2944" s="18">
        <f t="shared" si="870"/>
        <v>6920000</v>
      </c>
      <c r="AA2944" s="13">
        <v>7.5700000000000003E-2</v>
      </c>
      <c r="AB2944" s="21">
        <f t="shared" si="875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57"/>
        <v>31097187.02948761</v>
      </c>
      <c r="AJ2944" s="19">
        <f t="shared" si="858"/>
        <v>3892353.6644401965</v>
      </c>
      <c r="AK2944" s="20">
        <f t="shared" si="864"/>
        <v>0.12516738767237401</v>
      </c>
      <c r="AL2944" s="17"/>
      <c r="AM2944" s="17"/>
      <c r="AN2944" s="17"/>
      <c r="AO2944" s="17"/>
      <c r="AP2944" s="28" t="str">
        <f t="shared" si="865"/>
        <v>20212</v>
      </c>
      <c r="AQ2944" s="28" t="str">
        <f t="shared" si="866"/>
        <v>20212JPY</v>
      </c>
      <c r="AR2944" s="206" t="str">
        <f t="shared" si="867"/>
        <v>YAMAHA_Mounter</v>
      </c>
      <c r="AS2944" s="22">
        <f t="shared" si="868"/>
        <v>1</v>
      </c>
      <c r="AT2944" s="24" t="str">
        <f t="shared" si="869"/>
        <v>0-3 months</v>
      </c>
      <c r="AU2944" s="22" t="s">
        <v>3744</v>
      </c>
    </row>
    <row r="2945" spans="1:47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872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876"/>
        <v>1</v>
      </c>
      <c r="Z2945" s="18">
        <f t="shared" si="870"/>
        <v>21900000</v>
      </c>
      <c r="AA2945" s="13">
        <v>7.0999999999999994E-2</v>
      </c>
      <c r="AB2945" s="21">
        <f t="shared" si="875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57"/>
        <v>15533177.71460177</v>
      </c>
      <c r="AJ2945" s="19">
        <f t="shared" si="858"/>
        <v>1819298.5437526547</v>
      </c>
      <c r="AK2945" s="20">
        <f t="shared" si="864"/>
        <v>0.11712339723265033</v>
      </c>
      <c r="AL2945" s="17"/>
      <c r="AM2945" s="17"/>
      <c r="AN2945" s="17"/>
      <c r="AO2945" s="17"/>
      <c r="AP2945" s="28" t="str">
        <f t="shared" si="865"/>
        <v>202110</v>
      </c>
      <c r="AQ2945" s="28" t="str">
        <f t="shared" si="866"/>
        <v>202110JPY</v>
      </c>
      <c r="AR2945" s="206" t="str">
        <f t="shared" si="867"/>
        <v>YAMAHA_Mounter</v>
      </c>
      <c r="AS2945" s="22">
        <f t="shared" si="868"/>
        <v>1</v>
      </c>
      <c r="AT2945" s="24" t="str">
        <f t="shared" si="869"/>
        <v>0-3 months</v>
      </c>
      <c r="AU2945" s="22" t="s">
        <v>3744</v>
      </c>
    </row>
    <row r="2946" spans="1:47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872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876"/>
        <v>1.13</v>
      </c>
      <c r="Z2946" s="18">
        <f t="shared" si="870"/>
        <v>826000</v>
      </c>
      <c r="AA2946" s="13">
        <v>1.1000000000000001</v>
      </c>
      <c r="AB2946" s="21">
        <f t="shared" si="875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ref="AI2946:AI3009" si="877">IF(P2946="C66 SERVICE","",SUMIFS(AB:AB,F:F,F2946,G:G,G2946,E:E,E2946))</f>
        <v>22717528.991150443</v>
      </c>
      <c r="AJ2946" s="19">
        <f t="shared" ref="AJ2946:AJ3009" si="878">IF(P2946="C66 SERVICE","",SUMIFS(AC:AC,F:F,F2946,G:G,G2946,E:E,E2946))</f>
        <v>3947747.192555753</v>
      </c>
      <c r="AK2946" s="20">
        <f t="shared" si="864"/>
        <v>0.1737753782153679</v>
      </c>
      <c r="AL2946" s="17"/>
      <c r="AM2946" s="17"/>
      <c r="AN2946" s="17"/>
      <c r="AO2946" s="17"/>
      <c r="AP2946" s="28" t="str">
        <f t="shared" si="865"/>
        <v>202210</v>
      </c>
      <c r="AQ2946" s="28" t="str">
        <f t="shared" si="866"/>
        <v>202210RMB</v>
      </c>
      <c r="AR2946" s="206" t="str">
        <f t="shared" si="867"/>
        <v>YAMAHA_Mounter</v>
      </c>
      <c r="AS2946" s="22">
        <f t="shared" si="868"/>
        <v>0</v>
      </c>
      <c r="AT2946" s="24" t="str">
        <f t="shared" si="869"/>
        <v>0-3 months</v>
      </c>
      <c r="AU2946" s="22" t="s">
        <v>3750</v>
      </c>
    </row>
    <row r="2947" spans="1:47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872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876"/>
        <v>1.13</v>
      </c>
      <c r="Z2947" s="18">
        <f t="shared" si="870"/>
        <v>460000</v>
      </c>
      <c r="AA2947" s="13">
        <v>1.07</v>
      </c>
      <c r="AB2947" s="21">
        <f t="shared" si="875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77"/>
        <v>5219988.5752212387</v>
      </c>
      <c r="AJ2947" s="19">
        <f t="shared" si="878"/>
        <v>631627.0013460177</v>
      </c>
      <c r="AK2947" s="20">
        <f t="shared" si="864"/>
        <v>0.12100160608478869</v>
      </c>
      <c r="AL2947" s="17"/>
      <c r="AM2947" s="17"/>
      <c r="AN2947" s="17"/>
      <c r="AO2947" s="17"/>
      <c r="AP2947" s="28" t="str">
        <f t="shared" si="865"/>
        <v>202310</v>
      </c>
      <c r="AQ2947" s="28" t="str">
        <f t="shared" si="866"/>
        <v>202310RMB</v>
      </c>
      <c r="AR2947" s="206" t="str">
        <f t="shared" si="867"/>
        <v>YAMAHA_Mounter</v>
      </c>
      <c r="AS2947" s="22">
        <f t="shared" si="868"/>
        <v>2</v>
      </c>
      <c r="AT2947" s="24" t="str">
        <f t="shared" si="869"/>
        <v>0-3 months</v>
      </c>
      <c r="AU2947" s="22" t="s">
        <v>3750</v>
      </c>
    </row>
    <row r="2948" spans="1:47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872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876"/>
        <v>1.13</v>
      </c>
      <c r="Z2948" s="18">
        <f t="shared" si="870"/>
        <v>415000</v>
      </c>
      <c r="AA2948" s="13">
        <v>1.1299999999999999</v>
      </c>
      <c r="AB2948" s="21">
        <f t="shared" si="875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77"/>
        <v>33543315.897345133</v>
      </c>
      <c r="AJ2948" s="19">
        <f t="shared" si="878"/>
        <v>4706169.3252984071</v>
      </c>
      <c r="AK2948" s="20">
        <f t="shared" si="864"/>
        <v>0.14030125523967318</v>
      </c>
      <c r="AL2948" s="17"/>
      <c r="AM2948" s="17"/>
      <c r="AN2948" s="17"/>
      <c r="AO2948" s="17"/>
      <c r="AP2948" s="28" t="str">
        <f t="shared" si="865"/>
        <v>20233</v>
      </c>
      <c r="AQ2948" s="28" t="str">
        <f t="shared" si="866"/>
        <v>20233RMB</v>
      </c>
      <c r="AR2948" s="206" t="str">
        <f t="shared" si="867"/>
        <v>YAMAHA_Mounter</v>
      </c>
      <c r="AS2948" s="22">
        <f t="shared" si="868"/>
        <v>1</v>
      </c>
      <c r="AT2948" s="24" t="str">
        <f t="shared" si="869"/>
        <v>0-3 months</v>
      </c>
      <c r="AU2948" s="22" t="s">
        <v>3750</v>
      </c>
    </row>
    <row r="2949" spans="1:47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872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876"/>
        <v>1.13</v>
      </c>
      <c r="Z2949" s="18">
        <f t="shared" si="870"/>
        <v>415000</v>
      </c>
      <c r="AA2949" s="13">
        <v>1.1299999999999999</v>
      </c>
      <c r="AB2949" s="21">
        <f t="shared" si="875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77"/>
        <v>33543315.897345133</v>
      </c>
      <c r="AJ2949" s="19">
        <f t="shared" si="878"/>
        <v>4706169.3252984071</v>
      </c>
      <c r="AK2949" s="20">
        <f t="shared" si="864"/>
        <v>0.14030125523967318</v>
      </c>
      <c r="AL2949" s="17"/>
      <c r="AM2949" s="17"/>
      <c r="AN2949" s="17"/>
      <c r="AO2949" s="17"/>
      <c r="AP2949" s="28" t="str">
        <f t="shared" si="865"/>
        <v>20233</v>
      </c>
      <c r="AQ2949" s="28" t="str">
        <f t="shared" si="866"/>
        <v>20233RMB</v>
      </c>
      <c r="AR2949" s="206" t="str">
        <f t="shared" si="867"/>
        <v>YAMAHA_Mounter</v>
      </c>
      <c r="AS2949" s="22">
        <f t="shared" si="868"/>
        <v>1</v>
      </c>
      <c r="AT2949" s="24" t="str">
        <f t="shared" si="869"/>
        <v>0-3 months</v>
      </c>
      <c r="AU2949" s="22" t="s">
        <v>3750</v>
      </c>
    </row>
    <row r="2950" spans="1:47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872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876"/>
        <v>1.13</v>
      </c>
      <c r="Z2950" s="18">
        <f t="shared" si="870"/>
        <v>415000</v>
      </c>
      <c r="AA2950" s="13">
        <v>1.1299999999999999</v>
      </c>
      <c r="AB2950" s="21">
        <f t="shared" si="875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si="877"/>
        <v>33543315.897345133</v>
      </c>
      <c r="AJ2950" s="19">
        <f t="shared" si="878"/>
        <v>4706169.3252984071</v>
      </c>
      <c r="AK2950" s="20">
        <f t="shared" ref="AK2950:AK3013" si="884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5">IF(F2950="","",F2950&amp;G2950)</f>
        <v>20233</v>
      </c>
      <c r="AQ2950" s="28" t="str">
        <f t="shared" ref="AQ2950:AQ3013" si="886">IF(W2950="","",F2950&amp;G2950&amp;W2950)</f>
        <v>20233RMB</v>
      </c>
      <c r="AR2950" s="206" t="str">
        <f t="shared" ref="AR2950:AR3013" si="887">IFERROR(IF(AND(M2950="YAMAHA", R2950="C28"), "YAMAHA_Non_Mounter", IF(AND(M2950="YAMAHA", R2950="C49"), "YAMAHA_Mounter", M2950)),"")</f>
        <v>YAMAHA_Mounter</v>
      </c>
      <c r="AS2950" s="22">
        <f t="shared" ref="AS2950:AS3013" si="888">IFERROR(IF(OR(G2950="TBA", G2950=""), "", DATEDIF(DATE(B2950, C2950, 1), DATE(F2950, G2950, 1), "M")),"")</f>
        <v>1</v>
      </c>
      <c r="AT2950" s="24" t="str">
        <f t="shared" ref="AT2950:AT3013" si="889">IF(ISNUMBER(AS2950), IF(AS2950&gt;=0, IF(AS2950&lt;=3, "0-3 months", IF(AS2950&lt;=6, "4-6 months", "&gt; 6 months"))), "")</f>
        <v>0-3 months</v>
      </c>
      <c r="AU2950" s="22" t="s">
        <v>3750</v>
      </c>
    </row>
    <row r="2951" spans="1:47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872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870"/>
        <v>12200000</v>
      </c>
      <c r="AA2951" s="13">
        <v>5.3400000000000003E-2</v>
      </c>
      <c r="AB2951" s="21">
        <f t="shared" si="875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77"/>
        <v>11730565.00042478</v>
      </c>
      <c r="AJ2951" s="19">
        <f t="shared" si="878"/>
        <v>1439625.5685810833</v>
      </c>
      <c r="AK2951" s="20">
        <f t="shared" si="884"/>
        <v>0.12272431622253084</v>
      </c>
      <c r="AL2951" s="17"/>
      <c r="AM2951" s="17"/>
      <c r="AN2951" s="17"/>
      <c r="AO2951" s="17"/>
      <c r="AP2951" s="28" t="str">
        <f t="shared" si="885"/>
        <v>202311</v>
      </c>
      <c r="AQ2951" s="28" t="str">
        <f t="shared" si="886"/>
        <v>202311JPY</v>
      </c>
      <c r="AR2951" s="206" t="str">
        <f t="shared" si="887"/>
        <v>YAMAHA_Mounter</v>
      </c>
      <c r="AS2951" s="22">
        <f t="shared" si="888"/>
        <v>0</v>
      </c>
      <c r="AT2951" s="24" t="str">
        <f t="shared" si="889"/>
        <v>0-3 months</v>
      </c>
      <c r="AU2951" s="22" t="s">
        <v>3744</v>
      </c>
    </row>
    <row r="2952" spans="1:47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872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870"/>
        <v>7200000</v>
      </c>
      <c r="AA2952" s="13">
        <v>5.3400000000000003E-2</v>
      </c>
      <c r="AB2952" s="21">
        <f t="shared" si="875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77"/>
        <v>11730565.00042478</v>
      </c>
      <c r="AJ2952" s="19">
        <f t="shared" si="878"/>
        <v>1439625.5685810833</v>
      </c>
      <c r="AK2952" s="20">
        <f t="shared" si="884"/>
        <v>0.12272431622253084</v>
      </c>
      <c r="AL2952" s="17"/>
      <c r="AM2952" s="17"/>
      <c r="AN2952" s="17"/>
      <c r="AO2952" s="17"/>
      <c r="AP2952" s="28" t="str">
        <f t="shared" si="885"/>
        <v>202311</v>
      </c>
      <c r="AQ2952" s="28" t="str">
        <f t="shared" si="886"/>
        <v>202311JPY</v>
      </c>
      <c r="AR2952" s="206" t="str">
        <f t="shared" si="887"/>
        <v>YAMAHA_Mounter</v>
      </c>
      <c r="AS2952" s="22">
        <f t="shared" si="888"/>
        <v>0</v>
      </c>
      <c r="AT2952" s="24" t="str">
        <f t="shared" si="889"/>
        <v>0-3 months</v>
      </c>
      <c r="AU2952" s="22" t="s">
        <v>3744</v>
      </c>
    </row>
    <row r="2953" spans="1:47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872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870"/>
        <v>8160000</v>
      </c>
      <c r="AA2953" s="13">
        <v>5.3100000000000001E-2</v>
      </c>
      <c r="AB2953" s="21">
        <f t="shared" si="875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77"/>
        <v>21241742.157380536</v>
      </c>
      <c r="AJ2953" s="19">
        <f t="shared" si="878"/>
        <v>2987081.1613773629</v>
      </c>
      <c r="AK2953" s="20">
        <f t="shared" si="884"/>
        <v>0.14062317201884914</v>
      </c>
      <c r="AL2953" s="17"/>
      <c r="AM2953" s="17"/>
      <c r="AN2953" s="17"/>
      <c r="AO2953" s="17"/>
      <c r="AP2953" s="28" t="str">
        <f t="shared" si="885"/>
        <v>20243</v>
      </c>
      <c r="AQ2953" s="28" t="str">
        <f t="shared" si="886"/>
        <v>20243JPY</v>
      </c>
      <c r="AR2953" s="206" t="str">
        <f t="shared" si="887"/>
        <v>YAMAHA_Non_Mounter</v>
      </c>
      <c r="AS2953" s="22">
        <f t="shared" si="888"/>
        <v>4</v>
      </c>
      <c r="AT2953" s="24" t="str">
        <f t="shared" si="889"/>
        <v>4-6 months</v>
      </c>
      <c r="AU2953" s="22" t="s">
        <v>3744</v>
      </c>
    </row>
    <row r="2954" spans="1:47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872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890">IF(X2954="","",X2954*MAX(O2954,N2954))</f>
        <v>669000</v>
      </c>
      <c r="AA2954" s="22">
        <v>1.0900000000000001</v>
      </c>
      <c r="AB2954" s="21">
        <f t="shared" si="875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77"/>
        <v>21241742.157380536</v>
      </c>
      <c r="AJ2954" s="27">
        <f t="shared" si="878"/>
        <v>2987081.1613773629</v>
      </c>
      <c r="AK2954" s="28">
        <f t="shared" si="884"/>
        <v>0.14062317201884914</v>
      </c>
      <c r="AL2954" s="24"/>
      <c r="AM2954" s="24"/>
      <c r="AN2954" s="24"/>
      <c r="AO2954" s="24"/>
      <c r="AP2954" s="28" t="str">
        <f t="shared" si="885"/>
        <v>20243</v>
      </c>
      <c r="AQ2954" s="28" t="str">
        <f t="shared" si="886"/>
        <v>20243RMB</v>
      </c>
      <c r="AR2954" s="206" t="str">
        <f t="shared" si="887"/>
        <v>YAMAHA_Mounter</v>
      </c>
      <c r="AS2954" s="22">
        <f t="shared" si="888"/>
        <v>0</v>
      </c>
      <c r="AT2954" s="24" t="str">
        <f t="shared" si="889"/>
        <v>0-3 months</v>
      </c>
      <c r="AU2954" s="22" t="s">
        <v>3750</v>
      </c>
    </row>
    <row r="2955" spans="1:47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872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890"/>
        <v>669000</v>
      </c>
      <c r="AA2955" s="22">
        <v>1.0900000000000001</v>
      </c>
      <c r="AB2955" s="21">
        <f t="shared" si="875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77"/>
        <v>21241742.157380536</v>
      </c>
      <c r="AJ2955" s="27">
        <f t="shared" si="878"/>
        <v>2987081.1613773629</v>
      </c>
      <c r="AK2955" s="28">
        <f t="shared" si="884"/>
        <v>0.14062317201884914</v>
      </c>
      <c r="AL2955" s="24"/>
      <c r="AM2955" s="24"/>
      <c r="AN2955" s="24"/>
      <c r="AO2955" s="24"/>
      <c r="AP2955" s="28" t="str">
        <f t="shared" si="885"/>
        <v>20243</v>
      </c>
      <c r="AQ2955" s="28" t="str">
        <f t="shared" si="886"/>
        <v>20243RMB</v>
      </c>
      <c r="AR2955" s="206" t="str">
        <f t="shared" si="887"/>
        <v>YAMAHA_Mounter</v>
      </c>
      <c r="AS2955" s="22">
        <f t="shared" si="888"/>
        <v>0</v>
      </c>
      <c r="AT2955" s="24" t="str">
        <f t="shared" si="889"/>
        <v>0-3 months</v>
      </c>
      <c r="AU2955" s="22" t="s">
        <v>3750</v>
      </c>
    </row>
    <row r="2956" spans="1:47" s="12" customFormat="1">
      <c r="A2956" s="33" t="str">
        <f t="shared" si="879"/>
        <v>cancel</v>
      </c>
      <c r="B2956" s="152"/>
      <c r="C2956" s="152" t="s">
        <v>185</v>
      </c>
      <c r="D2956" s="33" t="str">
        <f t="shared" si="880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881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872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890"/>
        <v>6500000</v>
      </c>
      <c r="AA2956" s="13">
        <v>7.4899999999999994E-2</v>
      </c>
      <c r="AB2956" s="21">
        <f t="shared" si="875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77"/>
        <v>499582152.5142017</v>
      </c>
      <c r="AJ2956" s="19">
        <f t="shared" si="878"/>
        <v>59520528.679470733</v>
      </c>
      <c r="AK2956" s="20">
        <f t="shared" si="884"/>
        <v>0.11914062257814291</v>
      </c>
      <c r="AL2956" s="17"/>
      <c r="AM2956" s="17"/>
      <c r="AN2956" s="17"/>
      <c r="AO2956" s="17"/>
      <c r="AP2956" s="28" t="str">
        <f t="shared" si="885"/>
        <v>CancelCancel</v>
      </c>
      <c r="AQ2956" s="28" t="str">
        <f t="shared" si="886"/>
        <v>CancelCancelJPY</v>
      </c>
      <c r="AR2956" s="206" t="str">
        <f t="shared" si="887"/>
        <v>YAMAHA_Mounter</v>
      </c>
      <c r="AS2956" s="22" t="str">
        <f t="shared" si="888"/>
        <v/>
      </c>
      <c r="AT2956" s="24" t="str">
        <f t="shared" si="889"/>
        <v/>
      </c>
      <c r="AU2956" s="22" t="s">
        <v>3744</v>
      </c>
    </row>
    <row r="2957" spans="1:47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872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890"/>
        <v>9000000</v>
      </c>
      <c r="AA2957" s="13">
        <v>7.0199999999999999E-2</v>
      </c>
      <c r="AB2957" s="21">
        <f t="shared" si="875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77"/>
        <v>10786543.370020689</v>
      </c>
      <c r="AJ2957" s="19">
        <f t="shared" si="878"/>
        <v>1330367.5841569281</v>
      </c>
      <c r="AK2957" s="20">
        <f t="shared" si="884"/>
        <v>0.123335858255987</v>
      </c>
      <c r="AL2957" s="17"/>
      <c r="AM2957" s="17"/>
      <c r="AN2957" s="17"/>
      <c r="AO2957" s="17"/>
      <c r="AP2957" s="28" t="str">
        <f t="shared" si="885"/>
        <v>201810</v>
      </c>
      <c r="AQ2957" s="28" t="str">
        <f t="shared" si="886"/>
        <v>201810JPY</v>
      </c>
      <c r="AR2957" s="206" t="str">
        <f t="shared" si="887"/>
        <v>YAMAHA_Mounter</v>
      </c>
      <c r="AS2957" s="22">
        <f t="shared" si="888"/>
        <v>0</v>
      </c>
      <c r="AT2957" s="24" t="str">
        <f t="shared" si="889"/>
        <v>0-3 months</v>
      </c>
      <c r="AU2957" s="22" t="s">
        <v>3745</v>
      </c>
    </row>
    <row r="2958" spans="1:47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872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890"/>
        <v>14000000</v>
      </c>
      <c r="AA2958" s="13">
        <v>7.0199999999999999E-2</v>
      </c>
      <c r="AB2958" s="21">
        <f t="shared" si="875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77"/>
        <v>10786543.370020689</v>
      </c>
      <c r="AJ2958" s="19">
        <f t="shared" si="878"/>
        <v>1330367.5841569281</v>
      </c>
      <c r="AK2958" s="20">
        <f t="shared" si="884"/>
        <v>0.123335858255987</v>
      </c>
      <c r="AL2958" s="17"/>
      <c r="AM2958" s="17"/>
      <c r="AN2958" s="17"/>
      <c r="AO2958" s="17"/>
      <c r="AP2958" s="28" t="str">
        <f t="shared" si="885"/>
        <v>201810</v>
      </c>
      <c r="AQ2958" s="28" t="str">
        <f t="shared" si="886"/>
        <v>201810JPY</v>
      </c>
      <c r="AR2958" s="206" t="str">
        <f t="shared" si="887"/>
        <v>YAMAHA_Mounter</v>
      </c>
      <c r="AS2958" s="22">
        <f t="shared" si="888"/>
        <v>0</v>
      </c>
      <c r="AT2958" s="24" t="str">
        <f t="shared" si="889"/>
        <v>0-3 months</v>
      </c>
      <c r="AU2958" s="22" t="s">
        <v>3745</v>
      </c>
    </row>
    <row r="2959" spans="1:47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872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890"/>
        <v>14000000</v>
      </c>
      <c r="AA2959" s="13">
        <v>7.0199999999999999E-2</v>
      </c>
      <c r="AB2959" s="21">
        <f t="shared" si="875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77"/>
        <v>10786543.370020689</v>
      </c>
      <c r="AJ2959" s="19">
        <f t="shared" si="878"/>
        <v>1330367.5841569281</v>
      </c>
      <c r="AK2959" s="20">
        <f t="shared" si="884"/>
        <v>0.123335858255987</v>
      </c>
      <c r="AL2959" s="17"/>
      <c r="AM2959" s="17"/>
      <c r="AN2959" s="17"/>
      <c r="AO2959" s="17"/>
      <c r="AP2959" s="28" t="str">
        <f t="shared" si="885"/>
        <v>201810</v>
      </c>
      <c r="AQ2959" s="28" t="str">
        <f t="shared" si="886"/>
        <v>201810JPY</v>
      </c>
      <c r="AR2959" s="206" t="str">
        <f t="shared" si="887"/>
        <v>YAMAHA_Mounter</v>
      </c>
      <c r="AS2959" s="22">
        <f t="shared" si="888"/>
        <v>0</v>
      </c>
      <c r="AT2959" s="24" t="str">
        <f t="shared" si="889"/>
        <v>0-3 months</v>
      </c>
      <c r="AU2959" s="22" t="s">
        <v>3745</v>
      </c>
    </row>
    <row r="2960" spans="1:47" s="12" customFormat="1">
      <c r="A2960" s="33" t="str">
        <f t="shared" si="879"/>
        <v>cancel</v>
      </c>
      <c r="B2960" s="152"/>
      <c r="C2960" s="152" t="s">
        <v>185</v>
      </c>
      <c r="D2960" s="33" t="str">
        <f t="shared" si="880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881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872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890"/>
        <v>9000000</v>
      </c>
      <c r="AA2960" s="13">
        <v>7.17E-2</v>
      </c>
      <c r="AB2960" s="21">
        <f t="shared" si="875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77"/>
        <v>499582152.5142017</v>
      </c>
      <c r="AJ2960" s="19">
        <f t="shared" si="878"/>
        <v>59520528.679470733</v>
      </c>
      <c r="AK2960" s="20">
        <f t="shared" si="884"/>
        <v>0.11914062257814291</v>
      </c>
      <c r="AL2960" s="17"/>
      <c r="AM2960" s="17"/>
      <c r="AN2960" s="17"/>
      <c r="AO2960" s="17"/>
      <c r="AP2960" s="28" t="str">
        <f t="shared" si="885"/>
        <v>CancelCancel</v>
      </c>
      <c r="AQ2960" s="28" t="str">
        <f t="shared" si="886"/>
        <v>CancelCancelJPY</v>
      </c>
      <c r="AR2960" s="206" t="str">
        <f t="shared" si="887"/>
        <v>YAMAHA_Mounter</v>
      </c>
      <c r="AS2960" s="22" t="str">
        <f t="shared" si="888"/>
        <v/>
      </c>
      <c r="AT2960" s="24" t="str">
        <f t="shared" si="889"/>
        <v/>
      </c>
      <c r="AU2960" s="22" t="s">
        <v>3745</v>
      </c>
    </row>
    <row r="2961" spans="1:47" s="12" customFormat="1">
      <c r="A2961" s="33" t="str">
        <f t="shared" si="879"/>
        <v>cancel</v>
      </c>
      <c r="B2961" s="152"/>
      <c r="C2961" s="152" t="s">
        <v>185</v>
      </c>
      <c r="D2961" s="33" t="str">
        <f t="shared" si="880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881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872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890"/>
        <v>9000000</v>
      </c>
      <c r="AA2961" s="13">
        <v>7.17E-2</v>
      </c>
      <c r="AB2961" s="21">
        <f t="shared" si="875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77"/>
        <v>499582152.5142017</v>
      </c>
      <c r="AJ2961" s="19">
        <f t="shared" si="878"/>
        <v>59520528.679470733</v>
      </c>
      <c r="AK2961" s="20">
        <f t="shared" si="884"/>
        <v>0.11914062257814291</v>
      </c>
      <c r="AL2961" s="17"/>
      <c r="AM2961" s="17"/>
      <c r="AN2961" s="17"/>
      <c r="AO2961" s="17"/>
      <c r="AP2961" s="28" t="str">
        <f t="shared" si="885"/>
        <v>CancelCancel</v>
      </c>
      <c r="AQ2961" s="28" t="str">
        <f t="shared" si="886"/>
        <v>CancelCancelJPY</v>
      </c>
      <c r="AR2961" s="206" t="str">
        <f t="shared" si="887"/>
        <v>YAMAHA_Mounter</v>
      </c>
      <c r="AS2961" s="22" t="str">
        <f t="shared" si="888"/>
        <v/>
      </c>
      <c r="AT2961" s="24" t="str">
        <f t="shared" si="889"/>
        <v/>
      </c>
      <c r="AU2961" s="22" t="s">
        <v>3745</v>
      </c>
    </row>
    <row r="2962" spans="1:47" s="12" customFormat="1">
      <c r="A2962" s="33" t="str">
        <f t="shared" si="879"/>
        <v>cancel</v>
      </c>
      <c r="B2962" s="152"/>
      <c r="C2962" s="152" t="s">
        <v>185</v>
      </c>
      <c r="D2962" s="33" t="str">
        <f t="shared" si="880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881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872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890"/>
        <v>13275000</v>
      </c>
      <c r="AA2962" s="13">
        <v>7.1599999999999997E-2</v>
      </c>
      <c r="AB2962" s="21">
        <f t="shared" si="875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77"/>
        <v>499582152.5142017</v>
      </c>
      <c r="AJ2962" s="19">
        <f t="shared" si="878"/>
        <v>59520528.679470733</v>
      </c>
      <c r="AK2962" s="20">
        <f t="shared" si="884"/>
        <v>0.11914062257814291</v>
      </c>
      <c r="AL2962" s="17"/>
      <c r="AM2962" s="17"/>
      <c r="AN2962" s="17"/>
      <c r="AO2962" s="17"/>
      <c r="AP2962" s="28" t="str">
        <f t="shared" si="885"/>
        <v>CancelCancel</v>
      </c>
      <c r="AQ2962" s="28" t="str">
        <f t="shared" si="886"/>
        <v>CancelCancelJPY</v>
      </c>
      <c r="AR2962" s="206" t="str">
        <f t="shared" si="887"/>
        <v>YAMAHA_Mounter</v>
      </c>
      <c r="AS2962" s="22" t="str">
        <f t="shared" si="888"/>
        <v/>
      </c>
      <c r="AT2962" s="24" t="str">
        <f t="shared" si="889"/>
        <v/>
      </c>
      <c r="AU2962" s="22" t="s">
        <v>3745</v>
      </c>
    </row>
    <row r="2963" spans="1:47" s="12" customFormat="1">
      <c r="A2963" s="33" t="str">
        <f t="shared" si="879"/>
        <v>cancel</v>
      </c>
      <c r="B2963" s="152"/>
      <c r="C2963" s="152" t="s">
        <v>185</v>
      </c>
      <c r="D2963" s="33" t="str">
        <f t="shared" si="880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881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872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890"/>
        <v>13275000</v>
      </c>
      <c r="AA2963" s="13">
        <v>7.17E-2</v>
      </c>
      <c r="AB2963" s="21">
        <f t="shared" si="875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77"/>
        <v>499582152.5142017</v>
      </c>
      <c r="AJ2963" s="19">
        <f t="shared" si="878"/>
        <v>59520528.679470733</v>
      </c>
      <c r="AK2963" s="20">
        <f t="shared" si="884"/>
        <v>0.11914062257814291</v>
      </c>
      <c r="AL2963" s="17"/>
      <c r="AM2963" s="17"/>
      <c r="AN2963" s="17"/>
      <c r="AO2963" s="17"/>
      <c r="AP2963" s="28" t="str">
        <f t="shared" si="885"/>
        <v>CancelCancel</v>
      </c>
      <c r="AQ2963" s="28" t="str">
        <f t="shared" si="886"/>
        <v>CancelCancelJPY</v>
      </c>
      <c r="AR2963" s="206" t="str">
        <f t="shared" si="887"/>
        <v>YAMAHA_Mounter</v>
      </c>
      <c r="AS2963" s="22" t="str">
        <f t="shared" si="888"/>
        <v/>
      </c>
      <c r="AT2963" s="24" t="str">
        <f t="shared" si="889"/>
        <v/>
      </c>
      <c r="AU2963" s="22" t="s">
        <v>3745</v>
      </c>
    </row>
    <row r="2964" spans="1:47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872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890"/>
        <v>14500000</v>
      </c>
      <c r="AA2964" s="13">
        <v>7.2999999999999995E-2</v>
      </c>
      <c r="AB2964" s="21">
        <f t="shared" si="875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77"/>
        <v>23168285.927433632</v>
      </c>
      <c r="AJ2964" s="19">
        <f t="shared" si="878"/>
        <v>2764878.916878053</v>
      </c>
      <c r="AK2964" s="20">
        <f t="shared" si="884"/>
        <v>0.11933895004309111</v>
      </c>
      <c r="AL2964" s="17"/>
      <c r="AM2964" s="17"/>
      <c r="AN2964" s="17"/>
      <c r="AO2964" s="17"/>
      <c r="AP2964" s="28" t="str">
        <f t="shared" si="885"/>
        <v>20203</v>
      </c>
      <c r="AQ2964" s="28" t="str">
        <f t="shared" si="886"/>
        <v>20203JPY</v>
      </c>
      <c r="AR2964" s="206" t="str">
        <f t="shared" si="887"/>
        <v>YAMAHA_Mounter</v>
      </c>
      <c r="AS2964" s="22">
        <f t="shared" si="888"/>
        <v>2</v>
      </c>
      <c r="AT2964" s="24" t="str">
        <f t="shared" si="889"/>
        <v>0-3 months</v>
      </c>
      <c r="AU2964" s="22" t="s">
        <v>3744</v>
      </c>
    </row>
    <row r="2965" spans="1:47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881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872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890"/>
        <v>13900000</v>
      </c>
      <c r="AA2965" s="13">
        <v>5.5599999999999997E-2</v>
      </c>
      <c r="AB2965" s="21">
        <f t="shared" si="875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77"/>
        <v>499582152.5142017</v>
      </c>
      <c r="AJ2965" s="19">
        <f t="shared" si="878"/>
        <v>59520528.679470733</v>
      </c>
      <c r="AK2965" s="20">
        <f t="shared" si="884"/>
        <v>0.11914062257814291</v>
      </c>
      <c r="AL2965" s="17"/>
      <c r="AM2965" s="17"/>
      <c r="AN2965" s="17"/>
      <c r="AO2965" s="17"/>
      <c r="AP2965" s="28" t="str">
        <f t="shared" si="885"/>
        <v>CancelCancel</v>
      </c>
      <c r="AQ2965" s="28" t="str">
        <f t="shared" si="886"/>
        <v>CancelCancelJPY</v>
      </c>
      <c r="AR2965" s="206" t="str">
        <f t="shared" si="887"/>
        <v>YAMAHA_Mounter</v>
      </c>
      <c r="AS2965" s="22" t="str">
        <f t="shared" si="888"/>
        <v/>
      </c>
      <c r="AT2965" s="24" t="str">
        <f t="shared" si="889"/>
        <v/>
      </c>
      <c r="AU2965" s="22" t="s">
        <v>3745</v>
      </c>
    </row>
    <row r="2966" spans="1:47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881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891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890"/>
        <v>13900000</v>
      </c>
      <c r="AA2966" s="13">
        <v>5.5599999999999997E-2</v>
      </c>
      <c r="AB2966" s="21">
        <f t="shared" si="875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77"/>
        <v>499582152.5142017</v>
      </c>
      <c r="AJ2966" s="19">
        <f t="shared" si="878"/>
        <v>59520528.679470733</v>
      </c>
      <c r="AK2966" s="20">
        <f t="shared" si="884"/>
        <v>0.11914062257814291</v>
      </c>
      <c r="AL2966" s="17"/>
      <c r="AM2966" s="17"/>
      <c r="AN2966" s="17"/>
      <c r="AO2966" s="17"/>
      <c r="AP2966" s="28" t="str">
        <f t="shared" si="885"/>
        <v>CancelCancel</v>
      </c>
      <c r="AQ2966" s="28" t="str">
        <f t="shared" si="886"/>
        <v>CancelCancelJPY</v>
      </c>
      <c r="AR2966" s="206" t="str">
        <f t="shared" si="887"/>
        <v>YAMAHA_Mounter</v>
      </c>
      <c r="AS2966" s="22" t="str">
        <f t="shared" si="888"/>
        <v/>
      </c>
      <c r="AT2966" s="24" t="str">
        <f t="shared" si="889"/>
        <v/>
      </c>
      <c r="AU2966" s="22" t="s">
        <v>3745</v>
      </c>
    </row>
    <row r="2967" spans="1:47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881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891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890"/>
        <v>12300000</v>
      </c>
      <c r="AA2967" s="13">
        <v>4.9500000000000002E-2</v>
      </c>
      <c r="AB2967" s="21">
        <f t="shared" si="875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77"/>
        <v>499582152.5142017</v>
      </c>
      <c r="AJ2967" s="27">
        <f t="shared" si="878"/>
        <v>59520528.679470733</v>
      </c>
      <c r="AK2967" s="28">
        <f t="shared" si="884"/>
        <v>0.11914062257814291</v>
      </c>
      <c r="AL2967" s="24"/>
      <c r="AM2967" s="24"/>
      <c r="AN2967" s="24"/>
      <c r="AO2967" s="24"/>
      <c r="AP2967" s="28" t="str">
        <f t="shared" si="885"/>
        <v>CancelCancel</v>
      </c>
      <c r="AQ2967" s="28" t="str">
        <f t="shared" si="886"/>
        <v>CancelCancelJPY</v>
      </c>
      <c r="AR2967" s="206" t="str">
        <f t="shared" si="887"/>
        <v>YAMAHA_Mounter</v>
      </c>
      <c r="AS2967" s="22" t="str">
        <f t="shared" si="888"/>
        <v/>
      </c>
      <c r="AT2967" s="24" t="str">
        <f t="shared" si="889"/>
        <v/>
      </c>
      <c r="AU2967" s="22" t="s">
        <v>3744</v>
      </c>
    </row>
    <row r="2968" spans="1:47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891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890"/>
        <v>13610000</v>
      </c>
      <c r="AA2968" s="13">
        <v>7.3999999999999996E-2</v>
      </c>
      <c r="AB2968" s="21">
        <f t="shared" si="875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77"/>
        <v>34015877.71150443</v>
      </c>
      <c r="AJ2968" s="19">
        <f t="shared" si="878"/>
        <v>4446292.375441948</v>
      </c>
      <c r="AK2968" s="20">
        <f t="shared" si="884"/>
        <v>0.13071226364205143</v>
      </c>
      <c r="AL2968" s="17"/>
      <c r="AM2968" s="17"/>
      <c r="AN2968" s="17"/>
      <c r="AO2968" s="17"/>
      <c r="AP2968" s="28" t="str">
        <f t="shared" si="885"/>
        <v>20197</v>
      </c>
      <c r="AQ2968" s="28" t="str">
        <f t="shared" si="886"/>
        <v>20197JPY</v>
      </c>
      <c r="AR2968" s="206" t="str">
        <f t="shared" si="887"/>
        <v>YAMAHA_Mounter</v>
      </c>
      <c r="AS2968" s="22">
        <f t="shared" si="888"/>
        <v>3</v>
      </c>
      <c r="AT2968" s="24" t="str">
        <f t="shared" si="889"/>
        <v>0-3 months</v>
      </c>
      <c r="AU2968" s="22" t="s">
        <v>3745</v>
      </c>
    </row>
    <row r="2969" spans="1:47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891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890"/>
        <v>9340000</v>
      </c>
      <c r="AA2969" s="13">
        <v>7.17E-2</v>
      </c>
      <c r="AB2969" s="21">
        <f t="shared" si="875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77"/>
        <v>14593788.187146019</v>
      </c>
      <c r="AJ2969" s="19">
        <f t="shared" si="878"/>
        <v>1868647.7321969916</v>
      </c>
      <c r="AK2969" s="20">
        <f t="shared" si="884"/>
        <v>0.12804404916900652</v>
      </c>
      <c r="AL2969" s="17"/>
      <c r="AM2969" s="17"/>
      <c r="AN2969" s="17"/>
      <c r="AO2969" s="17"/>
      <c r="AP2969" s="28" t="str">
        <f t="shared" si="885"/>
        <v>20195</v>
      </c>
      <c r="AQ2969" s="28" t="str">
        <f t="shared" si="886"/>
        <v>20195JPY</v>
      </c>
      <c r="AR2969" s="206" t="str">
        <f t="shared" si="887"/>
        <v>YAMAHA_Mounter</v>
      </c>
      <c r="AS2969" s="22">
        <f t="shared" si="888"/>
        <v>1</v>
      </c>
      <c r="AT2969" s="24" t="str">
        <f t="shared" si="889"/>
        <v>0-3 months</v>
      </c>
      <c r="AU2969" s="22" t="s">
        <v>3745</v>
      </c>
    </row>
    <row r="2970" spans="1:47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891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890"/>
        <v>13707000</v>
      </c>
      <c r="AA2970" s="13">
        <v>7.17E-2</v>
      </c>
      <c r="AB2970" s="21">
        <f t="shared" si="875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77"/>
        <v>14593788.187146019</v>
      </c>
      <c r="AJ2970" s="19">
        <f t="shared" si="878"/>
        <v>1868647.7321969916</v>
      </c>
      <c r="AK2970" s="20">
        <f t="shared" si="884"/>
        <v>0.12804404916900652</v>
      </c>
      <c r="AL2970" s="17"/>
      <c r="AM2970" s="17"/>
      <c r="AN2970" s="17"/>
      <c r="AO2970" s="17"/>
      <c r="AP2970" s="28" t="str">
        <f t="shared" si="885"/>
        <v>20195</v>
      </c>
      <c r="AQ2970" s="28" t="str">
        <f t="shared" si="886"/>
        <v>20195JPY</v>
      </c>
      <c r="AR2970" s="206" t="str">
        <f t="shared" si="887"/>
        <v>YAMAHA_Mounter</v>
      </c>
      <c r="AS2970" s="22">
        <f t="shared" si="888"/>
        <v>2</v>
      </c>
      <c r="AT2970" s="24" t="str">
        <f t="shared" si="889"/>
        <v>0-3 months</v>
      </c>
      <c r="AU2970" s="22" t="s">
        <v>3745</v>
      </c>
    </row>
    <row r="2971" spans="1:47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891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890"/>
        <v>300000</v>
      </c>
      <c r="AA2971" s="13">
        <v>1.135</v>
      </c>
      <c r="AB2971" s="21">
        <f t="shared" si="875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77"/>
        <v>31296887.037898075</v>
      </c>
      <c r="AJ2971" s="19">
        <f t="shared" si="878"/>
        <v>3588873.9502021763</v>
      </c>
      <c r="AK2971" s="20">
        <f t="shared" si="884"/>
        <v>0.11467191436184473</v>
      </c>
      <c r="AL2971" s="17"/>
      <c r="AM2971" s="17"/>
      <c r="AN2971" s="17"/>
      <c r="AO2971" s="17"/>
      <c r="AP2971" s="28" t="str">
        <f t="shared" si="885"/>
        <v>20196</v>
      </c>
      <c r="AQ2971" s="28" t="str">
        <f t="shared" si="886"/>
        <v>20196RMB</v>
      </c>
      <c r="AR2971" s="206" t="str">
        <f t="shared" si="887"/>
        <v>HELLER</v>
      </c>
      <c r="AS2971" s="22">
        <f t="shared" si="888"/>
        <v>2</v>
      </c>
      <c r="AT2971" s="24" t="str">
        <f t="shared" si="889"/>
        <v>0-3 months</v>
      </c>
      <c r="AU2971" s="22" t="s">
        <v>3743</v>
      </c>
    </row>
    <row r="2972" spans="1:47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891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890"/>
        <v>13707000</v>
      </c>
      <c r="AA2972" s="13">
        <v>7.3999999999999996E-2</v>
      </c>
      <c r="AB2972" s="21">
        <f t="shared" si="875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77"/>
        <v>34015877.71150443</v>
      </c>
      <c r="AJ2972" s="19">
        <f t="shared" si="878"/>
        <v>4446292.375441948</v>
      </c>
      <c r="AK2972" s="20">
        <f t="shared" si="884"/>
        <v>0.13071226364205143</v>
      </c>
      <c r="AL2972" s="17"/>
      <c r="AM2972" s="17"/>
      <c r="AN2972" s="17"/>
      <c r="AO2972" s="17"/>
      <c r="AP2972" s="28" t="str">
        <f t="shared" si="885"/>
        <v>20197</v>
      </c>
      <c r="AQ2972" s="28" t="str">
        <f t="shared" si="886"/>
        <v>20197JPY</v>
      </c>
      <c r="AR2972" s="206" t="str">
        <f t="shared" si="887"/>
        <v>YAMAHA_Mounter</v>
      </c>
      <c r="AS2972" s="22">
        <f t="shared" si="888"/>
        <v>4</v>
      </c>
      <c r="AT2972" s="24" t="str">
        <f t="shared" si="889"/>
        <v>4-6 months</v>
      </c>
      <c r="AU2972" s="22" t="s">
        <v>3745</v>
      </c>
    </row>
    <row r="2973" spans="1:47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891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892">IF(W2973="RMB","1.13", "1")</f>
        <v>1</v>
      </c>
      <c r="Z2973" s="18">
        <f t="shared" si="890"/>
        <v>16665000</v>
      </c>
      <c r="AA2973" s="13">
        <v>6.54E-2</v>
      </c>
      <c r="AB2973" s="21">
        <f t="shared" si="875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77"/>
        <v>46600814.041769907</v>
      </c>
      <c r="AJ2973" s="19">
        <f t="shared" si="878"/>
        <v>5956366.3435927071</v>
      </c>
      <c r="AK2973" s="20">
        <f t="shared" si="884"/>
        <v>0.1278167874546958</v>
      </c>
      <c r="AL2973" s="17"/>
      <c r="AM2973" s="17"/>
      <c r="AN2973" s="17"/>
      <c r="AO2973" s="17"/>
      <c r="AP2973" s="28" t="str">
        <f t="shared" si="885"/>
        <v>20224</v>
      </c>
      <c r="AQ2973" s="28" t="str">
        <f t="shared" si="886"/>
        <v>20224JPY</v>
      </c>
      <c r="AR2973" s="206" t="str">
        <f t="shared" si="887"/>
        <v>SIGMA</v>
      </c>
      <c r="AS2973" s="22">
        <f t="shared" si="888"/>
        <v>3</v>
      </c>
      <c r="AT2973" s="24" t="str">
        <f t="shared" si="889"/>
        <v>0-3 months</v>
      </c>
      <c r="AU2973" s="22" t="s">
        <v>3744</v>
      </c>
    </row>
    <row r="2974" spans="1:47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891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892"/>
        <v>1</v>
      </c>
      <c r="Z2974" s="18">
        <f t="shared" si="890"/>
        <v>16665000</v>
      </c>
      <c r="AA2974" s="13">
        <v>6.54E-2</v>
      </c>
      <c r="AB2974" s="21">
        <f t="shared" si="875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77"/>
        <v>46600814.041769907</v>
      </c>
      <c r="AJ2974" s="19">
        <f t="shared" si="878"/>
        <v>5956366.3435927071</v>
      </c>
      <c r="AK2974" s="20">
        <f t="shared" si="884"/>
        <v>0.1278167874546958</v>
      </c>
      <c r="AL2974" s="17"/>
      <c r="AM2974" s="17"/>
      <c r="AN2974" s="17"/>
      <c r="AO2974" s="17"/>
      <c r="AP2974" s="28" t="str">
        <f t="shared" si="885"/>
        <v>20224</v>
      </c>
      <c r="AQ2974" s="28" t="str">
        <f t="shared" si="886"/>
        <v>20224JPY</v>
      </c>
      <c r="AR2974" s="206" t="str">
        <f t="shared" si="887"/>
        <v>SIGMA</v>
      </c>
      <c r="AS2974" s="22">
        <f t="shared" si="888"/>
        <v>3</v>
      </c>
      <c r="AT2974" s="24" t="str">
        <f t="shared" si="889"/>
        <v>0-3 months</v>
      </c>
      <c r="AU2974" s="22" t="s">
        <v>3744</v>
      </c>
    </row>
    <row r="2975" spans="1:47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891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892"/>
        <v>1</v>
      </c>
      <c r="Z2975" s="18">
        <f t="shared" si="890"/>
        <v>16665000</v>
      </c>
      <c r="AA2975" s="13">
        <v>6.54E-2</v>
      </c>
      <c r="AB2975" s="21">
        <f t="shared" si="875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77"/>
        <v>46600814.041769907</v>
      </c>
      <c r="AJ2975" s="19">
        <f t="shared" si="878"/>
        <v>5956366.3435927071</v>
      </c>
      <c r="AK2975" s="20">
        <f t="shared" si="884"/>
        <v>0.1278167874546958</v>
      </c>
      <c r="AL2975" s="17"/>
      <c r="AM2975" s="17"/>
      <c r="AN2975" s="17"/>
      <c r="AO2975" s="17"/>
      <c r="AP2975" s="28" t="str">
        <f t="shared" si="885"/>
        <v>20224</v>
      </c>
      <c r="AQ2975" s="28" t="str">
        <f t="shared" si="886"/>
        <v>20224JPY</v>
      </c>
      <c r="AR2975" s="206" t="str">
        <f t="shared" si="887"/>
        <v>SIGMA</v>
      </c>
      <c r="AS2975" s="22">
        <f t="shared" si="888"/>
        <v>3</v>
      </c>
      <c r="AT2975" s="24" t="str">
        <f t="shared" si="889"/>
        <v>0-3 months</v>
      </c>
      <c r="AU2975" s="22" t="s">
        <v>3744</v>
      </c>
    </row>
    <row r="2976" spans="1:47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891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892"/>
        <v>1</v>
      </c>
      <c r="Z2976" s="18">
        <f t="shared" si="890"/>
        <v>16665000</v>
      </c>
      <c r="AA2976" s="13">
        <v>6.54E-2</v>
      </c>
      <c r="AB2976" s="21">
        <f t="shared" si="875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77"/>
        <v>46600814.041769907</v>
      </c>
      <c r="AJ2976" s="19">
        <f t="shared" si="878"/>
        <v>5956366.3435927071</v>
      </c>
      <c r="AK2976" s="20">
        <f t="shared" si="884"/>
        <v>0.1278167874546958</v>
      </c>
      <c r="AL2976" s="17"/>
      <c r="AM2976" s="17"/>
      <c r="AN2976" s="17"/>
      <c r="AO2976" s="17"/>
      <c r="AP2976" s="28" t="str">
        <f t="shared" si="885"/>
        <v>20224</v>
      </c>
      <c r="AQ2976" s="28" t="str">
        <f t="shared" si="886"/>
        <v>20224JPY</v>
      </c>
      <c r="AR2976" s="206" t="str">
        <f t="shared" si="887"/>
        <v>SIGMA</v>
      </c>
      <c r="AS2976" s="22">
        <f t="shared" si="888"/>
        <v>3</v>
      </c>
      <c r="AT2976" s="24" t="str">
        <f t="shared" si="889"/>
        <v>0-3 months</v>
      </c>
      <c r="AU2976" s="22" t="s">
        <v>3744</v>
      </c>
    </row>
    <row r="2977" spans="1:47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891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892"/>
        <v>1</v>
      </c>
      <c r="Z2977" s="18">
        <f t="shared" si="890"/>
        <v>16665000</v>
      </c>
      <c r="AA2977" s="13">
        <v>6.54E-2</v>
      </c>
      <c r="AB2977" s="21">
        <f t="shared" si="875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77"/>
        <v>46600814.041769907</v>
      </c>
      <c r="AJ2977" s="19">
        <f t="shared" si="878"/>
        <v>5956366.3435927071</v>
      </c>
      <c r="AK2977" s="20">
        <f t="shared" si="884"/>
        <v>0.1278167874546958</v>
      </c>
      <c r="AL2977" s="17"/>
      <c r="AM2977" s="17"/>
      <c r="AN2977" s="17"/>
      <c r="AO2977" s="17"/>
      <c r="AP2977" s="28" t="str">
        <f t="shared" si="885"/>
        <v>20224</v>
      </c>
      <c r="AQ2977" s="28" t="str">
        <f t="shared" si="886"/>
        <v>20224JPY</v>
      </c>
      <c r="AR2977" s="206" t="str">
        <f t="shared" si="887"/>
        <v>SIGMA</v>
      </c>
      <c r="AS2977" s="22">
        <f t="shared" si="888"/>
        <v>3</v>
      </c>
      <c r="AT2977" s="24" t="str">
        <f t="shared" si="889"/>
        <v>0-3 months</v>
      </c>
      <c r="AU2977" s="22" t="s">
        <v>3744</v>
      </c>
    </row>
    <row r="2978" spans="1:47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891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892"/>
        <v>1</v>
      </c>
      <c r="Z2978" s="18">
        <f t="shared" si="890"/>
        <v>16665000</v>
      </c>
      <c r="AA2978" s="13">
        <v>6.54E-2</v>
      </c>
      <c r="AB2978" s="21">
        <f t="shared" si="875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77"/>
        <v>46600814.041769907</v>
      </c>
      <c r="AJ2978" s="19">
        <f t="shared" si="878"/>
        <v>5956366.3435927071</v>
      </c>
      <c r="AK2978" s="20">
        <f t="shared" si="884"/>
        <v>0.1278167874546958</v>
      </c>
      <c r="AL2978" s="17"/>
      <c r="AM2978" s="17"/>
      <c r="AN2978" s="17"/>
      <c r="AO2978" s="17"/>
      <c r="AP2978" s="28" t="str">
        <f t="shared" si="885"/>
        <v>20224</v>
      </c>
      <c r="AQ2978" s="28" t="str">
        <f t="shared" si="886"/>
        <v>20224JPY</v>
      </c>
      <c r="AR2978" s="206" t="str">
        <f t="shared" si="887"/>
        <v>SIGMA</v>
      </c>
      <c r="AS2978" s="22">
        <f t="shared" si="888"/>
        <v>3</v>
      </c>
      <c r="AT2978" s="24" t="str">
        <f t="shared" si="889"/>
        <v>0-3 months</v>
      </c>
      <c r="AU2978" s="22" t="s">
        <v>3744</v>
      </c>
    </row>
    <row r="2979" spans="1:47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891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892"/>
        <v>1.13</v>
      </c>
      <c r="Z2979" s="18">
        <f t="shared" si="890"/>
        <v>487000</v>
      </c>
      <c r="AA2979" s="13">
        <v>1.1299999999999999</v>
      </c>
      <c r="AB2979" s="21">
        <f t="shared" si="875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77"/>
        <v>33543315.897345133</v>
      </c>
      <c r="AJ2979" s="19">
        <f t="shared" si="878"/>
        <v>4706169.3252984071</v>
      </c>
      <c r="AK2979" s="20">
        <f t="shared" si="884"/>
        <v>0.14030125523967318</v>
      </c>
      <c r="AL2979" s="17"/>
      <c r="AM2979" s="17"/>
      <c r="AN2979" s="17"/>
      <c r="AO2979" s="17"/>
      <c r="AP2979" s="28" t="str">
        <f t="shared" si="885"/>
        <v>20233</v>
      </c>
      <c r="AQ2979" s="28" t="str">
        <f t="shared" si="886"/>
        <v>20233RMB</v>
      </c>
      <c r="AR2979" s="206" t="str">
        <f t="shared" si="887"/>
        <v>YAMAHA_Mounter</v>
      </c>
      <c r="AS2979" s="22">
        <f t="shared" si="888"/>
        <v>1</v>
      </c>
      <c r="AT2979" s="24" t="str">
        <f t="shared" si="889"/>
        <v>0-3 months</v>
      </c>
      <c r="AU2979" s="22" t="s">
        <v>3240</v>
      </c>
    </row>
    <row r="2980" spans="1:47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891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892"/>
        <v>1.13</v>
      </c>
      <c r="Z2980" s="18">
        <f t="shared" si="890"/>
        <v>575000</v>
      </c>
      <c r="AA2980" s="13">
        <v>1.175</v>
      </c>
      <c r="AB2980" s="21">
        <f t="shared" si="875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77"/>
        <v>35682787.057522126</v>
      </c>
      <c r="AJ2980" s="19">
        <f t="shared" si="878"/>
        <v>5833368.3789623892</v>
      </c>
      <c r="AK2980" s="20">
        <f t="shared" si="884"/>
        <v>0.16347849649632912</v>
      </c>
      <c r="AL2980" s="17"/>
      <c r="AM2980" s="17"/>
      <c r="AN2980" s="17"/>
      <c r="AO2980" s="17"/>
      <c r="AP2980" s="28" t="str">
        <f t="shared" si="885"/>
        <v>20226</v>
      </c>
      <c r="AQ2980" s="28" t="str">
        <f t="shared" si="886"/>
        <v>20226RMB</v>
      </c>
      <c r="AR2980" s="206" t="str">
        <f t="shared" si="887"/>
        <v>YAMAHA_Mounter</v>
      </c>
      <c r="AS2980" s="22">
        <f t="shared" si="888"/>
        <v>6</v>
      </c>
      <c r="AT2980" s="24" t="str">
        <f t="shared" si="889"/>
        <v>4-6 months</v>
      </c>
      <c r="AU2980" s="22" t="s">
        <v>3240</v>
      </c>
    </row>
    <row r="2981" spans="1:47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891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890"/>
        <v>9163000</v>
      </c>
      <c r="AA2981" s="13">
        <v>7.4300000000000005E-2</v>
      </c>
      <c r="AB2981" s="21">
        <f t="shared" si="875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77"/>
        <v>28065694.408805311</v>
      </c>
      <c r="AJ2981" s="19">
        <f t="shared" si="878"/>
        <v>4157433.2906989697</v>
      </c>
      <c r="AK2981" s="20">
        <f t="shared" si="884"/>
        <v>0.14813220831602228</v>
      </c>
      <c r="AL2981" s="17"/>
      <c r="AM2981" s="17"/>
      <c r="AN2981" s="17"/>
      <c r="AO2981" s="17"/>
      <c r="AP2981" s="28" t="str">
        <f t="shared" si="885"/>
        <v>20205</v>
      </c>
      <c r="AQ2981" s="28" t="str">
        <f t="shared" si="886"/>
        <v>20205JPY</v>
      </c>
      <c r="AR2981" s="206" t="str">
        <f t="shared" si="887"/>
        <v>YAMAHA_Mounter</v>
      </c>
      <c r="AS2981" s="22">
        <f t="shared" si="888"/>
        <v>4</v>
      </c>
      <c r="AT2981" s="24" t="str">
        <f t="shared" si="889"/>
        <v>4-6 months</v>
      </c>
      <c r="AU2981" s="22" t="s">
        <v>3744</v>
      </c>
    </row>
    <row r="2982" spans="1:47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881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891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890"/>
        <v>9163000</v>
      </c>
      <c r="AA2982" s="13">
        <v>7.3400000000000007E-2</v>
      </c>
      <c r="AB2982" s="21">
        <f t="shared" si="875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77"/>
        <v>499582152.5142017</v>
      </c>
      <c r="AJ2982" s="19">
        <f t="shared" si="878"/>
        <v>59520528.679470733</v>
      </c>
      <c r="AK2982" s="20">
        <f t="shared" si="884"/>
        <v>0.11914062257814291</v>
      </c>
      <c r="AL2982" s="17"/>
      <c r="AM2982" s="17"/>
      <c r="AN2982" s="17"/>
      <c r="AO2982" s="17"/>
      <c r="AP2982" s="28" t="str">
        <f t="shared" si="885"/>
        <v>CancelCANCEL</v>
      </c>
      <c r="AQ2982" s="28" t="str">
        <f t="shared" si="886"/>
        <v>CancelCANCELJPY</v>
      </c>
      <c r="AR2982" s="206" t="str">
        <f t="shared" si="887"/>
        <v>YAMAHA_Mounter</v>
      </c>
      <c r="AS2982" s="22" t="str">
        <f t="shared" si="888"/>
        <v/>
      </c>
      <c r="AT2982" s="24" t="str">
        <f t="shared" si="889"/>
        <v/>
      </c>
      <c r="AU2982" s="22" t="s">
        <v>3744</v>
      </c>
    </row>
    <row r="2983" spans="1:47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891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890"/>
        <v>12663000</v>
      </c>
      <c r="AA2983" s="13">
        <v>7.3400000000000007E-2</v>
      </c>
      <c r="AB2983" s="21">
        <f t="shared" si="875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77"/>
        <v>35384300.169380538</v>
      </c>
      <c r="AJ2983" s="19">
        <f t="shared" si="878"/>
        <v>5044538.8896988509</v>
      </c>
      <c r="AK2983" s="20">
        <f t="shared" si="884"/>
        <v>0.14256432557804533</v>
      </c>
      <c r="AL2983" s="17"/>
      <c r="AM2983" s="17"/>
      <c r="AN2983" s="17"/>
      <c r="AO2983" s="17"/>
      <c r="AP2983" s="28" t="str">
        <f t="shared" si="885"/>
        <v>20207</v>
      </c>
      <c r="AQ2983" s="28" t="str">
        <f t="shared" si="886"/>
        <v>20207JPY</v>
      </c>
      <c r="AR2983" s="206" t="str">
        <f t="shared" si="887"/>
        <v>YAMAHA_Mounter</v>
      </c>
      <c r="AS2983" s="22">
        <f t="shared" si="888"/>
        <v>0</v>
      </c>
      <c r="AT2983" s="24" t="str">
        <f t="shared" si="889"/>
        <v>0-3 months</v>
      </c>
      <c r="AU2983" s="22" t="s">
        <v>3744</v>
      </c>
    </row>
    <row r="2984" spans="1:47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891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890"/>
        <v>366000</v>
      </c>
      <c r="AA2984" s="13">
        <v>1.1499999999999999</v>
      </c>
      <c r="AB2984" s="21">
        <f t="shared" si="875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77"/>
        <v>16455710.386637932</v>
      </c>
      <c r="AJ2984" s="19">
        <f t="shared" si="878"/>
        <v>2150644.6466930606</v>
      </c>
      <c r="AK2984" s="20">
        <f t="shared" si="884"/>
        <v>0.13069290818580451</v>
      </c>
      <c r="AL2984" s="17"/>
      <c r="AM2984" s="17"/>
      <c r="AN2984" s="17"/>
      <c r="AO2984" s="17"/>
      <c r="AP2984" s="28" t="str">
        <f t="shared" si="885"/>
        <v>20192</v>
      </c>
      <c r="AQ2984" s="28" t="str">
        <f t="shared" si="886"/>
        <v>20192RMB</v>
      </c>
      <c r="AR2984" s="206" t="str">
        <f t="shared" si="887"/>
        <v>PEMTRON</v>
      </c>
      <c r="AS2984" s="22">
        <f t="shared" si="888"/>
        <v>1</v>
      </c>
      <c r="AT2984" s="24" t="str">
        <f t="shared" si="889"/>
        <v>0-3 months</v>
      </c>
      <c r="AU2984" s="22" t="s">
        <v>3240</v>
      </c>
    </row>
    <row r="2985" spans="1:47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881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891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890"/>
        <v>10460000</v>
      </c>
      <c r="AA2985" s="13">
        <v>7.0199999999999999E-2</v>
      </c>
      <c r="AB2985" s="21">
        <f t="shared" si="875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77"/>
        <v>499582152.5142017</v>
      </c>
      <c r="AJ2985" s="19">
        <f t="shared" si="878"/>
        <v>59520528.679470733</v>
      </c>
      <c r="AK2985" s="20">
        <f t="shared" si="884"/>
        <v>0.11914062257814291</v>
      </c>
      <c r="AL2985" s="17"/>
      <c r="AM2985" s="17"/>
      <c r="AN2985" s="17"/>
      <c r="AO2985" s="17"/>
      <c r="AP2985" s="28" t="str">
        <f t="shared" si="885"/>
        <v>CancelCancel</v>
      </c>
      <c r="AQ2985" s="28" t="str">
        <f t="shared" si="886"/>
        <v>CancelCancelJPY</v>
      </c>
      <c r="AR2985" s="206" t="str">
        <f t="shared" si="887"/>
        <v>YAMAHA_Mounter</v>
      </c>
      <c r="AS2985" s="22" t="str">
        <f t="shared" si="888"/>
        <v/>
      </c>
      <c r="AT2985" s="24" t="str">
        <f t="shared" si="889"/>
        <v/>
      </c>
      <c r="AU2985" s="22" t="s">
        <v>3744</v>
      </c>
    </row>
    <row r="2986" spans="1:47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881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891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890"/>
        <v>10460000</v>
      </c>
      <c r="AA2986" s="13">
        <v>7.2099999999999997E-2</v>
      </c>
      <c r="AB2986" s="21">
        <f t="shared" si="875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77"/>
        <v>499582152.5142017</v>
      </c>
      <c r="AJ2986" s="19">
        <f t="shared" si="878"/>
        <v>59520528.679470733</v>
      </c>
      <c r="AK2986" s="20">
        <f t="shared" si="884"/>
        <v>0.11914062257814291</v>
      </c>
      <c r="AL2986" s="17"/>
      <c r="AM2986" s="17"/>
      <c r="AN2986" s="17"/>
      <c r="AO2986" s="17"/>
      <c r="AP2986" s="28" t="str">
        <f t="shared" si="885"/>
        <v>CancelCancel</v>
      </c>
      <c r="AQ2986" s="28" t="str">
        <f t="shared" si="886"/>
        <v>CancelCancelJPY</v>
      </c>
      <c r="AR2986" s="206" t="str">
        <f t="shared" si="887"/>
        <v>YAMAHA_Mounter</v>
      </c>
      <c r="AS2986" s="22" t="str">
        <f t="shared" si="888"/>
        <v/>
      </c>
      <c r="AT2986" s="24" t="str">
        <f t="shared" si="889"/>
        <v/>
      </c>
      <c r="AU2986" s="22" t="s">
        <v>3744</v>
      </c>
    </row>
    <row r="2987" spans="1:47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891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890"/>
        <v>14700000</v>
      </c>
      <c r="AA2987" s="13">
        <v>7.2999999999999995E-2</v>
      </c>
      <c r="AB2987" s="21">
        <f t="shared" si="875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77"/>
        <v>23168285.927433632</v>
      </c>
      <c r="AJ2987" s="19">
        <f t="shared" si="878"/>
        <v>2764878.916878053</v>
      </c>
      <c r="AK2987" s="20">
        <f t="shared" si="884"/>
        <v>0.11933895004309111</v>
      </c>
      <c r="AL2987" s="17"/>
      <c r="AM2987" s="17"/>
      <c r="AN2987" s="17"/>
      <c r="AO2987" s="17"/>
      <c r="AP2987" s="28" t="str">
        <f t="shared" si="885"/>
        <v>20203</v>
      </c>
      <c r="AQ2987" s="28" t="str">
        <f t="shared" si="886"/>
        <v>20203JPY</v>
      </c>
      <c r="AR2987" s="206" t="str">
        <f t="shared" si="887"/>
        <v>YAMAHA_Mounter</v>
      </c>
      <c r="AS2987" s="22">
        <f t="shared" si="888"/>
        <v>3</v>
      </c>
      <c r="AT2987" s="24" t="str">
        <f t="shared" si="889"/>
        <v>0-3 months</v>
      </c>
      <c r="AU2987" s="22" t="s">
        <v>3744</v>
      </c>
    </row>
    <row r="2988" spans="1:47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891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893">IF(W2988="RMB","1.13", "1")</f>
        <v>1</v>
      </c>
      <c r="Z2988" s="18">
        <f t="shared" si="890"/>
        <v>12600000</v>
      </c>
      <c r="AA2988" s="13">
        <v>7.6799999999999993E-2</v>
      </c>
      <c r="AB2988" s="21">
        <f t="shared" si="875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77"/>
        <v>45803245.025628321</v>
      </c>
      <c r="AJ2988" s="19">
        <f t="shared" si="878"/>
        <v>5664636.2584379362</v>
      </c>
      <c r="AK2988" s="20">
        <f t="shared" si="884"/>
        <v>0.12367325186825515</v>
      </c>
      <c r="AL2988" s="17"/>
      <c r="AM2988" s="17"/>
      <c r="AN2988" s="17"/>
      <c r="AO2988" s="17"/>
      <c r="AP2988" s="28" t="str">
        <f t="shared" si="885"/>
        <v>20211</v>
      </c>
      <c r="AQ2988" s="28" t="str">
        <f t="shared" si="886"/>
        <v>20211JPY</v>
      </c>
      <c r="AR2988" s="206" t="str">
        <f t="shared" si="887"/>
        <v>YAMAHA_Mounter</v>
      </c>
      <c r="AS2988" s="22">
        <f t="shared" si="888"/>
        <v>2</v>
      </c>
      <c r="AT2988" s="24" t="str">
        <f t="shared" si="889"/>
        <v>0-3 months</v>
      </c>
      <c r="AU2988" s="22" t="s">
        <v>3744</v>
      </c>
    </row>
    <row r="2989" spans="1:47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891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893"/>
        <v>1</v>
      </c>
      <c r="Z2989" s="18">
        <f t="shared" si="890"/>
        <v>9000000</v>
      </c>
      <c r="AA2989" s="13">
        <v>7.6799999999999993E-2</v>
      </c>
      <c r="AB2989" s="21">
        <f t="shared" si="875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77"/>
        <v>45803245.025628321</v>
      </c>
      <c r="AJ2989" s="19">
        <f t="shared" si="878"/>
        <v>5664636.2584379362</v>
      </c>
      <c r="AK2989" s="20">
        <f t="shared" si="884"/>
        <v>0.12367325186825515</v>
      </c>
      <c r="AL2989" s="17"/>
      <c r="AM2989" s="17"/>
      <c r="AN2989" s="17"/>
      <c r="AO2989" s="17"/>
      <c r="AP2989" s="28" t="str">
        <f t="shared" si="885"/>
        <v>20211</v>
      </c>
      <c r="AQ2989" s="28" t="str">
        <f t="shared" si="886"/>
        <v>20211JPY</v>
      </c>
      <c r="AR2989" s="206" t="str">
        <f t="shared" si="887"/>
        <v>YAMAHA_Mounter</v>
      </c>
      <c r="AS2989" s="22">
        <f t="shared" si="888"/>
        <v>2</v>
      </c>
      <c r="AT2989" s="24" t="str">
        <f t="shared" si="889"/>
        <v>0-3 months</v>
      </c>
      <c r="AU2989" s="22" t="s">
        <v>3744</v>
      </c>
    </row>
    <row r="2990" spans="1:47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891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893"/>
        <v>1</v>
      </c>
      <c r="Z2990" s="18">
        <f t="shared" si="890"/>
        <v>12800000</v>
      </c>
      <c r="AA2990" s="13">
        <v>7.4499999999999997E-2</v>
      </c>
      <c r="AB2990" s="21">
        <f t="shared" si="875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77"/>
        <v>57778307.282035396</v>
      </c>
      <c r="AJ2990" s="19">
        <f t="shared" si="878"/>
        <v>7259860.7225420559</v>
      </c>
      <c r="AK2990" s="20">
        <f t="shared" si="884"/>
        <v>0.12565028406083667</v>
      </c>
      <c r="AL2990" s="17"/>
      <c r="AM2990" s="17"/>
      <c r="AN2990" s="17"/>
      <c r="AO2990" s="17"/>
      <c r="AP2990" s="28" t="str">
        <f t="shared" si="885"/>
        <v>20213</v>
      </c>
      <c r="AQ2990" s="28" t="str">
        <f t="shared" si="886"/>
        <v>20213JPY</v>
      </c>
      <c r="AR2990" s="206" t="str">
        <f t="shared" si="887"/>
        <v>YAMAHA_Mounter</v>
      </c>
      <c r="AS2990" s="22">
        <f t="shared" si="888"/>
        <v>4</v>
      </c>
      <c r="AT2990" s="24" t="str">
        <f t="shared" si="889"/>
        <v>4-6 months</v>
      </c>
      <c r="AU2990" s="22" t="s">
        <v>3744</v>
      </c>
    </row>
    <row r="2991" spans="1:47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891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893"/>
        <v>1</v>
      </c>
      <c r="Z2991" s="18">
        <f t="shared" si="890"/>
        <v>12800000</v>
      </c>
      <c r="AA2991" s="13">
        <v>7.4499999999999997E-2</v>
      </c>
      <c r="AB2991" s="21">
        <f t="shared" si="875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77"/>
        <v>57778307.282035396</v>
      </c>
      <c r="AJ2991" s="19">
        <f t="shared" si="878"/>
        <v>7259860.7225420559</v>
      </c>
      <c r="AK2991" s="20">
        <f t="shared" si="884"/>
        <v>0.12565028406083667</v>
      </c>
      <c r="AL2991" s="17"/>
      <c r="AM2991" s="17"/>
      <c r="AN2991" s="17"/>
      <c r="AO2991" s="17"/>
      <c r="AP2991" s="28" t="str">
        <f t="shared" si="885"/>
        <v>20213</v>
      </c>
      <c r="AQ2991" s="28" t="str">
        <f t="shared" si="886"/>
        <v>20213JPY</v>
      </c>
      <c r="AR2991" s="206" t="str">
        <f t="shared" si="887"/>
        <v>YAMAHA_Mounter</v>
      </c>
      <c r="AS2991" s="22">
        <f t="shared" si="888"/>
        <v>4</v>
      </c>
      <c r="AT2991" s="24" t="str">
        <f t="shared" si="889"/>
        <v>4-6 months</v>
      </c>
      <c r="AU2991" s="22" t="s">
        <v>3744</v>
      </c>
    </row>
    <row r="2992" spans="1:47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891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893"/>
        <v>1</v>
      </c>
      <c r="Z2992" s="18">
        <f t="shared" si="890"/>
        <v>9000000</v>
      </c>
      <c r="AA2992" s="13">
        <v>7.4499999999999997E-2</v>
      </c>
      <c r="AB2992" s="21">
        <f t="shared" si="875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77"/>
        <v>57778307.282035396</v>
      </c>
      <c r="AJ2992" s="19">
        <f t="shared" si="878"/>
        <v>7259860.7225420559</v>
      </c>
      <c r="AK2992" s="20">
        <f t="shared" si="884"/>
        <v>0.12565028406083667</v>
      </c>
      <c r="AL2992" s="17"/>
      <c r="AM2992" s="17"/>
      <c r="AN2992" s="17"/>
      <c r="AO2992" s="17"/>
      <c r="AP2992" s="28" t="str">
        <f t="shared" si="885"/>
        <v>20213</v>
      </c>
      <c r="AQ2992" s="28" t="str">
        <f t="shared" si="886"/>
        <v>20213JPY</v>
      </c>
      <c r="AR2992" s="206" t="str">
        <f t="shared" si="887"/>
        <v>YAMAHA_Mounter</v>
      </c>
      <c r="AS2992" s="22">
        <f t="shared" si="888"/>
        <v>4</v>
      </c>
      <c r="AT2992" s="24" t="str">
        <f t="shared" si="889"/>
        <v>4-6 months</v>
      </c>
      <c r="AU2992" s="22" t="s">
        <v>3744</v>
      </c>
    </row>
    <row r="2993" spans="1:47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891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893"/>
        <v>1</v>
      </c>
      <c r="Z2993" s="18">
        <f t="shared" si="890"/>
        <v>11560000</v>
      </c>
      <c r="AA2993" s="13">
        <v>7.0999999999999994E-2</v>
      </c>
      <c r="AB2993" s="21">
        <f t="shared" si="875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77"/>
        <v>15533177.71460177</v>
      </c>
      <c r="AJ2993" s="19">
        <f t="shared" si="878"/>
        <v>1819298.5437526547</v>
      </c>
      <c r="AK2993" s="20">
        <f t="shared" si="884"/>
        <v>0.11712339723265033</v>
      </c>
      <c r="AL2993" s="17"/>
      <c r="AM2993" s="17"/>
      <c r="AN2993" s="17"/>
      <c r="AO2993" s="17"/>
      <c r="AP2993" s="28" t="str">
        <f t="shared" si="885"/>
        <v>202110</v>
      </c>
      <c r="AQ2993" s="28" t="str">
        <f t="shared" si="886"/>
        <v>202110JPY</v>
      </c>
      <c r="AR2993" s="206" t="str">
        <f t="shared" si="887"/>
        <v>YAMAHA_Mounter</v>
      </c>
      <c r="AS2993" s="22">
        <f t="shared" si="888"/>
        <v>3</v>
      </c>
      <c r="AT2993" s="24" t="str">
        <f t="shared" si="889"/>
        <v>0-3 months</v>
      </c>
      <c r="AU2993" s="22" t="s">
        <v>3744</v>
      </c>
    </row>
    <row r="2994" spans="1:47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891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893"/>
        <v>1</v>
      </c>
      <c r="Z2994" s="18">
        <f t="shared" si="890"/>
        <v>11560000</v>
      </c>
      <c r="AA2994" s="13">
        <v>7.0000000000000007E-2</v>
      </c>
      <c r="AB2994" s="21">
        <f t="shared" si="875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77"/>
        <v>29500529.005044252</v>
      </c>
      <c r="AJ2994" s="19">
        <f t="shared" si="878"/>
        <v>3253064.846231177</v>
      </c>
      <c r="AK2994" s="20">
        <f t="shared" si="884"/>
        <v>0.11027140718984871</v>
      </c>
      <c r="AL2994" s="17"/>
      <c r="AM2994" s="17"/>
      <c r="AN2994" s="17"/>
      <c r="AO2994" s="17"/>
      <c r="AP2994" s="28" t="str">
        <f t="shared" si="885"/>
        <v>202111</v>
      </c>
      <c r="AQ2994" s="28" t="str">
        <f t="shared" si="886"/>
        <v>202111JPY</v>
      </c>
      <c r="AR2994" s="206" t="str">
        <f t="shared" si="887"/>
        <v>YAMAHA_Mounter</v>
      </c>
      <c r="AS2994" s="22">
        <f t="shared" si="888"/>
        <v>4</v>
      </c>
      <c r="AT2994" s="24" t="str">
        <f t="shared" si="889"/>
        <v>4-6 months</v>
      </c>
      <c r="AU2994" s="22" t="s">
        <v>3744</v>
      </c>
    </row>
    <row r="2995" spans="1:47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891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893"/>
        <v>1</v>
      </c>
      <c r="Z2995" s="18">
        <f t="shared" si="890"/>
        <v>11560000</v>
      </c>
      <c r="AA2995" s="13">
        <v>7.0000000000000007E-2</v>
      </c>
      <c r="AB2995" s="21">
        <f t="shared" si="875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77"/>
        <v>29500529.005044252</v>
      </c>
      <c r="AJ2995" s="19">
        <f t="shared" si="878"/>
        <v>3253064.846231177</v>
      </c>
      <c r="AK2995" s="20">
        <f t="shared" si="884"/>
        <v>0.11027140718984871</v>
      </c>
      <c r="AL2995" s="17"/>
      <c r="AM2995" s="17"/>
      <c r="AN2995" s="17"/>
      <c r="AO2995" s="17"/>
      <c r="AP2995" s="28" t="str">
        <f t="shared" si="885"/>
        <v>202111</v>
      </c>
      <c r="AQ2995" s="28" t="str">
        <f t="shared" si="886"/>
        <v>202111JPY</v>
      </c>
      <c r="AR2995" s="206" t="str">
        <f t="shared" si="887"/>
        <v>YAMAHA_Mounter</v>
      </c>
      <c r="AS2995" s="22">
        <f t="shared" si="888"/>
        <v>4</v>
      </c>
      <c r="AT2995" s="24" t="str">
        <f t="shared" si="889"/>
        <v>4-6 months</v>
      </c>
      <c r="AU2995" s="22" t="s">
        <v>3744</v>
      </c>
    </row>
    <row r="2996" spans="1:47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891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893"/>
        <v>1</v>
      </c>
      <c r="Z2996" s="18">
        <f t="shared" si="890"/>
        <v>13300000</v>
      </c>
      <c r="AA2996" s="13">
        <v>7.4499999999999997E-2</v>
      </c>
      <c r="AB2996" s="21">
        <f t="shared" si="875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77"/>
        <v>57778307.282035396</v>
      </c>
      <c r="AJ2996" s="19">
        <f t="shared" si="878"/>
        <v>7259860.7225420559</v>
      </c>
      <c r="AK2996" s="20">
        <f t="shared" si="884"/>
        <v>0.12565028406083667</v>
      </c>
      <c r="AL2996" s="17"/>
      <c r="AM2996" s="17"/>
      <c r="AN2996" s="17"/>
      <c r="AO2996" s="17" t="s">
        <v>1576</v>
      </c>
      <c r="AP2996" s="28" t="str">
        <f t="shared" si="885"/>
        <v>20213</v>
      </c>
      <c r="AQ2996" s="28" t="str">
        <f t="shared" si="886"/>
        <v>20213JPY</v>
      </c>
      <c r="AR2996" s="206" t="str">
        <f t="shared" si="887"/>
        <v>YAMAHA_Mounter</v>
      </c>
      <c r="AS2996" s="22">
        <f t="shared" si="888"/>
        <v>3</v>
      </c>
      <c r="AT2996" s="24" t="str">
        <f t="shared" si="889"/>
        <v>0-3 months</v>
      </c>
      <c r="AU2996" s="22" t="s">
        <v>3744</v>
      </c>
    </row>
    <row r="2997" spans="1:47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891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893"/>
        <v>1.13</v>
      </c>
      <c r="Z2997" s="18">
        <f t="shared" si="890"/>
        <v>900000</v>
      </c>
      <c r="AA2997" s="13">
        <v>1.163</v>
      </c>
      <c r="AB2997" s="21">
        <f t="shared" si="875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77"/>
        <v>35073581.838938057</v>
      </c>
      <c r="AJ2997" s="19">
        <f t="shared" si="878"/>
        <v>5034113.9728989396</v>
      </c>
      <c r="AK2997" s="20">
        <f t="shared" si="884"/>
        <v>0.14353007902118958</v>
      </c>
      <c r="AL2997" s="17"/>
      <c r="AM2997" s="17"/>
      <c r="AN2997" s="17"/>
      <c r="AO2997" s="17"/>
      <c r="AP2997" s="28" t="str">
        <f t="shared" si="885"/>
        <v>20228</v>
      </c>
      <c r="AQ2997" s="28" t="str">
        <f t="shared" si="886"/>
        <v>20228RMB</v>
      </c>
      <c r="AR2997" s="206" t="str">
        <f t="shared" si="887"/>
        <v>YAMAHA_Mounter</v>
      </c>
      <c r="AS2997" s="22">
        <f t="shared" si="888"/>
        <v>1</v>
      </c>
      <c r="AT2997" s="24" t="str">
        <f t="shared" si="889"/>
        <v>0-3 months</v>
      </c>
      <c r="AU2997" s="22" t="s">
        <v>3240</v>
      </c>
    </row>
    <row r="2998" spans="1:47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891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893"/>
        <v>1.13</v>
      </c>
      <c r="Z2998" s="18">
        <f t="shared" si="890"/>
        <v>790000</v>
      </c>
      <c r="AA2998" s="13">
        <v>1.163</v>
      </c>
      <c r="AB2998" s="21">
        <f t="shared" si="875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77"/>
        <v>35073581.838938057</v>
      </c>
      <c r="AJ2998" s="19">
        <f t="shared" si="878"/>
        <v>5034113.9728989396</v>
      </c>
      <c r="AK2998" s="20">
        <f t="shared" si="884"/>
        <v>0.14353007902118958</v>
      </c>
      <c r="AL2998" s="17"/>
      <c r="AM2998" s="17"/>
      <c r="AN2998" s="17"/>
      <c r="AO2998" s="17"/>
      <c r="AP2998" s="28" t="str">
        <f t="shared" si="885"/>
        <v>20228</v>
      </c>
      <c r="AQ2998" s="28" t="str">
        <f t="shared" si="886"/>
        <v>20228RMB</v>
      </c>
      <c r="AR2998" s="206" t="str">
        <f t="shared" si="887"/>
        <v>YAMAHA_Mounter</v>
      </c>
      <c r="AS2998" s="22">
        <f t="shared" si="888"/>
        <v>1</v>
      </c>
      <c r="AT2998" s="24" t="str">
        <f t="shared" si="889"/>
        <v>0-3 months</v>
      </c>
      <c r="AU2998" s="22" t="s">
        <v>3240</v>
      </c>
    </row>
    <row r="2999" spans="1:47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891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893"/>
        <v>1.13</v>
      </c>
      <c r="Z2999" s="18">
        <f t="shared" si="890"/>
        <v>790000</v>
      </c>
      <c r="AA2999" s="13">
        <v>1.163</v>
      </c>
      <c r="AB2999" s="21">
        <f t="shared" si="875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77"/>
        <v>35073581.838938057</v>
      </c>
      <c r="AJ2999" s="19">
        <f t="shared" si="878"/>
        <v>5034113.9728989396</v>
      </c>
      <c r="AK2999" s="20">
        <f t="shared" si="884"/>
        <v>0.14353007902118958</v>
      </c>
      <c r="AL2999" s="17"/>
      <c r="AM2999" s="17"/>
      <c r="AN2999" s="17"/>
      <c r="AO2999" s="17"/>
      <c r="AP2999" s="28" t="str">
        <f t="shared" si="885"/>
        <v>20228</v>
      </c>
      <c r="AQ2999" s="28" t="str">
        <f t="shared" si="886"/>
        <v>20228RMB</v>
      </c>
      <c r="AR2999" s="206" t="str">
        <f t="shared" si="887"/>
        <v>YAMAHA_Mounter</v>
      </c>
      <c r="AS2999" s="22">
        <f t="shared" si="888"/>
        <v>1</v>
      </c>
      <c r="AT2999" s="24" t="str">
        <f t="shared" si="889"/>
        <v>0-3 months</v>
      </c>
      <c r="AU2999" s="22" t="s">
        <v>3240</v>
      </c>
    </row>
    <row r="3000" spans="1:47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881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891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890"/>
        <v>12300000</v>
      </c>
      <c r="AA3000" s="13">
        <v>4.9500000000000002E-2</v>
      </c>
      <c r="AB3000" s="21">
        <f t="shared" si="875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77"/>
        <v>499582152.5142017</v>
      </c>
      <c r="AJ3000" s="27">
        <f t="shared" si="878"/>
        <v>59520528.679470733</v>
      </c>
      <c r="AK3000" s="28">
        <f t="shared" si="884"/>
        <v>0.11914062257814291</v>
      </c>
      <c r="AL3000" s="24"/>
      <c r="AM3000" s="24"/>
      <c r="AN3000" s="24"/>
      <c r="AO3000" s="24"/>
      <c r="AP3000" s="28" t="str">
        <f t="shared" si="885"/>
        <v>CancelCancel</v>
      </c>
      <c r="AQ3000" s="28" t="str">
        <f t="shared" si="886"/>
        <v>CancelCancelJPY</v>
      </c>
      <c r="AR3000" s="206" t="str">
        <f t="shared" si="887"/>
        <v>YAMAHA_Mounter</v>
      </c>
      <c r="AS3000" s="22" t="str">
        <f t="shared" si="888"/>
        <v/>
      </c>
      <c r="AT3000" s="24" t="str">
        <f t="shared" si="889"/>
        <v/>
      </c>
      <c r="AU3000" s="22" t="s">
        <v>3744</v>
      </c>
    </row>
    <row r="3001" spans="1:47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891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890"/>
        <v>12900000</v>
      </c>
      <c r="AA3001" s="22">
        <v>5.2299999999999999E-2</v>
      </c>
      <c r="AB3001" s="197">
        <f t="shared" si="875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77"/>
        <v>25354039.366920356</v>
      </c>
      <c r="AJ3001" s="200">
        <f t="shared" si="878"/>
        <v>3028631.2816309328</v>
      </c>
      <c r="AK3001" s="201">
        <f t="shared" si="884"/>
        <v>0.11945360018579192</v>
      </c>
      <c r="AL3001" s="24"/>
      <c r="AM3001" s="24"/>
      <c r="AN3001" s="24"/>
      <c r="AO3001" s="24"/>
      <c r="AP3001" s="105" t="str">
        <f t="shared" si="885"/>
        <v>20248</v>
      </c>
      <c r="AQ3001" s="28" t="str">
        <f t="shared" si="886"/>
        <v>20248JPY</v>
      </c>
      <c r="AR3001" s="206" t="str">
        <f t="shared" si="887"/>
        <v>YAMAHA_Mounter</v>
      </c>
      <c r="AS3001" s="22">
        <f t="shared" si="888"/>
        <v>3</v>
      </c>
      <c r="AT3001" s="24" t="str">
        <f t="shared" si="889"/>
        <v>0-3 months</v>
      </c>
      <c r="AU3001" s="22" t="s">
        <v>3744</v>
      </c>
    </row>
    <row r="3002" spans="1:47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891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890"/>
        <v>10000000</v>
      </c>
      <c r="AA3002" s="22">
        <v>5.2299999999999999E-2</v>
      </c>
      <c r="AB3002" s="197">
        <f t="shared" si="875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77"/>
        <v>25354039.366920356</v>
      </c>
      <c r="AJ3002" s="200">
        <f t="shared" si="878"/>
        <v>3028631.2816309328</v>
      </c>
      <c r="AK3002" s="201">
        <f t="shared" si="884"/>
        <v>0.11945360018579192</v>
      </c>
      <c r="AL3002" s="24"/>
      <c r="AM3002" s="24"/>
      <c r="AN3002" s="24"/>
      <c r="AO3002" s="24"/>
      <c r="AP3002" s="28" t="str">
        <f t="shared" si="885"/>
        <v>20248</v>
      </c>
      <c r="AQ3002" s="28" t="str">
        <f t="shared" si="886"/>
        <v>20248JPY</v>
      </c>
      <c r="AR3002" s="206" t="str">
        <f t="shared" si="887"/>
        <v>YAMAHA_Mounter</v>
      </c>
      <c r="AS3002" s="22">
        <f t="shared" si="888"/>
        <v>3</v>
      </c>
      <c r="AT3002" s="24" t="str">
        <f t="shared" si="889"/>
        <v>0-3 months</v>
      </c>
      <c r="AU3002" s="22" t="s">
        <v>3744</v>
      </c>
    </row>
    <row r="3003" spans="1:47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891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890"/>
        <v>463000</v>
      </c>
      <c r="AA3003" s="22">
        <v>1.08</v>
      </c>
      <c r="AB3003" s="197">
        <f t="shared" si="875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77"/>
        <v>25354039.366920356</v>
      </c>
      <c r="AJ3003" s="200">
        <f t="shared" si="878"/>
        <v>3028631.2816309328</v>
      </c>
      <c r="AK3003" s="201">
        <f t="shared" si="884"/>
        <v>0.11945360018579192</v>
      </c>
      <c r="AL3003" s="24"/>
      <c r="AM3003" s="24"/>
      <c r="AN3003" s="24"/>
      <c r="AO3003" s="24"/>
      <c r="AP3003" s="105" t="str">
        <f t="shared" si="885"/>
        <v>20248</v>
      </c>
      <c r="AQ3003" s="28" t="str">
        <f t="shared" si="886"/>
        <v>20248RMB</v>
      </c>
      <c r="AR3003" s="206" t="str">
        <f t="shared" si="887"/>
        <v>YAMAHA_Mounter</v>
      </c>
      <c r="AS3003" s="22">
        <f t="shared" si="888"/>
        <v>3</v>
      </c>
      <c r="AT3003" s="24" t="str">
        <f t="shared" si="889"/>
        <v>0-3 months</v>
      </c>
      <c r="AU3003" s="22" t="s">
        <v>3240</v>
      </c>
    </row>
    <row r="3004" spans="1:47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891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890"/>
        <v>850000</v>
      </c>
      <c r="AA3004" s="13">
        <v>1.1299999999999999</v>
      </c>
      <c r="AB3004" s="21">
        <f t="shared" ref="AB3004:AB3067" si="894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77"/>
        <v>47907808.356810622</v>
      </c>
      <c r="AJ3004" s="19">
        <f t="shared" si="878"/>
        <v>6027384.8806384448</v>
      </c>
      <c r="AK3004" s="20">
        <f t="shared" si="884"/>
        <v>0.12581216063459488</v>
      </c>
      <c r="AL3004" s="17"/>
      <c r="AM3004" s="17"/>
      <c r="AN3004" s="17"/>
      <c r="AO3004" s="17"/>
      <c r="AP3004" s="28" t="str">
        <f t="shared" si="885"/>
        <v>20209</v>
      </c>
      <c r="AQ3004" s="28" t="str">
        <f t="shared" si="886"/>
        <v>20209RMB</v>
      </c>
      <c r="AR3004" s="206" t="str">
        <f t="shared" si="887"/>
        <v>YAMAHA_Mounter</v>
      </c>
      <c r="AS3004" s="22">
        <f t="shared" si="888"/>
        <v>2</v>
      </c>
      <c r="AT3004" s="24" t="str">
        <f t="shared" si="889"/>
        <v>0-3 months</v>
      </c>
      <c r="AU3004" s="22" t="s">
        <v>3240</v>
      </c>
    </row>
    <row r="3005" spans="1:47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891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890"/>
        <v>850000</v>
      </c>
      <c r="AA3005" s="13">
        <v>1.1299999999999999</v>
      </c>
      <c r="AB3005" s="21">
        <f t="shared" si="894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77"/>
        <v>47907808.356810622</v>
      </c>
      <c r="AJ3005" s="19">
        <f t="shared" si="878"/>
        <v>6027384.8806384448</v>
      </c>
      <c r="AK3005" s="20">
        <f t="shared" si="884"/>
        <v>0.12581216063459488</v>
      </c>
      <c r="AL3005" s="17"/>
      <c r="AM3005" s="17"/>
      <c r="AN3005" s="17"/>
      <c r="AO3005" s="17"/>
      <c r="AP3005" s="28" t="str">
        <f t="shared" si="885"/>
        <v>20209</v>
      </c>
      <c r="AQ3005" s="28" t="str">
        <f t="shared" si="886"/>
        <v>20209RMB</v>
      </c>
      <c r="AR3005" s="206" t="str">
        <f t="shared" si="887"/>
        <v>YAMAHA_Mounter</v>
      </c>
      <c r="AS3005" s="22">
        <f t="shared" si="888"/>
        <v>2</v>
      </c>
      <c r="AT3005" s="24" t="str">
        <f t="shared" si="889"/>
        <v>0-3 months</v>
      </c>
      <c r="AU3005" s="22" t="s">
        <v>3240</v>
      </c>
    </row>
    <row r="3006" spans="1:47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891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890"/>
        <v>900000</v>
      </c>
      <c r="AA3006" s="13">
        <v>1.1299999999999999</v>
      </c>
      <c r="AB3006" s="21">
        <f t="shared" si="894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77"/>
        <v>47907808.356810622</v>
      </c>
      <c r="AJ3006" s="19">
        <f t="shared" si="878"/>
        <v>6027384.8806384448</v>
      </c>
      <c r="AK3006" s="20">
        <f t="shared" si="884"/>
        <v>0.12581216063459488</v>
      </c>
      <c r="AL3006" s="17"/>
      <c r="AM3006" s="17"/>
      <c r="AN3006" s="17"/>
      <c r="AO3006" s="17"/>
      <c r="AP3006" s="28" t="str">
        <f t="shared" si="885"/>
        <v>20209</v>
      </c>
      <c r="AQ3006" s="28" t="str">
        <f t="shared" si="886"/>
        <v>20209RMB</v>
      </c>
      <c r="AR3006" s="206" t="str">
        <f t="shared" si="887"/>
        <v>YAMAHA_Mounter</v>
      </c>
      <c r="AS3006" s="22">
        <f t="shared" si="888"/>
        <v>2</v>
      </c>
      <c r="AT3006" s="24" t="str">
        <f t="shared" si="889"/>
        <v>0-3 months</v>
      </c>
      <c r="AU3006" s="22" t="s">
        <v>3240</v>
      </c>
    </row>
    <row r="3007" spans="1:47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881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891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890"/>
        <v>660000</v>
      </c>
      <c r="AA3007" s="13">
        <v>1.175</v>
      </c>
      <c r="AB3007" s="21">
        <f t="shared" si="894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77"/>
        <v>499582152.5142017</v>
      </c>
      <c r="AJ3007" s="19">
        <f t="shared" si="878"/>
        <v>59520528.679470733</v>
      </c>
      <c r="AK3007" s="20">
        <f t="shared" si="884"/>
        <v>0.11914062257814291</v>
      </c>
      <c r="AL3007" s="17"/>
      <c r="AM3007" s="17"/>
      <c r="AN3007" s="17"/>
      <c r="AO3007" s="17"/>
      <c r="AP3007" s="28" t="str">
        <f t="shared" si="885"/>
        <v>CancelCancel</v>
      </c>
      <c r="AQ3007" s="28" t="str">
        <f t="shared" si="886"/>
        <v>CancelCancelRMB</v>
      </c>
      <c r="AR3007" s="206" t="str">
        <f t="shared" si="887"/>
        <v>YAMAHA_Mounter</v>
      </c>
      <c r="AS3007" s="22" t="str">
        <f t="shared" si="888"/>
        <v/>
      </c>
      <c r="AT3007" s="24" t="str">
        <f t="shared" si="889"/>
        <v/>
      </c>
      <c r="AU3007" s="22" t="s">
        <v>3750</v>
      </c>
    </row>
    <row r="3008" spans="1:47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881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891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890"/>
        <v>21772000</v>
      </c>
      <c r="AA3008" s="13">
        <v>7.0199999999999999E-2</v>
      </c>
      <c r="AB3008" s="21">
        <f t="shared" si="894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77"/>
        <v>499582152.5142017</v>
      </c>
      <c r="AJ3008" s="19">
        <f t="shared" si="878"/>
        <v>59520528.679470733</v>
      </c>
      <c r="AK3008" s="20">
        <f t="shared" si="884"/>
        <v>0.11914062257814291</v>
      </c>
      <c r="AL3008" s="17"/>
      <c r="AM3008" s="17"/>
      <c r="AN3008" s="17"/>
      <c r="AO3008" s="17"/>
      <c r="AP3008" s="28" t="str">
        <f t="shared" si="885"/>
        <v>CancelCancel</v>
      </c>
      <c r="AQ3008" s="28" t="str">
        <f t="shared" si="886"/>
        <v>CancelCancelJPY</v>
      </c>
      <c r="AR3008" s="206" t="str">
        <f t="shared" si="887"/>
        <v>YAMAHA_Mounter</v>
      </c>
      <c r="AS3008" s="22" t="str">
        <f t="shared" si="888"/>
        <v/>
      </c>
      <c r="AT3008" s="24" t="str">
        <f t="shared" si="889"/>
        <v/>
      </c>
      <c r="AU3008" s="22" t="s">
        <v>3745</v>
      </c>
    </row>
    <row r="3009" spans="1:47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881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891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890"/>
        <v>30660000</v>
      </c>
      <c r="AA3009" s="13">
        <v>7.22E-2</v>
      </c>
      <c r="AB3009" s="21">
        <f t="shared" si="894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77"/>
        <v>499582152.5142017</v>
      </c>
      <c r="AJ3009" s="19">
        <f t="shared" si="878"/>
        <v>59520528.679470733</v>
      </c>
      <c r="AK3009" s="20">
        <f t="shared" si="884"/>
        <v>0.11914062257814291</v>
      </c>
      <c r="AL3009" s="17"/>
      <c r="AM3009" s="17"/>
      <c r="AN3009" s="17"/>
      <c r="AO3009" s="17"/>
      <c r="AP3009" s="28" t="str">
        <f t="shared" si="885"/>
        <v>CancelCancel</v>
      </c>
      <c r="AQ3009" s="28" t="str">
        <f t="shared" si="886"/>
        <v>CancelCancelJPY</v>
      </c>
      <c r="AR3009" s="206" t="str">
        <f t="shared" si="887"/>
        <v>YAMAHA_Mounter</v>
      </c>
      <c r="AS3009" s="22" t="str">
        <f t="shared" si="888"/>
        <v/>
      </c>
      <c r="AT3009" s="24" t="str">
        <f t="shared" si="889"/>
        <v/>
      </c>
      <c r="AU3009" s="22" t="s">
        <v>3745</v>
      </c>
    </row>
    <row r="3010" spans="1:47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881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891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890"/>
        <v>8656000</v>
      </c>
      <c r="AA3010" s="13">
        <v>7.0199999999999999E-2</v>
      </c>
      <c r="AB3010" s="21">
        <f t="shared" si="894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ref="AI3010:AI3073" si="895">IF(P3010="C66 SERVICE","",SUMIFS(AB:AB,F:F,F3010,G:G,G3010,E:E,E3010))</f>
        <v>499582152.5142017</v>
      </c>
      <c r="AJ3010" s="19">
        <f t="shared" ref="AJ3010:AJ3073" si="896">IF(P3010="C66 SERVICE","",SUMIFS(AC:AC,F:F,F3010,G:G,G3010,E:E,E3010))</f>
        <v>59520528.679470733</v>
      </c>
      <c r="AK3010" s="20">
        <f t="shared" si="884"/>
        <v>0.11914062257814291</v>
      </c>
      <c r="AL3010" s="17"/>
      <c r="AM3010" s="17"/>
      <c r="AN3010" s="17"/>
      <c r="AO3010" s="17"/>
      <c r="AP3010" s="28" t="str">
        <f t="shared" si="885"/>
        <v>CancelCancel</v>
      </c>
      <c r="AQ3010" s="28" t="str">
        <f t="shared" si="886"/>
        <v>CancelCancelJPY</v>
      </c>
      <c r="AR3010" s="206" t="str">
        <f t="shared" si="887"/>
        <v>YAMAHA_Mounter</v>
      </c>
      <c r="AS3010" s="22" t="str">
        <f t="shared" si="888"/>
        <v/>
      </c>
      <c r="AT3010" s="24" t="str">
        <f t="shared" si="889"/>
        <v/>
      </c>
      <c r="AU3010" s="22" t="s">
        <v>3745</v>
      </c>
    </row>
    <row r="3011" spans="1:47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881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891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890"/>
        <v>17312000</v>
      </c>
      <c r="AA3011" s="13">
        <v>7.0199999999999999E-2</v>
      </c>
      <c r="AB3011" s="21">
        <f t="shared" si="894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95"/>
        <v>499582152.5142017</v>
      </c>
      <c r="AJ3011" s="19">
        <f t="shared" si="896"/>
        <v>59520528.679470733</v>
      </c>
      <c r="AK3011" s="20">
        <f t="shared" si="884"/>
        <v>0.11914062257814291</v>
      </c>
      <c r="AL3011" s="17"/>
      <c r="AM3011" s="17"/>
      <c r="AN3011" s="17"/>
      <c r="AO3011" s="17"/>
      <c r="AP3011" s="28" t="str">
        <f t="shared" si="885"/>
        <v>CancelCancel</v>
      </c>
      <c r="AQ3011" s="28" t="str">
        <f t="shared" si="886"/>
        <v>CancelCancelJPY</v>
      </c>
      <c r="AR3011" s="206" t="str">
        <f t="shared" si="887"/>
        <v>YAMAHA_Mounter</v>
      </c>
      <c r="AS3011" s="22" t="str">
        <f t="shared" si="888"/>
        <v/>
      </c>
      <c r="AT3011" s="24" t="str">
        <f t="shared" si="889"/>
        <v/>
      </c>
      <c r="AU3011" s="22" t="s">
        <v>3745</v>
      </c>
    </row>
    <row r="3012" spans="1:47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881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891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890"/>
        <v>10220000</v>
      </c>
      <c r="AA3012" s="13">
        <v>7.0400000000000004E-2</v>
      </c>
      <c r="AB3012" s="21">
        <f t="shared" si="894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95"/>
        <v>499582152.5142017</v>
      </c>
      <c r="AJ3012" s="19">
        <f t="shared" si="896"/>
        <v>59520528.679470733</v>
      </c>
      <c r="AK3012" s="20">
        <f t="shared" si="884"/>
        <v>0.11914062257814291</v>
      </c>
      <c r="AL3012" s="17"/>
      <c r="AM3012" s="17"/>
      <c r="AN3012" s="17"/>
      <c r="AO3012" s="17" t="s">
        <v>185</v>
      </c>
      <c r="AP3012" s="28" t="str">
        <f t="shared" si="885"/>
        <v>CancelCancel</v>
      </c>
      <c r="AQ3012" s="28" t="str">
        <f t="shared" si="886"/>
        <v>CancelCancelJPY</v>
      </c>
      <c r="AR3012" s="206" t="str">
        <f t="shared" si="887"/>
        <v>YAMAHA_Mounter</v>
      </c>
      <c r="AS3012" s="22" t="str">
        <f t="shared" si="888"/>
        <v/>
      </c>
      <c r="AT3012" s="24" t="str">
        <f t="shared" si="889"/>
        <v/>
      </c>
      <c r="AU3012" s="22" t="s">
        <v>3745</v>
      </c>
    </row>
    <row r="3013" spans="1:47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881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891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890"/>
        <v>20440000</v>
      </c>
      <c r="AA3013" s="13">
        <v>7.0400000000000004E-2</v>
      </c>
      <c r="AB3013" s="21">
        <f t="shared" si="894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95"/>
        <v>499582152.5142017</v>
      </c>
      <c r="AJ3013" s="19">
        <f t="shared" si="896"/>
        <v>59520528.679470733</v>
      </c>
      <c r="AK3013" s="20">
        <f t="shared" si="884"/>
        <v>0.11914062257814291</v>
      </c>
      <c r="AL3013" s="17"/>
      <c r="AM3013" s="17"/>
      <c r="AN3013" s="17"/>
      <c r="AO3013" s="17" t="s">
        <v>185</v>
      </c>
      <c r="AP3013" s="28" t="str">
        <f t="shared" si="885"/>
        <v>CancelCancel</v>
      </c>
      <c r="AQ3013" s="28" t="str">
        <f t="shared" si="886"/>
        <v>CancelCancelJPY</v>
      </c>
      <c r="AR3013" s="206" t="str">
        <f t="shared" si="887"/>
        <v>YAMAHA_Mounter</v>
      </c>
      <c r="AS3013" s="22" t="str">
        <f t="shared" si="888"/>
        <v/>
      </c>
      <c r="AT3013" s="24" t="str">
        <f t="shared" si="889"/>
        <v/>
      </c>
      <c r="AU3013" s="22" t="s">
        <v>3745</v>
      </c>
    </row>
    <row r="3014" spans="1:47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891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890"/>
        <v>48000000</v>
      </c>
      <c r="AA3014" s="13">
        <v>7.0400000000000004E-2</v>
      </c>
      <c r="AB3014" s="21">
        <f t="shared" si="894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si="895"/>
        <v>499582152.5142017</v>
      </c>
      <c r="AJ3014" s="19">
        <f t="shared" si="896"/>
        <v>59520528.679470733</v>
      </c>
      <c r="AK3014" s="20">
        <f t="shared" ref="AK3014:AK3077" si="902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903">IF(F3014="","",F3014&amp;G3014)</f>
        <v>CancelCancel</v>
      </c>
      <c r="AQ3014" s="28" t="str">
        <f t="shared" ref="AQ3014:AQ3077" si="904">IF(W3014="","",F3014&amp;G3014&amp;W3014)</f>
        <v>CancelCancelJPY</v>
      </c>
      <c r="AR3014" s="206" t="str">
        <f t="shared" ref="AR3014:AR3077" si="905">IFERROR(IF(AND(M3014="YAMAHA", R3014="C28"), "YAMAHA_Non_Mounter", IF(AND(M3014="YAMAHA", R3014="C49"), "YAMAHA_Mounter", M3014)),"")</f>
        <v>YAMAHA_Mounter</v>
      </c>
      <c r="AS3014" s="22" t="str">
        <f t="shared" ref="AS3014:AS3077" si="906">IFERROR(IF(OR(G3014="TBA", G3014=""), "", DATEDIF(DATE(B3014, C3014, 1), DATE(F3014, G3014, 1), "M")),"")</f>
        <v/>
      </c>
      <c r="AT3014" s="24" t="str">
        <f t="shared" ref="AT3014:AT3077" si="907">IF(ISNUMBER(AS3014), IF(AS3014&gt;=0, IF(AS3014&lt;=3, "0-3 months", IF(AS3014&lt;=6, "4-6 months", "&gt; 6 months"))), "")</f>
        <v/>
      </c>
      <c r="AU3014" s="22" t="s">
        <v>3745</v>
      </c>
    </row>
    <row r="3015" spans="1:47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891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890"/>
        <v>10200000</v>
      </c>
      <c r="AA3015" s="13">
        <v>7.2300000000000003E-2</v>
      </c>
      <c r="AB3015" s="21">
        <f t="shared" si="894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895"/>
        <v>32843736.557277881</v>
      </c>
      <c r="AJ3015" s="19">
        <f t="shared" si="896"/>
        <v>3921470.6822663117</v>
      </c>
      <c r="AK3015" s="20">
        <f t="shared" si="902"/>
        <v>0.11939782416131177</v>
      </c>
      <c r="AL3015" s="17"/>
      <c r="AM3015" s="17"/>
      <c r="AN3015" s="17"/>
      <c r="AO3015" s="17"/>
      <c r="AP3015" s="28" t="str">
        <f t="shared" si="903"/>
        <v>20194</v>
      </c>
      <c r="AQ3015" s="28" t="str">
        <f t="shared" si="904"/>
        <v>20194JPY</v>
      </c>
      <c r="AR3015" s="206" t="str">
        <f t="shared" si="905"/>
        <v>YAMAHA_Mounter</v>
      </c>
      <c r="AS3015" s="22">
        <f t="shared" si="906"/>
        <v>1</v>
      </c>
      <c r="AT3015" s="24" t="str">
        <f t="shared" si="907"/>
        <v>0-3 months</v>
      </c>
      <c r="AU3015" s="22" t="s">
        <v>3745</v>
      </c>
    </row>
    <row r="3016" spans="1:47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891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890"/>
        <v>10200000</v>
      </c>
      <c r="AA3016" s="13">
        <v>7.2300000000000003E-2</v>
      </c>
      <c r="AB3016" s="21">
        <f t="shared" si="894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895"/>
        <v>32843736.557277881</v>
      </c>
      <c r="AJ3016" s="19">
        <f t="shared" si="896"/>
        <v>3921470.6822663117</v>
      </c>
      <c r="AK3016" s="20">
        <f t="shared" si="902"/>
        <v>0.11939782416131177</v>
      </c>
      <c r="AL3016" s="17"/>
      <c r="AM3016" s="17"/>
      <c r="AN3016" s="17"/>
      <c r="AO3016" s="17"/>
      <c r="AP3016" s="28" t="str">
        <f t="shared" si="903"/>
        <v>20194</v>
      </c>
      <c r="AQ3016" s="28" t="str">
        <f t="shared" si="904"/>
        <v>20194JPY</v>
      </c>
      <c r="AR3016" s="206" t="str">
        <f t="shared" si="905"/>
        <v>YAMAHA_Mounter</v>
      </c>
      <c r="AS3016" s="22">
        <f t="shared" si="906"/>
        <v>1</v>
      </c>
      <c r="AT3016" s="24" t="str">
        <f t="shared" si="907"/>
        <v>0-3 months</v>
      </c>
      <c r="AU3016" s="22" t="s">
        <v>3745</v>
      </c>
    </row>
    <row r="3017" spans="1:47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891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890"/>
        <v>10800000</v>
      </c>
      <c r="AA3017" s="13">
        <v>7.4899999999999994E-2</v>
      </c>
      <c r="AB3017" s="21">
        <f t="shared" si="894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895"/>
        <v>47907808.356810622</v>
      </c>
      <c r="AJ3017" s="19">
        <f t="shared" si="896"/>
        <v>6027384.8806384448</v>
      </c>
      <c r="AK3017" s="20">
        <f t="shared" si="902"/>
        <v>0.12581216063459488</v>
      </c>
      <c r="AL3017" s="17"/>
      <c r="AM3017" s="17"/>
      <c r="AN3017" s="17"/>
      <c r="AO3017" s="17"/>
      <c r="AP3017" s="28" t="str">
        <f t="shared" si="903"/>
        <v>20209</v>
      </c>
      <c r="AQ3017" s="28" t="str">
        <f t="shared" si="904"/>
        <v>20209JPY</v>
      </c>
      <c r="AR3017" s="206" t="str">
        <f t="shared" si="905"/>
        <v>YAMAHA_Mounter</v>
      </c>
      <c r="AS3017" s="22">
        <f t="shared" si="906"/>
        <v>2</v>
      </c>
      <c r="AT3017" s="24" t="str">
        <f t="shared" si="907"/>
        <v>0-3 months</v>
      </c>
      <c r="AU3017" s="22" t="s">
        <v>3240</v>
      </c>
    </row>
    <row r="3018" spans="1:47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891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908">IF(X3018="","",X3018*MAX(O3018,N3018))</f>
        <v>10800000</v>
      </c>
      <c r="AA3018" s="13">
        <v>7.4899999999999994E-2</v>
      </c>
      <c r="AB3018" s="21">
        <f t="shared" si="894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895"/>
        <v>47907808.356810622</v>
      </c>
      <c r="AJ3018" s="19">
        <f t="shared" si="896"/>
        <v>6027384.8806384448</v>
      </c>
      <c r="AK3018" s="20">
        <f t="shared" si="902"/>
        <v>0.12581216063459488</v>
      </c>
      <c r="AL3018" s="17"/>
      <c r="AM3018" s="17"/>
      <c r="AN3018" s="17"/>
      <c r="AO3018" s="17"/>
      <c r="AP3018" s="28" t="str">
        <f t="shared" si="903"/>
        <v>20209</v>
      </c>
      <c r="AQ3018" s="28" t="str">
        <f t="shared" si="904"/>
        <v>20209JPY</v>
      </c>
      <c r="AR3018" s="206" t="str">
        <f t="shared" si="905"/>
        <v>YAMAHA_Mounter</v>
      </c>
      <c r="AS3018" s="22">
        <f t="shared" si="906"/>
        <v>2</v>
      </c>
      <c r="AT3018" s="24" t="str">
        <f t="shared" si="907"/>
        <v>0-3 months</v>
      </c>
      <c r="AU3018" s="22" t="s">
        <v>3240</v>
      </c>
    </row>
    <row r="3019" spans="1:47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891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908"/>
        <v>6896000</v>
      </c>
      <c r="AA3019" s="13">
        <v>7.4899999999999994E-2</v>
      </c>
      <c r="AB3019" s="21">
        <f t="shared" si="894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895"/>
        <v>47907808.356810622</v>
      </c>
      <c r="AJ3019" s="19">
        <f t="shared" si="896"/>
        <v>6027384.8806384448</v>
      </c>
      <c r="AK3019" s="20">
        <f t="shared" si="902"/>
        <v>0.12581216063459488</v>
      </c>
      <c r="AL3019" s="17"/>
      <c r="AM3019" s="17"/>
      <c r="AN3019" s="17"/>
      <c r="AO3019" s="17"/>
      <c r="AP3019" s="28" t="str">
        <f t="shared" si="903"/>
        <v>20209</v>
      </c>
      <c r="AQ3019" s="28" t="str">
        <f t="shared" si="904"/>
        <v>20209JPY</v>
      </c>
      <c r="AR3019" s="206" t="str">
        <f t="shared" si="905"/>
        <v>YAMAHA_Mounter</v>
      </c>
      <c r="AS3019" s="22">
        <f t="shared" si="906"/>
        <v>2</v>
      </c>
      <c r="AT3019" s="24" t="str">
        <f t="shared" si="907"/>
        <v>0-3 months</v>
      </c>
      <c r="AU3019" s="22" t="s">
        <v>3240</v>
      </c>
    </row>
    <row r="3020" spans="1:47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891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908"/>
        <v>6896000</v>
      </c>
      <c r="AA3020" s="13">
        <v>7.4899999999999994E-2</v>
      </c>
      <c r="AB3020" s="21">
        <f t="shared" si="894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895"/>
        <v>47907808.356810622</v>
      </c>
      <c r="AJ3020" s="19">
        <f t="shared" si="896"/>
        <v>6027384.8806384448</v>
      </c>
      <c r="AK3020" s="20">
        <f t="shared" si="902"/>
        <v>0.12581216063459488</v>
      </c>
      <c r="AL3020" s="17"/>
      <c r="AM3020" s="17"/>
      <c r="AN3020" s="17"/>
      <c r="AO3020" s="17"/>
      <c r="AP3020" s="28" t="str">
        <f t="shared" si="903"/>
        <v>20209</v>
      </c>
      <c r="AQ3020" s="28" t="str">
        <f t="shared" si="904"/>
        <v>20209JPY</v>
      </c>
      <c r="AR3020" s="206" t="str">
        <f t="shared" si="905"/>
        <v>YAMAHA_Mounter</v>
      </c>
      <c r="AS3020" s="22">
        <f t="shared" si="906"/>
        <v>2</v>
      </c>
      <c r="AT3020" s="24" t="str">
        <f t="shared" si="907"/>
        <v>0-3 months</v>
      </c>
      <c r="AU3020" s="22" t="s">
        <v>3240</v>
      </c>
    </row>
    <row r="3021" spans="1:47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99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891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909">IF(W3021="RMB","1.13", "1")</f>
        <v>1</v>
      </c>
      <c r="Z3021" s="18">
        <f t="shared" si="908"/>
        <v>11530000</v>
      </c>
      <c r="AA3021" s="13">
        <v>5.8700000000000002E-2</v>
      </c>
      <c r="AB3021" s="21">
        <f t="shared" si="894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895"/>
        <v>499582152.5142017</v>
      </c>
      <c r="AJ3021" s="19">
        <f t="shared" si="896"/>
        <v>59520528.679470733</v>
      </c>
      <c r="AK3021" s="20">
        <f t="shared" si="902"/>
        <v>0.11914062257814291</v>
      </c>
      <c r="AL3021" s="17"/>
      <c r="AM3021" s="17"/>
      <c r="AN3021" s="17"/>
      <c r="AO3021" s="17"/>
      <c r="AP3021" s="28" t="str">
        <f t="shared" si="903"/>
        <v>CancelCancel</v>
      </c>
      <c r="AQ3021" s="28" t="str">
        <f t="shared" si="904"/>
        <v>CancelCancelJPY</v>
      </c>
      <c r="AR3021" s="206" t="str">
        <f t="shared" si="905"/>
        <v>YAMAHA_Mounter</v>
      </c>
      <c r="AS3021" s="22" t="str">
        <f t="shared" si="906"/>
        <v/>
      </c>
      <c r="AT3021" s="24" t="str">
        <f t="shared" si="907"/>
        <v/>
      </c>
      <c r="AU3021" s="22" t="s">
        <v>3745</v>
      </c>
    </row>
    <row r="3022" spans="1:47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99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891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909"/>
        <v>1</v>
      </c>
      <c r="Z3022" s="18">
        <f t="shared" si="908"/>
        <v>11530000</v>
      </c>
      <c r="AA3022" s="13">
        <v>5.8700000000000002E-2</v>
      </c>
      <c r="AB3022" s="21">
        <f t="shared" si="894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895"/>
        <v>499582152.5142017</v>
      </c>
      <c r="AJ3022" s="19">
        <f t="shared" si="896"/>
        <v>59520528.679470733</v>
      </c>
      <c r="AK3022" s="20">
        <f t="shared" si="902"/>
        <v>0.11914062257814291</v>
      </c>
      <c r="AL3022" s="17"/>
      <c r="AM3022" s="17"/>
      <c r="AN3022" s="17"/>
      <c r="AO3022" s="17"/>
      <c r="AP3022" s="28" t="str">
        <f t="shared" si="903"/>
        <v>CancelCancel</v>
      </c>
      <c r="AQ3022" s="28" t="str">
        <f t="shared" si="904"/>
        <v>CancelCancelJPY</v>
      </c>
      <c r="AR3022" s="206" t="str">
        <f t="shared" si="905"/>
        <v>YAMAHA_Mounter</v>
      </c>
      <c r="AS3022" s="22" t="str">
        <f t="shared" si="906"/>
        <v/>
      </c>
      <c r="AT3022" s="24" t="str">
        <f t="shared" si="907"/>
        <v/>
      </c>
      <c r="AU3022" s="22" t="s">
        <v>3745</v>
      </c>
    </row>
    <row r="3023" spans="1:47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99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891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909"/>
        <v>1</v>
      </c>
      <c r="Z3023" s="18">
        <f t="shared" si="908"/>
        <v>11530000</v>
      </c>
      <c r="AA3023" s="13">
        <v>5.8700000000000002E-2</v>
      </c>
      <c r="AB3023" s="21">
        <f t="shared" si="894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895"/>
        <v>499582152.5142017</v>
      </c>
      <c r="AJ3023" s="19">
        <f t="shared" si="896"/>
        <v>59520528.679470733</v>
      </c>
      <c r="AK3023" s="20">
        <f t="shared" si="902"/>
        <v>0.11914062257814291</v>
      </c>
      <c r="AL3023" s="17"/>
      <c r="AM3023" s="17"/>
      <c r="AN3023" s="17"/>
      <c r="AO3023" s="17"/>
      <c r="AP3023" s="28" t="str">
        <f t="shared" si="903"/>
        <v>CancelCancel</v>
      </c>
      <c r="AQ3023" s="28" t="str">
        <f t="shared" si="904"/>
        <v>CancelCancelJPY</v>
      </c>
      <c r="AR3023" s="206" t="str">
        <f t="shared" si="905"/>
        <v>YAMAHA_Mounter</v>
      </c>
      <c r="AS3023" s="22" t="str">
        <f t="shared" si="906"/>
        <v/>
      </c>
      <c r="AT3023" s="24" t="str">
        <f t="shared" si="907"/>
        <v/>
      </c>
      <c r="AU3023" s="22" t="s">
        <v>3745</v>
      </c>
    </row>
    <row r="3024" spans="1:47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99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891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909"/>
        <v>1</v>
      </c>
      <c r="Z3024" s="18">
        <f t="shared" si="908"/>
        <v>11530000</v>
      </c>
      <c r="AA3024" s="13">
        <v>5.8700000000000002E-2</v>
      </c>
      <c r="AB3024" s="21">
        <f t="shared" si="894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895"/>
        <v>499582152.5142017</v>
      </c>
      <c r="AJ3024" s="19">
        <f t="shared" si="896"/>
        <v>59520528.679470733</v>
      </c>
      <c r="AK3024" s="20">
        <f t="shared" si="902"/>
        <v>0.11914062257814291</v>
      </c>
      <c r="AL3024" s="17"/>
      <c r="AM3024" s="17"/>
      <c r="AN3024" s="17"/>
      <c r="AO3024" s="17"/>
      <c r="AP3024" s="28" t="str">
        <f t="shared" si="903"/>
        <v>CancelCancel</v>
      </c>
      <c r="AQ3024" s="28" t="str">
        <f t="shared" si="904"/>
        <v>CancelCancelJPY</v>
      </c>
      <c r="AR3024" s="206" t="str">
        <f t="shared" si="905"/>
        <v>YAMAHA_Mounter</v>
      </c>
      <c r="AS3024" s="22" t="str">
        <f t="shared" si="906"/>
        <v/>
      </c>
      <c r="AT3024" s="24" t="str">
        <f t="shared" si="907"/>
        <v/>
      </c>
      <c r="AU3024" s="22" t="s">
        <v>3745</v>
      </c>
    </row>
    <row r="3025" spans="1:47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99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891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909"/>
        <v>1</v>
      </c>
      <c r="Z3025" s="18">
        <f t="shared" si="908"/>
        <v>7500000</v>
      </c>
      <c r="AA3025" s="13">
        <v>5.8700000000000002E-2</v>
      </c>
      <c r="AB3025" s="21">
        <f t="shared" si="894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895"/>
        <v>499582152.5142017</v>
      </c>
      <c r="AJ3025" s="19">
        <f t="shared" si="896"/>
        <v>59520528.679470733</v>
      </c>
      <c r="AK3025" s="20">
        <f t="shared" si="902"/>
        <v>0.11914062257814291</v>
      </c>
      <c r="AL3025" s="17"/>
      <c r="AM3025" s="17"/>
      <c r="AN3025" s="17"/>
      <c r="AO3025" s="17"/>
      <c r="AP3025" s="28" t="str">
        <f t="shared" si="903"/>
        <v>CancelCancel</v>
      </c>
      <c r="AQ3025" s="28" t="str">
        <f t="shared" si="904"/>
        <v>CancelCancelJPY</v>
      </c>
      <c r="AR3025" s="206" t="str">
        <f t="shared" si="905"/>
        <v>YAMAHA_Mounter</v>
      </c>
      <c r="AS3025" s="22" t="str">
        <f t="shared" si="906"/>
        <v/>
      </c>
      <c r="AT3025" s="24" t="str">
        <f t="shared" si="907"/>
        <v/>
      </c>
      <c r="AU3025" s="22" t="s">
        <v>3745</v>
      </c>
    </row>
    <row r="3026" spans="1:47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99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891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909"/>
        <v>1</v>
      </c>
      <c r="Z3026" s="18">
        <f t="shared" si="908"/>
        <v>7500000</v>
      </c>
      <c r="AA3026" s="13">
        <v>5.8700000000000002E-2</v>
      </c>
      <c r="AB3026" s="21">
        <f t="shared" si="894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895"/>
        <v>499582152.5142017</v>
      </c>
      <c r="AJ3026" s="19">
        <f t="shared" si="896"/>
        <v>59520528.679470733</v>
      </c>
      <c r="AK3026" s="20">
        <f t="shared" si="902"/>
        <v>0.11914062257814291</v>
      </c>
      <c r="AL3026" s="17"/>
      <c r="AM3026" s="17"/>
      <c r="AN3026" s="17"/>
      <c r="AO3026" s="17"/>
      <c r="AP3026" s="28" t="str">
        <f t="shared" si="903"/>
        <v>CancelCancel</v>
      </c>
      <c r="AQ3026" s="28" t="str">
        <f t="shared" si="904"/>
        <v>CancelCancelJPY</v>
      </c>
      <c r="AR3026" s="206" t="str">
        <f t="shared" si="905"/>
        <v>YAMAHA_Mounter</v>
      </c>
      <c r="AS3026" s="22" t="str">
        <f t="shared" si="906"/>
        <v/>
      </c>
      <c r="AT3026" s="24" t="str">
        <f t="shared" si="907"/>
        <v/>
      </c>
      <c r="AU3026" s="22" t="s">
        <v>3745</v>
      </c>
    </row>
    <row r="3027" spans="1:47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99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891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909"/>
        <v>1</v>
      </c>
      <c r="Z3027" s="18">
        <f t="shared" si="908"/>
        <v>7500000</v>
      </c>
      <c r="AA3027" s="13">
        <v>5.8700000000000002E-2</v>
      </c>
      <c r="AB3027" s="21">
        <f t="shared" si="894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895"/>
        <v>499582152.5142017</v>
      </c>
      <c r="AJ3027" s="19">
        <f t="shared" si="896"/>
        <v>59520528.679470733</v>
      </c>
      <c r="AK3027" s="20">
        <f t="shared" si="902"/>
        <v>0.11914062257814291</v>
      </c>
      <c r="AL3027" s="17"/>
      <c r="AM3027" s="17"/>
      <c r="AN3027" s="17"/>
      <c r="AO3027" s="17"/>
      <c r="AP3027" s="28" t="str">
        <f t="shared" si="903"/>
        <v>CancelCancel</v>
      </c>
      <c r="AQ3027" s="28" t="str">
        <f t="shared" si="904"/>
        <v>CancelCancelJPY</v>
      </c>
      <c r="AR3027" s="206" t="str">
        <f t="shared" si="905"/>
        <v>YAMAHA_Mounter</v>
      </c>
      <c r="AS3027" s="22" t="str">
        <f t="shared" si="906"/>
        <v/>
      </c>
      <c r="AT3027" s="24" t="str">
        <f t="shared" si="907"/>
        <v/>
      </c>
      <c r="AU3027" s="22" t="s">
        <v>3745</v>
      </c>
    </row>
    <row r="3028" spans="1:47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99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891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909"/>
        <v>1</v>
      </c>
      <c r="Z3028" s="18">
        <f t="shared" si="908"/>
        <v>7500000</v>
      </c>
      <c r="AA3028" s="13">
        <v>5.8700000000000002E-2</v>
      </c>
      <c r="AB3028" s="21">
        <f t="shared" si="894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895"/>
        <v>499582152.5142017</v>
      </c>
      <c r="AJ3028" s="19">
        <f t="shared" si="896"/>
        <v>59520528.679470733</v>
      </c>
      <c r="AK3028" s="20">
        <f t="shared" si="902"/>
        <v>0.11914062257814291</v>
      </c>
      <c r="AL3028" s="17"/>
      <c r="AM3028" s="17"/>
      <c r="AN3028" s="17"/>
      <c r="AO3028" s="17"/>
      <c r="AP3028" s="28" t="str">
        <f t="shared" si="903"/>
        <v>CancelCancel</v>
      </c>
      <c r="AQ3028" s="28" t="str">
        <f t="shared" si="904"/>
        <v>CancelCancelJPY</v>
      </c>
      <c r="AR3028" s="206" t="str">
        <f t="shared" si="905"/>
        <v>YAMAHA_Mounter</v>
      </c>
      <c r="AS3028" s="22" t="str">
        <f t="shared" si="906"/>
        <v/>
      </c>
      <c r="AT3028" s="24" t="str">
        <f t="shared" si="907"/>
        <v/>
      </c>
      <c r="AU3028" s="22" t="s">
        <v>3745</v>
      </c>
    </row>
    <row r="3029" spans="1:47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891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909"/>
        <v>1</v>
      </c>
      <c r="Z3029" s="18">
        <f t="shared" si="908"/>
        <v>10500000</v>
      </c>
      <c r="AA3029" s="13">
        <v>7.2800000000000004E-2</v>
      </c>
      <c r="AB3029" s="21">
        <f t="shared" si="894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895"/>
        <v>63006605.696460173</v>
      </c>
      <c r="AJ3029" s="19">
        <f t="shared" si="896"/>
        <v>8897485.660753984</v>
      </c>
      <c r="AK3029" s="20">
        <f t="shared" si="902"/>
        <v>0.141215124388995</v>
      </c>
      <c r="AL3029" s="17"/>
      <c r="AM3029" s="17"/>
      <c r="AN3029" s="17"/>
      <c r="AO3029" s="17"/>
      <c r="AP3029" s="28" t="str">
        <f t="shared" si="903"/>
        <v>20215</v>
      </c>
      <c r="AQ3029" s="28" t="str">
        <f t="shared" si="904"/>
        <v>20215JPY</v>
      </c>
      <c r="AR3029" s="206" t="str">
        <f t="shared" si="905"/>
        <v>YAMAHA_Mounter</v>
      </c>
      <c r="AS3029" s="22">
        <f t="shared" si="906"/>
        <v>3</v>
      </c>
      <c r="AT3029" s="24" t="str">
        <f t="shared" si="907"/>
        <v>0-3 months</v>
      </c>
      <c r="AU3029" s="22" t="s">
        <v>3745</v>
      </c>
    </row>
    <row r="3030" spans="1:47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910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909"/>
        <v>1</v>
      </c>
      <c r="Z3030" s="18">
        <f t="shared" si="908"/>
        <v>11530000</v>
      </c>
      <c r="AA3030" s="13">
        <v>6.54E-2</v>
      </c>
      <c r="AB3030" s="21">
        <f t="shared" si="894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895"/>
        <v>46600814.041769907</v>
      </c>
      <c r="AJ3030" s="19">
        <f t="shared" si="896"/>
        <v>5956366.3435927071</v>
      </c>
      <c r="AK3030" s="20">
        <f t="shared" si="902"/>
        <v>0.1278167874546958</v>
      </c>
      <c r="AL3030" s="17"/>
      <c r="AM3030" s="17"/>
      <c r="AN3030" s="17"/>
      <c r="AO3030" s="17"/>
      <c r="AP3030" s="28" t="str">
        <f t="shared" si="903"/>
        <v>20224</v>
      </c>
      <c r="AQ3030" s="28" t="str">
        <f t="shared" si="904"/>
        <v>20224JPY</v>
      </c>
      <c r="AR3030" s="206" t="str">
        <f t="shared" si="905"/>
        <v>YAMAHA_Mounter</v>
      </c>
      <c r="AS3030" s="22">
        <f t="shared" si="906"/>
        <v>12</v>
      </c>
      <c r="AT3030" s="24" t="str">
        <f t="shared" si="907"/>
        <v>&gt; 6 months</v>
      </c>
      <c r="AU3030" s="22" t="s">
        <v>3745</v>
      </c>
    </row>
    <row r="3031" spans="1:47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910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909"/>
        <v>1</v>
      </c>
      <c r="Z3031" s="18">
        <f t="shared" si="908"/>
        <v>7500000</v>
      </c>
      <c r="AA3031" s="13">
        <v>6.54E-2</v>
      </c>
      <c r="AB3031" s="21">
        <f t="shared" si="894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895"/>
        <v>46600814.041769907</v>
      </c>
      <c r="AJ3031" s="19">
        <f t="shared" si="896"/>
        <v>5956366.3435927071</v>
      </c>
      <c r="AK3031" s="20">
        <f t="shared" si="902"/>
        <v>0.1278167874546958</v>
      </c>
      <c r="AL3031" s="17"/>
      <c r="AM3031" s="17"/>
      <c r="AN3031" s="17"/>
      <c r="AO3031" s="17"/>
      <c r="AP3031" s="28" t="str">
        <f t="shared" si="903"/>
        <v>20224</v>
      </c>
      <c r="AQ3031" s="28" t="str">
        <f t="shared" si="904"/>
        <v>20224JPY</v>
      </c>
      <c r="AR3031" s="206" t="str">
        <f t="shared" si="905"/>
        <v>YAMAHA_Mounter</v>
      </c>
      <c r="AS3031" s="22">
        <f t="shared" si="906"/>
        <v>12</v>
      </c>
      <c r="AT3031" s="24" t="str">
        <f t="shared" si="907"/>
        <v>&gt; 6 months</v>
      </c>
      <c r="AU3031" s="22" t="s">
        <v>3745</v>
      </c>
    </row>
    <row r="3032" spans="1:47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910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909"/>
        <v>1</v>
      </c>
      <c r="Z3032" s="18">
        <f t="shared" si="908"/>
        <v>11530000</v>
      </c>
      <c r="AA3032" s="13">
        <v>5.8700000000000002E-2</v>
      </c>
      <c r="AB3032" s="21">
        <f t="shared" si="894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895"/>
        <v>36480247.665929198</v>
      </c>
      <c r="AJ3032" s="19">
        <f t="shared" si="896"/>
        <v>5330996.6372757526</v>
      </c>
      <c r="AK3032" s="20">
        <f t="shared" si="902"/>
        <v>0.14613378412599562</v>
      </c>
      <c r="AL3032" s="17"/>
      <c r="AM3032" s="17"/>
      <c r="AN3032" s="17"/>
      <c r="AO3032" s="17"/>
      <c r="AP3032" s="28" t="str">
        <f t="shared" si="903"/>
        <v>20227</v>
      </c>
      <c r="AQ3032" s="28" t="str">
        <f t="shared" si="904"/>
        <v>20227JPY</v>
      </c>
      <c r="AR3032" s="206" t="str">
        <f t="shared" si="905"/>
        <v>YAMAHA_Mounter</v>
      </c>
      <c r="AS3032" s="22">
        <f t="shared" si="906"/>
        <v>15</v>
      </c>
      <c r="AT3032" s="24" t="str">
        <f t="shared" si="907"/>
        <v>&gt; 6 months</v>
      </c>
      <c r="AU3032" s="22" t="s">
        <v>3745</v>
      </c>
    </row>
    <row r="3033" spans="1:47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910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909"/>
        <v>1</v>
      </c>
      <c r="Z3033" s="18">
        <f t="shared" si="908"/>
        <v>7500000</v>
      </c>
      <c r="AA3033" s="13">
        <v>5.8700000000000002E-2</v>
      </c>
      <c r="AB3033" s="21">
        <f t="shared" si="894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895"/>
        <v>36480247.665929198</v>
      </c>
      <c r="AJ3033" s="19">
        <f t="shared" si="896"/>
        <v>5330996.6372757526</v>
      </c>
      <c r="AK3033" s="20">
        <f t="shared" si="902"/>
        <v>0.14613378412599562</v>
      </c>
      <c r="AL3033" s="17"/>
      <c r="AM3033" s="17"/>
      <c r="AN3033" s="17"/>
      <c r="AO3033" s="17"/>
      <c r="AP3033" s="28" t="str">
        <f t="shared" si="903"/>
        <v>20227</v>
      </c>
      <c r="AQ3033" s="28" t="str">
        <f t="shared" si="904"/>
        <v>20227JPY</v>
      </c>
      <c r="AR3033" s="206" t="str">
        <f t="shared" si="905"/>
        <v>YAMAHA_Mounter</v>
      </c>
      <c r="AS3033" s="22">
        <f t="shared" si="906"/>
        <v>15</v>
      </c>
      <c r="AT3033" s="24" t="str">
        <f t="shared" si="907"/>
        <v>&gt; 6 months</v>
      </c>
      <c r="AU3033" s="22" t="s">
        <v>3745</v>
      </c>
    </row>
    <row r="3034" spans="1:47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99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910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908"/>
        <v>11800000</v>
      </c>
      <c r="AA3034" s="13">
        <v>5.6300000000000003E-2</v>
      </c>
      <c r="AB3034" s="21">
        <f t="shared" si="894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895"/>
        <v>499582152.5142017</v>
      </c>
      <c r="AJ3034" s="19">
        <f t="shared" si="896"/>
        <v>59520528.679470733</v>
      </c>
      <c r="AK3034" s="20">
        <f t="shared" si="902"/>
        <v>0.11914062257814291</v>
      </c>
      <c r="AL3034" s="17"/>
      <c r="AM3034" s="17"/>
      <c r="AN3034" s="17"/>
      <c r="AO3034" s="17"/>
      <c r="AP3034" s="28" t="str">
        <f t="shared" si="903"/>
        <v>CancelCancel</v>
      </c>
      <c r="AQ3034" s="28" t="str">
        <f t="shared" si="904"/>
        <v>CancelCancelJPY</v>
      </c>
      <c r="AR3034" s="206" t="str">
        <f t="shared" si="905"/>
        <v>YAMAHA_Mounter</v>
      </c>
      <c r="AS3034" s="22" t="str">
        <f t="shared" si="906"/>
        <v/>
      </c>
      <c r="AT3034" s="24" t="str">
        <f t="shared" si="907"/>
        <v/>
      </c>
      <c r="AU3034" s="22" t="s">
        <v>3744</v>
      </c>
    </row>
    <row r="3035" spans="1:47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99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910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908"/>
        <v>11800000</v>
      </c>
      <c r="AA3035" s="13">
        <v>5.6300000000000003E-2</v>
      </c>
      <c r="AB3035" s="21">
        <f t="shared" si="894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895"/>
        <v>499582152.5142017</v>
      </c>
      <c r="AJ3035" s="19">
        <f t="shared" si="896"/>
        <v>59520528.679470733</v>
      </c>
      <c r="AK3035" s="20">
        <f t="shared" si="902"/>
        <v>0.11914062257814291</v>
      </c>
      <c r="AL3035" s="17"/>
      <c r="AM3035" s="17"/>
      <c r="AN3035" s="17"/>
      <c r="AO3035" s="17"/>
      <c r="AP3035" s="28" t="str">
        <f t="shared" si="903"/>
        <v>CancelCancel</v>
      </c>
      <c r="AQ3035" s="28" t="str">
        <f t="shared" si="904"/>
        <v>CancelCancelJPY</v>
      </c>
      <c r="AR3035" s="206" t="str">
        <f t="shared" si="905"/>
        <v>YAMAHA_Mounter</v>
      </c>
      <c r="AS3035" s="22" t="str">
        <f t="shared" si="906"/>
        <v/>
      </c>
      <c r="AT3035" s="24" t="str">
        <f t="shared" si="907"/>
        <v/>
      </c>
      <c r="AU3035" s="22" t="s">
        <v>3744</v>
      </c>
    </row>
    <row r="3036" spans="1:47" s="12" customFormat="1">
      <c r="A3036" s="33" t="str">
        <f t="shared" si="897"/>
        <v>cancel</v>
      </c>
      <c r="B3036" s="152"/>
      <c r="C3036" s="152" t="s">
        <v>185</v>
      </c>
      <c r="D3036" s="33" t="str">
        <f t="shared" si="898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99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910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911">IF(W3036="RMB","1.13", "1")</f>
        <v>1</v>
      </c>
      <c r="Z3036" s="18">
        <f t="shared" si="908"/>
        <v>12800000</v>
      </c>
      <c r="AA3036" s="13">
        <v>7.6100000000000001E-2</v>
      </c>
      <c r="AB3036" s="21">
        <f t="shared" si="894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895"/>
        <v>499582152.5142017</v>
      </c>
      <c r="AJ3036" s="19">
        <f t="shared" si="896"/>
        <v>59520528.679470733</v>
      </c>
      <c r="AK3036" s="20">
        <f t="shared" si="902"/>
        <v>0.11914062257814291</v>
      </c>
      <c r="AL3036" s="17" t="s">
        <v>185</v>
      </c>
      <c r="AM3036" s="17"/>
      <c r="AN3036" s="17"/>
      <c r="AO3036" s="17"/>
      <c r="AP3036" s="28" t="str">
        <f t="shared" si="903"/>
        <v>CancelCancel</v>
      </c>
      <c r="AQ3036" s="28" t="str">
        <f t="shared" si="904"/>
        <v>CancelCancelJPY</v>
      </c>
      <c r="AR3036" s="206" t="str">
        <f t="shared" si="905"/>
        <v>YAMAHA_Mounter</v>
      </c>
      <c r="AS3036" s="22" t="str">
        <f t="shared" si="906"/>
        <v/>
      </c>
      <c r="AT3036" s="24" t="str">
        <f t="shared" si="907"/>
        <v/>
      </c>
      <c r="AU3036" s="22" t="s">
        <v>3745</v>
      </c>
    </row>
    <row r="3037" spans="1:47" s="12" customFormat="1">
      <c r="A3037" s="33" t="str">
        <f t="shared" si="897"/>
        <v>cancel</v>
      </c>
      <c r="B3037" s="152"/>
      <c r="C3037" s="152" t="s">
        <v>185</v>
      </c>
      <c r="D3037" s="33" t="str">
        <f t="shared" si="898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99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910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911"/>
        <v>1</v>
      </c>
      <c r="Z3037" s="18">
        <f t="shared" si="908"/>
        <v>12800000</v>
      </c>
      <c r="AA3037" s="13">
        <v>7.6100000000000001E-2</v>
      </c>
      <c r="AB3037" s="21">
        <f t="shared" si="894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895"/>
        <v>499582152.5142017</v>
      </c>
      <c r="AJ3037" s="19">
        <f t="shared" si="896"/>
        <v>59520528.679470733</v>
      </c>
      <c r="AK3037" s="20">
        <f t="shared" si="902"/>
        <v>0.11914062257814291</v>
      </c>
      <c r="AL3037" s="17"/>
      <c r="AM3037" s="17"/>
      <c r="AN3037" s="17"/>
      <c r="AO3037" s="17"/>
      <c r="AP3037" s="28" t="str">
        <f t="shared" si="903"/>
        <v>CancelCancel</v>
      </c>
      <c r="AQ3037" s="28" t="str">
        <f t="shared" si="904"/>
        <v>CancelCancelJPY</v>
      </c>
      <c r="AR3037" s="206" t="str">
        <f t="shared" si="905"/>
        <v>YAMAHA_Mounter</v>
      </c>
      <c r="AS3037" s="22" t="str">
        <f t="shared" si="906"/>
        <v/>
      </c>
      <c r="AT3037" s="24" t="str">
        <f t="shared" si="907"/>
        <v/>
      </c>
      <c r="AU3037" s="22" t="s">
        <v>3745</v>
      </c>
    </row>
    <row r="3038" spans="1:47" s="12" customFormat="1">
      <c r="A3038" s="33" t="str">
        <f t="shared" si="897"/>
        <v>cancel</v>
      </c>
      <c r="B3038" s="152"/>
      <c r="C3038" s="152" t="s">
        <v>185</v>
      </c>
      <c r="D3038" s="33" t="str">
        <f t="shared" si="898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99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910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911"/>
        <v>1</v>
      </c>
      <c r="Z3038" s="18">
        <f t="shared" si="908"/>
        <v>7348000</v>
      </c>
      <c r="AA3038" s="13">
        <v>7.6100000000000001E-2</v>
      </c>
      <c r="AB3038" s="21">
        <f t="shared" si="894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895"/>
        <v>499582152.5142017</v>
      </c>
      <c r="AJ3038" s="19">
        <f t="shared" si="896"/>
        <v>59520528.679470733</v>
      </c>
      <c r="AK3038" s="20">
        <f t="shared" si="902"/>
        <v>0.11914062257814291</v>
      </c>
      <c r="AL3038" s="17"/>
      <c r="AM3038" s="17"/>
      <c r="AN3038" s="17"/>
      <c r="AO3038" s="17"/>
      <c r="AP3038" s="28" t="str">
        <f t="shared" si="903"/>
        <v>CancelCancel</v>
      </c>
      <c r="AQ3038" s="28" t="str">
        <f t="shared" si="904"/>
        <v>CancelCancelJPY</v>
      </c>
      <c r="AR3038" s="206" t="str">
        <f t="shared" si="905"/>
        <v>YAMAHA_Mounter</v>
      </c>
      <c r="AS3038" s="22" t="str">
        <f t="shared" si="906"/>
        <v/>
      </c>
      <c r="AT3038" s="24" t="str">
        <f t="shared" si="907"/>
        <v/>
      </c>
      <c r="AU3038" s="22" t="s">
        <v>3745</v>
      </c>
    </row>
    <row r="3039" spans="1:47" s="12" customFormat="1">
      <c r="A3039" s="33" t="str">
        <f t="shared" si="897"/>
        <v>cancel</v>
      </c>
      <c r="B3039" s="152"/>
      <c r="C3039" s="152" t="s">
        <v>185</v>
      </c>
      <c r="D3039" s="33" t="str">
        <f t="shared" si="898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99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910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911"/>
        <v>1</v>
      </c>
      <c r="Z3039" s="18">
        <f t="shared" si="908"/>
        <v>7348000</v>
      </c>
      <c r="AA3039" s="13">
        <v>7.6100000000000001E-2</v>
      </c>
      <c r="AB3039" s="21">
        <f t="shared" si="894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895"/>
        <v>499582152.5142017</v>
      </c>
      <c r="AJ3039" s="19">
        <f t="shared" si="896"/>
        <v>59520528.679470733</v>
      </c>
      <c r="AK3039" s="20">
        <f t="shared" si="902"/>
        <v>0.11914062257814291</v>
      </c>
      <c r="AL3039" s="17"/>
      <c r="AM3039" s="17"/>
      <c r="AN3039" s="17"/>
      <c r="AO3039" s="17"/>
      <c r="AP3039" s="28" t="str">
        <f t="shared" si="903"/>
        <v>CancelCancel</v>
      </c>
      <c r="AQ3039" s="28" t="str">
        <f t="shared" si="904"/>
        <v>CancelCancelJPY</v>
      </c>
      <c r="AR3039" s="206" t="str">
        <f t="shared" si="905"/>
        <v>YAMAHA_Mounter</v>
      </c>
      <c r="AS3039" s="22" t="str">
        <f t="shared" si="906"/>
        <v/>
      </c>
      <c r="AT3039" s="24" t="str">
        <f t="shared" si="907"/>
        <v/>
      </c>
      <c r="AU3039" s="22" t="s">
        <v>3745</v>
      </c>
    </row>
    <row r="3040" spans="1:47" s="12" customFormat="1">
      <c r="A3040" s="33" t="str">
        <f t="shared" si="897"/>
        <v>cancel</v>
      </c>
      <c r="B3040" s="152"/>
      <c r="C3040" s="152" t="s">
        <v>185</v>
      </c>
      <c r="D3040" s="33" t="str">
        <f t="shared" si="898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99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910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911"/>
        <v>1</v>
      </c>
      <c r="Z3040" s="18">
        <f t="shared" si="908"/>
        <v>15000000</v>
      </c>
      <c r="AA3040" s="13">
        <v>7.4499999999999997E-2</v>
      </c>
      <c r="AB3040" s="21">
        <f t="shared" si="894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895"/>
        <v>499582152.5142017</v>
      </c>
      <c r="AJ3040" s="19">
        <f t="shared" si="896"/>
        <v>59520528.679470733</v>
      </c>
      <c r="AK3040" s="20">
        <f t="shared" si="902"/>
        <v>0.11914062257814291</v>
      </c>
      <c r="AL3040" s="17"/>
      <c r="AM3040" s="17"/>
      <c r="AN3040" s="17"/>
      <c r="AO3040" s="17"/>
      <c r="AP3040" s="28" t="str">
        <f t="shared" si="903"/>
        <v>CancelCancel</v>
      </c>
      <c r="AQ3040" s="28" t="str">
        <f t="shared" si="904"/>
        <v>CancelCancelJPY</v>
      </c>
      <c r="AR3040" s="206" t="str">
        <f t="shared" si="905"/>
        <v>YAMAHA_Mounter</v>
      </c>
      <c r="AS3040" s="22" t="str">
        <f t="shared" si="906"/>
        <v/>
      </c>
      <c r="AT3040" s="24" t="str">
        <f t="shared" si="907"/>
        <v/>
      </c>
      <c r="AU3040" s="22" t="s">
        <v>3745</v>
      </c>
    </row>
    <row r="3041" spans="1:47" s="12" customFormat="1">
      <c r="A3041" s="33" t="str">
        <f t="shared" si="897"/>
        <v>cancel</v>
      </c>
      <c r="B3041" s="152"/>
      <c r="C3041" s="152" t="s">
        <v>185</v>
      </c>
      <c r="D3041" s="33" t="str">
        <f t="shared" si="898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99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910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911"/>
        <v>1</v>
      </c>
      <c r="Z3041" s="18">
        <f t="shared" si="908"/>
        <v>11530000</v>
      </c>
      <c r="AA3041" s="13">
        <v>7.4499999999999997E-2</v>
      </c>
      <c r="AB3041" s="21">
        <f t="shared" si="894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895"/>
        <v>499582152.5142017</v>
      </c>
      <c r="AJ3041" s="19">
        <f t="shared" si="896"/>
        <v>59520528.679470733</v>
      </c>
      <c r="AK3041" s="20">
        <f t="shared" si="902"/>
        <v>0.11914062257814291</v>
      </c>
      <c r="AL3041" s="17"/>
      <c r="AM3041" s="17"/>
      <c r="AN3041" s="17"/>
      <c r="AO3041" s="17"/>
      <c r="AP3041" s="28" t="str">
        <f t="shared" si="903"/>
        <v>CancelCancel</v>
      </c>
      <c r="AQ3041" s="28" t="str">
        <f t="shared" si="904"/>
        <v>CancelCancelJPY</v>
      </c>
      <c r="AR3041" s="206" t="str">
        <f t="shared" si="905"/>
        <v>YAMAHA_Mounter</v>
      </c>
      <c r="AS3041" s="22" t="str">
        <f t="shared" si="906"/>
        <v/>
      </c>
      <c r="AT3041" s="24" t="str">
        <f t="shared" si="907"/>
        <v/>
      </c>
      <c r="AU3041" s="22" t="s">
        <v>3745</v>
      </c>
    </row>
    <row r="3042" spans="1:47" s="12" customFormat="1">
      <c r="A3042" s="33" t="str">
        <f t="shared" si="897"/>
        <v>cancel</v>
      </c>
      <c r="B3042" s="152"/>
      <c r="C3042" s="152" t="s">
        <v>185</v>
      </c>
      <c r="D3042" s="33" t="str">
        <f t="shared" si="898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99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910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911"/>
        <v>1</v>
      </c>
      <c r="Z3042" s="18">
        <f t="shared" si="908"/>
        <v>11530000</v>
      </c>
      <c r="AA3042" s="13">
        <v>7.4499999999999997E-2</v>
      </c>
      <c r="AB3042" s="21">
        <f t="shared" si="894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895"/>
        <v>499582152.5142017</v>
      </c>
      <c r="AJ3042" s="19">
        <f t="shared" si="896"/>
        <v>59520528.679470733</v>
      </c>
      <c r="AK3042" s="20">
        <f t="shared" si="902"/>
        <v>0.11914062257814291</v>
      </c>
      <c r="AL3042" s="17"/>
      <c r="AM3042" s="17"/>
      <c r="AN3042" s="17"/>
      <c r="AO3042" s="17"/>
      <c r="AP3042" s="28" t="str">
        <f t="shared" si="903"/>
        <v>CancelCancel</v>
      </c>
      <c r="AQ3042" s="28" t="str">
        <f t="shared" si="904"/>
        <v>CancelCancelJPY</v>
      </c>
      <c r="AR3042" s="206" t="str">
        <f t="shared" si="905"/>
        <v>YAMAHA_Mounter</v>
      </c>
      <c r="AS3042" s="22" t="str">
        <f t="shared" si="906"/>
        <v/>
      </c>
      <c r="AT3042" s="24" t="str">
        <f t="shared" si="907"/>
        <v/>
      </c>
      <c r="AU3042" s="22" t="s">
        <v>3745</v>
      </c>
    </row>
    <row r="3043" spans="1:47" s="12" customFormat="1">
      <c r="A3043" s="33" t="str">
        <f t="shared" si="897"/>
        <v>cancel</v>
      </c>
      <c r="B3043" s="152"/>
      <c r="C3043" s="152" t="s">
        <v>185</v>
      </c>
      <c r="D3043" s="33" t="str">
        <f t="shared" si="898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99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910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911"/>
        <v>1</v>
      </c>
      <c r="Z3043" s="18">
        <f t="shared" si="908"/>
        <v>7500000</v>
      </c>
      <c r="AA3043" s="13">
        <v>7.4499999999999997E-2</v>
      </c>
      <c r="AB3043" s="21">
        <f t="shared" si="894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895"/>
        <v>499582152.5142017</v>
      </c>
      <c r="AJ3043" s="19">
        <f t="shared" si="896"/>
        <v>59520528.679470733</v>
      </c>
      <c r="AK3043" s="20">
        <f t="shared" si="902"/>
        <v>0.11914062257814291</v>
      </c>
      <c r="AL3043" s="17"/>
      <c r="AM3043" s="17"/>
      <c r="AN3043" s="17"/>
      <c r="AO3043" s="17"/>
      <c r="AP3043" s="28" t="str">
        <f t="shared" si="903"/>
        <v>CancelCancel</v>
      </c>
      <c r="AQ3043" s="28" t="str">
        <f t="shared" si="904"/>
        <v>CancelCancelJPY</v>
      </c>
      <c r="AR3043" s="206" t="str">
        <f t="shared" si="905"/>
        <v>YAMAHA_Mounter</v>
      </c>
      <c r="AS3043" s="22" t="str">
        <f t="shared" si="906"/>
        <v/>
      </c>
      <c r="AT3043" s="24" t="str">
        <f t="shared" si="907"/>
        <v/>
      </c>
      <c r="AU3043" s="22" t="s">
        <v>3745</v>
      </c>
    </row>
    <row r="3044" spans="1:47" s="12" customFormat="1">
      <c r="A3044" s="33" t="str">
        <f t="shared" si="897"/>
        <v>cancel</v>
      </c>
      <c r="B3044" s="152"/>
      <c r="C3044" s="152" t="s">
        <v>185</v>
      </c>
      <c r="D3044" s="33" t="str">
        <f t="shared" si="898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99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910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911"/>
        <v>1</v>
      </c>
      <c r="Z3044" s="18">
        <f t="shared" si="908"/>
        <v>7500000</v>
      </c>
      <c r="AA3044" s="13">
        <v>7.4499999999999997E-2</v>
      </c>
      <c r="AB3044" s="21">
        <f t="shared" si="894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895"/>
        <v>499582152.5142017</v>
      </c>
      <c r="AJ3044" s="19">
        <f t="shared" si="896"/>
        <v>59520528.679470733</v>
      </c>
      <c r="AK3044" s="20">
        <f t="shared" si="902"/>
        <v>0.11914062257814291</v>
      </c>
      <c r="AL3044" s="17"/>
      <c r="AM3044" s="17"/>
      <c r="AN3044" s="17"/>
      <c r="AO3044" s="17"/>
      <c r="AP3044" s="28" t="str">
        <f t="shared" si="903"/>
        <v>CancelCancel</v>
      </c>
      <c r="AQ3044" s="28" t="str">
        <f t="shared" si="904"/>
        <v>CancelCancelJPY</v>
      </c>
      <c r="AR3044" s="206" t="str">
        <f t="shared" si="905"/>
        <v>YAMAHA_Mounter</v>
      </c>
      <c r="AS3044" s="22" t="str">
        <f t="shared" si="906"/>
        <v/>
      </c>
      <c r="AT3044" s="24" t="str">
        <f t="shared" si="907"/>
        <v/>
      </c>
      <c r="AU3044" s="22" t="s">
        <v>3745</v>
      </c>
    </row>
    <row r="3045" spans="1:47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910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908"/>
        <v>970000</v>
      </c>
      <c r="AA3045" s="22">
        <v>1.0900000000000001</v>
      </c>
      <c r="AB3045" s="21">
        <f t="shared" si="894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895"/>
        <v>10524262.405309737</v>
      </c>
      <c r="AJ3045" s="27">
        <f t="shared" si="896"/>
        <v>1479050.9527127435</v>
      </c>
      <c r="AK3045" s="28">
        <f t="shared" si="902"/>
        <v>0.14053725532028996</v>
      </c>
      <c r="AL3045" s="24"/>
      <c r="AM3045" s="24"/>
      <c r="AN3045" s="24"/>
      <c r="AO3045" s="24"/>
      <c r="AP3045" s="28" t="str">
        <f t="shared" si="903"/>
        <v>20242</v>
      </c>
      <c r="AQ3045" s="28" t="str">
        <f t="shared" si="904"/>
        <v>20242RMB</v>
      </c>
      <c r="AR3045" s="206" t="str">
        <f t="shared" si="905"/>
        <v>YAMAHA_Mounter</v>
      </c>
      <c r="AS3045" s="22">
        <f t="shared" si="906"/>
        <v>1</v>
      </c>
      <c r="AT3045" s="24" t="str">
        <f t="shared" si="907"/>
        <v>0-3 months</v>
      </c>
      <c r="AU3045" s="22" t="s">
        <v>3750</v>
      </c>
    </row>
    <row r="3046" spans="1:47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910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908"/>
        <v>970000</v>
      </c>
      <c r="AA3046" s="22">
        <v>1.0900000000000001</v>
      </c>
      <c r="AB3046" s="21">
        <f t="shared" si="894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895"/>
        <v>10524262.405309737</v>
      </c>
      <c r="AJ3046" s="27">
        <f t="shared" si="896"/>
        <v>1479050.9527127435</v>
      </c>
      <c r="AK3046" s="28">
        <f t="shared" si="902"/>
        <v>0.14053725532028996</v>
      </c>
      <c r="AL3046" s="24"/>
      <c r="AM3046" s="24"/>
      <c r="AN3046" s="24"/>
      <c r="AO3046" s="24"/>
      <c r="AP3046" s="28" t="str">
        <f t="shared" si="903"/>
        <v>20242</v>
      </c>
      <c r="AQ3046" s="28" t="str">
        <f t="shared" si="904"/>
        <v>20242RMB</v>
      </c>
      <c r="AR3046" s="206" t="str">
        <f t="shared" si="905"/>
        <v>YAMAHA_Mounter</v>
      </c>
      <c r="AS3046" s="22">
        <f t="shared" si="906"/>
        <v>1</v>
      </c>
      <c r="AT3046" s="24" t="str">
        <f t="shared" si="907"/>
        <v>0-3 months</v>
      </c>
      <c r="AU3046" s="22" t="s">
        <v>3750</v>
      </c>
    </row>
    <row r="3047" spans="1:47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910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908"/>
        <v>21500000</v>
      </c>
      <c r="AA3047" s="13">
        <v>7.2099999999999997E-2</v>
      </c>
      <c r="AB3047" s="21">
        <f t="shared" si="894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895"/>
        <v>26754147.763010349</v>
      </c>
      <c r="AJ3047" s="19">
        <f t="shared" si="896"/>
        <v>3429137.9965357962</v>
      </c>
      <c r="AK3047" s="20">
        <f t="shared" si="902"/>
        <v>0.12817220069617921</v>
      </c>
      <c r="AL3047" s="17"/>
      <c r="AM3047" s="17"/>
      <c r="AN3047" s="17"/>
      <c r="AO3047" s="17"/>
      <c r="AP3047" s="28" t="str">
        <f t="shared" si="903"/>
        <v>20188</v>
      </c>
      <c r="AQ3047" s="28" t="str">
        <f t="shared" si="904"/>
        <v>20188JPY</v>
      </c>
      <c r="AR3047" s="206" t="str">
        <f t="shared" si="905"/>
        <v>YAMAHA_Mounter</v>
      </c>
      <c r="AS3047" s="22">
        <f t="shared" si="906"/>
        <v>1</v>
      </c>
      <c r="AT3047" s="24" t="str">
        <f t="shared" si="907"/>
        <v>0-3 months</v>
      </c>
      <c r="AU3047" s="22" t="s">
        <v>3744</v>
      </c>
    </row>
    <row r="3048" spans="1:47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910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908"/>
        <v>38500000</v>
      </c>
      <c r="AA3048" s="13">
        <v>7.3400000000000007E-2</v>
      </c>
      <c r="AB3048" s="21">
        <f t="shared" si="894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895"/>
        <v>34109166.105589926</v>
      </c>
      <c r="AJ3048" s="19">
        <f t="shared" si="896"/>
        <v>4642032.7199573703</v>
      </c>
      <c r="AK3048" s="20">
        <f t="shared" si="902"/>
        <v>0.13609340977692849</v>
      </c>
      <c r="AL3048" s="17"/>
      <c r="AM3048" s="17"/>
      <c r="AN3048" s="17"/>
      <c r="AO3048" s="17"/>
      <c r="AP3048" s="28" t="str">
        <f t="shared" si="903"/>
        <v>20185</v>
      </c>
      <c r="AQ3048" s="28" t="str">
        <f t="shared" si="904"/>
        <v>20185JPY</v>
      </c>
      <c r="AR3048" s="206" t="str">
        <f t="shared" si="905"/>
        <v>YAMAHA_Mounter</v>
      </c>
      <c r="AS3048" s="22">
        <f t="shared" si="906"/>
        <v>2</v>
      </c>
      <c r="AT3048" s="24" t="str">
        <f t="shared" si="907"/>
        <v>0-3 months</v>
      </c>
      <c r="AU3048" s="22" t="s">
        <v>3745</v>
      </c>
    </row>
    <row r="3049" spans="1:47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99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910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908"/>
        <v>28875000</v>
      </c>
      <c r="AA3049" s="13">
        <v>7.2099999999999997E-2</v>
      </c>
      <c r="AB3049" s="21">
        <f t="shared" si="894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895"/>
        <v>499582152.5142017</v>
      </c>
      <c r="AJ3049" s="19">
        <f t="shared" si="896"/>
        <v>59520528.679470733</v>
      </c>
      <c r="AK3049" s="20">
        <f t="shared" si="902"/>
        <v>0.11914062257814291</v>
      </c>
      <c r="AL3049" s="17"/>
      <c r="AM3049" s="17"/>
      <c r="AN3049" s="17"/>
      <c r="AO3049" s="17"/>
      <c r="AP3049" s="28" t="str">
        <f t="shared" si="903"/>
        <v>CancelCancel</v>
      </c>
      <c r="AQ3049" s="28" t="str">
        <f t="shared" si="904"/>
        <v>CancelCancelJPY</v>
      </c>
      <c r="AR3049" s="206" t="str">
        <f t="shared" si="905"/>
        <v>YAMAHA_Mounter</v>
      </c>
      <c r="AS3049" s="22" t="str">
        <f t="shared" si="906"/>
        <v/>
      </c>
      <c r="AT3049" s="24" t="str">
        <f t="shared" si="907"/>
        <v/>
      </c>
      <c r="AU3049" s="22" t="s">
        <v>3745</v>
      </c>
    </row>
    <row r="3050" spans="1:47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99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910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908"/>
        <v>9625000</v>
      </c>
      <c r="AA3050" s="13">
        <v>7.22E-2</v>
      </c>
      <c r="AB3050" s="21">
        <f t="shared" si="894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895"/>
        <v>499582152.5142017</v>
      </c>
      <c r="AJ3050" s="19">
        <f t="shared" si="896"/>
        <v>59520528.679470733</v>
      </c>
      <c r="AK3050" s="20">
        <f t="shared" si="902"/>
        <v>0.11914062257814291</v>
      </c>
      <c r="AL3050" s="17"/>
      <c r="AM3050" s="17"/>
      <c r="AN3050" s="17"/>
      <c r="AO3050" s="17"/>
      <c r="AP3050" s="28" t="str">
        <f t="shared" si="903"/>
        <v>CancelCancel</v>
      </c>
      <c r="AQ3050" s="28" t="str">
        <f t="shared" si="904"/>
        <v>CancelCancelJPY</v>
      </c>
      <c r="AR3050" s="206" t="str">
        <f t="shared" si="905"/>
        <v>YAMAHA_Mounter</v>
      </c>
      <c r="AS3050" s="22" t="str">
        <f t="shared" si="906"/>
        <v/>
      </c>
      <c r="AT3050" s="24" t="str">
        <f t="shared" si="907"/>
        <v/>
      </c>
      <c r="AU3050" s="22" t="s">
        <v>3745</v>
      </c>
    </row>
    <row r="3051" spans="1:47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910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908"/>
        <v>945000</v>
      </c>
      <c r="AA3051" s="13">
        <v>1.2</v>
      </c>
      <c r="AB3051" s="21">
        <f t="shared" si="894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895"/>
        <v>57778307.282035396</v>
      </c>
      <c r="AJ3051" s="19">
        <f t="shared" si="896"/>
        <v>7259860.7225420559</v>
      </c>
      <c r="AK3051" s="20">
        <f t="shared" si="902"/>
        <v>0.12565028406083667</v>
      </c>
      <c r="AL3051" s="17"/>
      <c r="AM3051" s="17"/>
      <c r="AN3051" s="17"/>
      <c r="AO3051" s="17"/>
      <c r="AP3051" s="28" t="str">
        <f t="shared" si="903"/>
        <v>20213</v>
      </c>
      <c r="AQ3051" s="28" t="str">
        <f t="shared" si="904"/>
        <v>20213RMB</v>
      </c>
      <c r="AR3051" s="206" t="str">
        <f t="shared" si="905"/>
        <v>YAMAHA_Mounter</v>
      </c>
      <c r="AS3051" s="22">
        <f t="shared" si="906"/>
        <v>4</v>
      </c>
      <c r="AT3051" s="24" t="str">
        <f t="shared" si="907"/>
        <v>4-6 months</v>
      </c>
      <c r="AU3051" s="22" t="s">
        <v>3743</v>
      </c>
    </row>
    <row r="3052" spans="1:47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910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908"/>
        <v>945000</v>
      </c>
      <c r="AA3052" s="13">
        <v>1.2</v>
      </c>
      <c r="AB3052" s="21">
        <f t="shared" si="894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895"/>
        <v>57778307.282035396</v>
      </c>
      <c r="AJ3052" s="19">
        <f t="shared" si="896"/>
        <v>7259860.7225420559</v>
      </c>
      <c r="AK3052" s="20">
        <f t="shared" si="902"/>
        <v>0.12565028406083667</v>
      </c>
      <c r="AL3052" s="17"/>
      <c r="AM3052" s="17"/>
      <c r="AN3052" s="17"/>
      <c r="AO3052" s="17"/>
      <c r="AP3052" s="28" t="str">
        <f t="shared" si="903"/>
        <v>20213</v>
      </c>
      <c r="AQ3052" s="28" t="str">
        <f t="shared" si="904"/>
        <v>20213RMB</v>
      </c>
      <c r="AR3052" s="206" t="str">
        <f t="shared" si="905"/>
        <v>YAMAHA_Mounter</v>
      </c>
      <c r="AS3052" s="22">
        <f t="shared" si="906"/>
        <v>4</v>
      </c>
      <c r="AT3052" s="24" t="str">
        <f t="shared" si="907"/>
        <v>4-6 months</v>
      </c>
      <c r="AU3052" s="22" t="s">
        <v>3743</v>
      </c>
    </row>
    <row r="3053" spans="1:47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910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908"/>
        <v>860000</v>
      </c>
      <c r="AA3053" s="13">
        <v>1.0920000000000001</v>
      </c>
      <c r="AB3053" s="21">
        <f t="shared" si="894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895"/>
        <v>22953677.784070797</v>
      </c>
      <c r="AJ3053" s="19">
        <f t="shared" si="896"/>
        <v>4168706.6744155753</v>
      </c>
      <c r="AK3053" s="20">
        <f t="shared" si="902"/>
        <v>0.18161388835511752</v>
      </c>
      <c r="AL3053" s="17"/>
      <c r="AM3053" s="17"/>
      <c r="AN3053" s="17"/>
      <c r="AO3053" s="17"/>
      <c r="AP3053" s="28" t="str">
        <f t="shared" si="903"/>
        <v>20238</v>
      </c>
      <c r="AQ3053" s="28" t="str">
        <f t="shared" si="904"/>
        <v>20238RMB</v>
      </c>
      <c r="AR3053" s="206" t="str">
        <f t="shared" si="905"/>
        <v>YAMAHA_Mounter</v>
      </c>
      <c r="AS3053" s="22">
        <f t="shared" si="906"/>
        <v>1</v>
      </c>
      <c r="AT3053" s="24" t="str">
        <f t="shared" si="907"/>
        <v>0-3 months</v>
      </c>
      <c r="AU3053" s="22" t="s">
        <v>3750</v>
      </c>
    </row>
    <row r="3054" spans="1:47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910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908"/>
        <v>602800</v>
      </c>
      <c r="AA3054" s="13">
        <v>1.1100000000000001</v>
      </c>
      <c r="AB3054" s="21">
        <f t="shared" si="894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895"/>
        <v>11620538.477876106</v>
      </c>
      <c r="AJ3054" s="19">
        <f t="shared" si="896"/>
        <v>1598596.3145221241</v>
      </c>
      <c r="AK3054" s="20">
        <f t="shared" si="902"/>
        <v>0.13756645766163331</v>
      </c>
      <c r="AL3054" s="17"/>
      <c r="AM3054" s="17"/>
      <c r="AN3054" s="17"/>
      <c r="AO3054" s="17"/>
      <c r="AP3054" s="28" t="str">
        <f t="shared" si="903"/>
        <v>20201</v>
      </c>
      <c r="AQ3054" s="28" t="str">
        <f t="shared" si="904"/>
        <v>20201RMB</v>
      </c>
      <c r="AR3054" s="206" t="str">
        <f t="shared" si="905"/>
        <v>YAMAHA_Mounter</v>
      </c>
      <c r="AS3054" s="22">
        <f t="shared" si="906"/>
        <v>1</v>
      </c>
      <c r="AT3054" s="24" t="str">
        <f t="shared" si="907"/>
        <v>0-3 months</v>
      </c>
      <c r="AU3054" s="22" t="s">
        <v>3743</v>
      </c>
    </row>
    <row r="3055" spans="1:47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910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908"/>
        <v>415000</v>
      </c>
      <c r="AA3055" s="13">
        <v>1.1299999999999999</v>
      </c>
      <c r="AB3055" s="21">
        <f t="shared" si="894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895"/>
        <v>33543315.897345133</v>
      </c>
      <c r="AJ3055" s="19">
        <f t="shared" si="896"/>
        <v>4706169.3252984071</v>
      </c>
      <c r="AK3055" s="20">
        <f t="shared" si="902"/>
        <v>0.14030125523967318</v>
      </c>
      <c r="AL3055" s="17"/>
      <c r="AM3055" s="17"/>
      <c r="AN3055" s="17"/>
      <c r="AO3055" s="17"/>
      <c r="AP3055" s="28" t="str">
        <f t="shared" si="903"/>
        <v>20233</v>
      </c>
      <c r="AQ3055" s="28" t="str">
        <f t="shared" si="904"/>
        <v>20233RMB</v>
      </c>
      <c r="AR3055" s="206" t="str">
        <f t="shared" si="905"/>
        <v>YAMAHA_Mounter</v>
      </c>
      <c r="AS3055" s="22">
        <f t="shared" si="906"/>
        <v>1</v>
      </c>
      <c r="AT3055" s="24" t="str">
        <f t="shared" si="907"/>
        <v>0-3 months</v>
      </c>
      <c r="AU3055" s="22" t="s">
        <v>3750</v>
      </c>
    </row>
    <row r="3056" spans="1:47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910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908"/>
        <v>720000</v>
      </c>
      <c r="AA3056" s="13">
        <v>1.135</v>
      </c>
      <c r="AB3056" s="21">
        <f t="shared" si="894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895"/>
        <v>21386017.707964607</v>
      </c>
      <c r="AJ3056" s="19">
        <f t="shared" si="896"/>
        <v>2238764.3265707968</v>
      </c>
      <c r="AK3056" s="20">
        <f t="shared" si="902"/>
        <v>0.10468355339185161</v>
      </c>
      <c r="AL3056" s="17"/>
      <c r="AM3056" s="17"/>
      <c r="AN3056" s="17"/>
      <c r="AO3056" s="17"/>
      <c r="AP3056" s="28" t="str">
        <f t="shared" si="903"/>
        <v>20198</v>
      </c>
      <c r="AQ3056" s="28" t="str">
        <f t="shared" si="904"/>
        <v>20198RMB</v>
      </c>
      <c r="AR3056" s="206" t="str">
        <f t="shared" si="905"/>
        <v>YAMAHA_Mounter</v>
      </c>
      <c r="AS3056" s="22">
        <f t="shared" si="906"/>
        <v>0</v>
      </c>
      <c r="AT3056" s="24" t="str">
        <f t="shared" si="907"/>
        <v>0-3 months</v>
      </c>
      <c r="AU3056" s="22" t="s">
        <v>3743</v>
      </c>
    </row>
    <row r="3057" spans="1:47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910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908"/>
        <v>720000</v>
      </c>
      <c r="AA3057" s="13">
        <v>1.135</v>
      </c>
      <c r="AB3057" s="21">
        <f t="shared" si="894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895"/>
        <v>21386017.707964607</v>
      </c>
      <c r="AJ3057" s="19">
        <f t="shared" si="896"/>
        <v>2238764.3265707968</v>
      </c>
      <c r="AK3057" s="20">
        <f t="shared" si="902"/>
        <v>0.10468355339185161</v>
      </c>
      <c r="AL3057" s="17"/>
      <c r="AM3057" s="17"/>
      <c r="AN3057" s="17"/>
      <c r="AO3057" s="17"/>
      <c r="AP3057" s="28" t="str">
        <f t="shared" si="903"/>
        <v>20198</v>
      </c>
      <c r="AQ3057" s="28" t="str">
        <f t="shared" si="904"/>
        <v>20198RMB</v>
      </c>
      <c r="AR3057" s="206" t="str">
        <f t="shared" si="905"/>
        <v>YAMAHA_Mounter</v>
      </c>
      <c r="AS3057" s="22">
        <f t="shared" si="906"/>
        <v>0</v>
      </c>
      <c r="AT3057" s="24" t="str">
        <f t="shared" si="907"/>
        <v>0-3 months</v>
      </c>
      <c r="AU3057" s="22" t="s">
        <v>3743</v>
      </c>
    </row>
    <row r="3058" spans="1:47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910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908"/>
        <v>720000</v>
      </c>
      <c r="AA3058" s="13">
        <v>1.135</v>
      </c>
      <c r="AB3058" s="21">
        <f t="shared" si="894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895"/>
        <v>21386017.707964607</v>
      </c>
      <c r="AJ3058" s="19">
        <f t="shared" si="896"/>
        <v>2238764.3265707968</v>
      </c>
      <c r="AK3058" s="20">
        <f t="shared" si="902"/>
        <v>0.10468355339185161</v>
      </c>
      <c r="AL3058" s="17"/>
      <c r="AM3058" s="17"/>
      <c r="AN3058" s="17"/>
      <c r="AO3058" s="17"/>
      <c r="AP3058" s="28" t="str">
        <f t="shared" si="903"/>
        <v>20198</v>
      </c>
      <c r="AQ3058" s="28" t="str">
        <f t="shared" si="904"/>
        <v>20198RMB</v>
      </c>
      <c r="AR3058" s="206" t="str">
        <f t="shared" si="905"/>
        <v>YAMAHA_Mounter</v>
      </c>
      <c r="AS3058" s="22">
        <f t="shared" si="906"/>
        <v>0</v>
      </c>
      <c r="AT3058" s="24" t="str">
        <f t="shared" si="907"/>
        <v>0-3 months</v>
      </c>
      <c r="AU3058" s="22" t="s">
        <v>3743</v>
      </c>
    </row>
    <row r="3059" spans="1:47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910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908"/>
        <v>10220000</v>
      </c>
      <c r="AA3059" s="13">
        <v>7.2900000000000006E-2</v>
      </c>
      <c r="AB3059" s="21">
        <f t="shared" si="894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895"/>
        <v>27318180.088495575</v>
      </c>
      <c r="AJ3059" s="19">
        <f t="shared" si="896"/>
        <v>3014099.212353982</v>
      </c>
      <c r="AK3059" s="20">
        <f t="shared" si="902"/>
        <v>0.11033308963444827</v>
      </c>
      <c r="AL3059" s="17"/>
      <c r="AM3059" s="17"/>
      <c r="AN3059" s="17"/>
      <c r="AO3059" s="17"/>
      <c r="AP3059" s="28" t="str">
        <f t="shared" si="903"/>
        <v>201912</v>
      </c>
      <c r="AQ3059" s="28" t="str">
        <f t="shared" si="904"/>
        <v>201912JPY</v>
      </c>
      <c r="AR3059" s="206" t="str">
        <f t="shared" si="905"/>
        <v>YAMAHA_Mounter</v>
      </c>
      <c r="AS3059" s="22">
        <f t="shared" si="906"/>
        <v>1</v>
      </c>
      <c r="AT3059" s="24" t="str">
        <f t="shared" si="907"/>
        <v>0-3 months</v>
      </c>
      <c r="AU3059" s="22" t="s">
        <v>3240</v>
      </c>
    </row>
    <row r="3060" spans="1:47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910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908"/>
        <v>12640000</v>
      </c>
      <c r="AA3060" s="13">
        <v>7.2900000000000006E-2</v>
      </c>
      <c r="AB3060" s="21">
        <f t="shared" si="894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895"/>
        <v>27318180.088495575</v>
      </c>
      <c r="AJ3060" s="19">
        <f t="shared" si="896"/>
        <v>3014099.212353982</v>
      </c>
      <c r="AK3060" s="20">
        <f t="shared" si="902"/>
        <v>0.11033308963444827</v>
      </c>
      <c r="AL3060" s="17"/>
      <c r="AM3060" s="17"/>
      <c r="AN3060" s="17"/>
      <c r="AO3060" s="17"/>
      <c r="AP3060" s="28" t="str">
        <f t="shared" si="903"/>
        <v>201912</v>
      </c>
      <c r="AQ3060" s="28" t="str">
        <f t="shared" si="904"/>
        <v>201912JPY</v>
      </c>
      <c r="AR3060" s="206" t="str">
        <f t="shared" si="905"/>
        <v>YAMAHA_Mounter</v>
      </c>
      <c r="AS3060" s="22">
        <f t="shared" si="906"/>
        <v>1</v>
      </c>
      <c r="AT3060" s="24" t="str">
        <f t="shared" si="907"/>
        <v>0-3 months</v>
      </c>
      <c r="AU3060" s="22" t="s">
        <v>3240</v>
      </c>
    </row>
    <row r="3061" spans="1:47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910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908"/>
        <v>12640000</v>
      </c>
      <c r="AA3061" s="13">
        <v>7.2900000000000006E-2</v>
      </c>
      <c r="AB3061" s="21">
        <f t="shared" si="894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895"/>
        <v>27318180.088495575</v>
      </c>
      <c r="AJ3061" s="19">
        <f t="shared" si="896"/>
        <v>3014099.212353982</v>
      </c>
      <c r="AK3061" s="20">
        <f t="shared" si="902"/>
        <v>0.11033308963444827</v>
      </c>
      <c r="AL3061" s="17"/>
      <c r="AM3061" s="17"/>
      <c r="AN3061" s="17"/>
      <c r="AO3061" s="17"/>
      <c r="AP3061" s="28" t="str">
        <f t="shared" si="903"/>
        <v>201912</v>
      </c>
      <c r="AQ3061" s="28" t="str">
        <f t="shared" si="904"/>
        <v>201912JPY</v>
      </c>
      <c r="AR3061" s="206" t="str">
        <f t="shared" si="905"/>
        <v>YAMAHA_Mounter</v>
      </c>
      <c r="AS3061" s="22">
        <f t="shared" si="906"/>
        <v>1</v>
      </c>
      <c r="AT3061" s="24" t="str">
        <f t="shared" si="907"/>
        <v>0-3 months</v>
      </c>
      <c r="AU3061" s="22" t="s">
        <v>3240</v>
      </c>
    </row>
    <row r="3062" spans="1:47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910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908"/>
        <v>9900000</v>
      </c>
      <c r="AA3062" s="13">
        <v>7.2700000000000001E-2</v>
      </c>
      <c r="AB3062" s="21">
        <f t="shared" si="894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895"/>
        <v>14005204.685000001</v>
      </c>
      <c r="AJ3062" s="19">
        <f t="shared" si="896"/>
        <v>1436995.246084</v>
      </c>
      <c r="AK3062" s="20">
        <f t="shared" si="902"/>
        <v>0.10260437304590525</v>
      </c>
      <c r="AL3062" s="17"/>
      <c r="AM3062" s="17"/>
      <c r="AN3062" s="17"/>
      <c r="AO3062" s="17"/>
      <c r="AP3062" s="28" t="str">
        <f t="shared" si="903"/>
        <v>20202</v>
      </c>
      <c r="AQ3062" s="28" t="str">
        <f t="shared" si="904"/>
        <v>20202JPY</v>
      </c>
      <c r="AR3062" s="206" t="str">
        <f t="shared" si="905"/>
        <v>YAMAHA_Mounter</v>
      </c>
      <c r="AS3062" s="22">
        <f t="shared" si="906"/>
        <v>3</v>
      </c>
      <c r="AT3062" s="24" t="str">
        <f t="shared" si="907"/>
        <v>0-3 months</v>
      </c>
      <c r="AU3062" s="22" t="s">
        <v>3744</v>
      </c>
    </row>
    <row r="3063" spans="1:47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910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908"/>
        <v>12600000</v>
      </c>
      <c r="AA3063" s="13">
        <v>7.2700000000000001E-2</v>
      </c>
      <c r="AB3063" s="21">
        <f t="shared" si="894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895"/>
        <v>14005204.685000001</v>
      </c>
      <c r="AJ3063" s="19">
        <f t="shared" si="896"/>
        <v>1436995.246084</v>
      </c>
      <c r="AK3063" s="20">
        <f t="shared" si="902"/>
        <v>0.10260437304590525</v>
      </c>
      <c r="AL3063" s="17"/>
      <c r="AM3063" s="17"/>
      <c r="AN3063" s="17"/>
      <c r="AO3063" s="17"/>
      <c r="AP3063" s="28" t="str">
        <f t="shared" si="903"/>
        <v>20202</v>
      </c>
      <c r="AQ3063" s="28" t="str">
        <f t="shared" si="904"/>
        <v>20202JPY</v>
      </c>
      <c r="AR3063" s="206" t="str">
        <f t="shared" si="905"/>
        <v>YAMAHA_Mounter</v>
      </c>
      <c r="AS3063" s="22">
        <f t="shared" si="906"/>
        <v>3</v>
      </c>
      <c r="AT3063" s="24" t="str">
        <f t="shared" si="907"/>
        <v>0-3 months</v>
      </c>
      <c r="AU3063" s="22" t="s">
        <v>3744</v>
      </c>
    </row>
    <row r="3064" spans="1:47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910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908"/>
        <v>12600000</v>
      </c>
      <c r="AA3064" s="13">
        <v>7.2700000000000001E-2</v>
      </c>
      <c r="AB3064" s="21">
        <f t="shared" si="894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895"/>
        <v>14005204.685000001</v>
      </c>
      <c r="AJ3064" s="19">
        <f t="shared" si="896"/>
        <v>1436995.246084</v>
      </c>
      <c r="AK3064" s="20">
        <f t="shared" si="902"/>
        <v>0.10260437304590525</v>
      </c>
      <c r="AL3064" s="17"/>
      <c r="AM3064" s="17"/>
      <c r="AN3064" s="17"/>
      <c r="AO3064" s="17"/>
      <c r="AP3064" s="28" t="str">
        <f t="shared" si="903"/>
        <v>20202</v>
      </c>
      <c r="AQ3064" s="28" t="str">
        <f t="shared" si="904"/>
        <v>20202JPY</v>
      </c>
      <c r="AR3064" s="206" t="str">
        <f t="shared" si="905"/>
        <v>YAMAHA_Mounter</v>
      </c>
      <c r="AS3064" s="22">
        <f t="shared" si="906"/>
        <v>3</v>
      </c>
      <c r="AT3064" s="24" t="str">
        <f t="shared" si="907"/>
        <v>0-3 months</v>
      </c>
      <c r="AU3064" s="22" t="s">
        <v>3744</v>
      </c>
    </row>
    <row r="3065" spans="1:47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910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908"/>
        <v>12600000</v>
      </c>
      <c r="AA3065" s="13">
        <v>7.2700000000000001E-2</v>
      </c>
      <c r="AB3065" s="21">
        <f t="shared" si="894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895"/>
        <v>14005204.685000001</v>
      </c>
      <c r="AJ3065" s="19">
        <f t="shared" si="896"/>
        <v>1436995.246084</v>
      </c>
      <c r="AK3065" s="20">
        <f t="shared" si="902"/>
        <v>0.10260437304590525</v>
      </c>
      <c r="AL3065" s="17"/>
      <c r="AM3065" s="17"/>
      <c r="AN3065" s="17"/>
      <c r="AO3065" s="17"/>
      <c r="AP3065" s="28" t="str">
        <f t="shared" si="903"/>
        <v>20202</v>
      </c>
      <c r="AQ3065" s="28" t="str">
        <f t="shared" si="904"/>
        <v>20202JPY</v>
      </c>
      <c r="AR3065" s="206" t="str">
        <f t="shared" si="905"/>
        <v>YAMAHA_Mounter</v>
      </c>
      <c r="AS3065" s="22">
        <f t="shared" si="906"/>
        <v>3</v>
      </c>
      <c r="AT3065" s="24" t="str">
        <f t="shared" si="907"/>
        <v>0-3 months</v>
      </c>
      <c r="AU3065" s="22" t="s">
        <v>3744</v>
      </c>
    </row>
    <row r="3066" spans="1:47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910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908"/>
        <v>8000000</v>
      </c>
      <c r="AA3066" s="13">
        <v>7.2800000000000004E-2</v>
      </c>
      <c r="AB3066" s="21">
        <f t="shared" si="894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895"/>
        <v>63006605.696460173</v>
      </c>
      <c r="AJ3066" s="19">
        <f t="shared" si="896"/>
        <v>8897485.660753984</v>
      </c>
      <c r="AK3066" s="20">
        <f t="shared" si="902"/>
        <v>0.141215124388995</v>
      </c>
      <c r="AL3066" s="17"/>
      <c r="AM3066" s="17"/>
      <c r="AN3066" s="17"/>
      <c r="AO3066" s="17"/>
      <c r="AP3066" s="28" t="str">
        <f t="shared" si="903"/>
        <v>20215</v>
      </c>
      <c r="AQ3066" s="28" t="str">
        <f t="shared" si="904"/>
        <v>20215JPY</v>
      </c>
      <c r="AR3066" s="206" t="str">
        <f t="shared" si="905"/>
        <v>YAMAHA_Mounter</v>
      </c>
      <c r="AS3066" s="22">
        <f t="shared" si="906"/>
        <v>0</v>
      </c>
      <c r="AT3066" s="24" t="str">
        <f t="shared" si="907"/>
        <v>0-3 months</v>
      </c>
      <c r="AU3066" s="22" t="s">
        <v>3744</v>
      </c>
    </row>
    <row r="3067" spans="1:47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910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908"/>
        <v>8000000</v>
      </c>
      <c r="AA3067" s="13">
        <v>7.2800000000000004E-2</v>
      </c>
      <c r="AB3067" s="21">
        <f t="shared" si="894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895"/>
        <v>63006605.696460173</v>
      </c>
      <c r="AJ3067" s="19">
        <f t="shared" si="896"/>
        <v>8897485.660753984</v>
      </c>
      <c r="AK3067" s="20">
        <f t="shared" si="902"/>
        <v>0.141215124388995</v>
      </c>
      <c r="AL3067" s="17"/>
      <c r="AM3067" s="17"/>
      <c r="AN3067" s="17"/>
      <c r="AO3067" s="17"/>
      <c r="AP3067" s="28" t="str">
        <f t="shared" si="903"/>
        <v>20215</v>
      </c>
      <c r="AQ3067" s="28" t="str">
        <f t="shared" si="904"/>
        <v>20215JPY</v>
      </c>
      <c r="AR3067" s="206" t="str">
        <f t="shared" si="905"/>
        <v>YAMAHA_Mounter</v>
      </c>
      <c r="AS3067" s="22">
        <f t="shared" si="906"/>
        <v>0</v>
      </c>
      <c r="AT3067" s="24" t="str">
        <f t="shared" si="907"/>
        <v>0-3 months</v>
      </c>
      <c r="AU3067" s="22" t="s">
        <v>3744</v>
      </c>
    </row>
    <row r="3068" spans="1:47" s="12" customFormat="1">
      <c r="A3068" s="33" t="str">
        <f t="shared" si="897"/>
        <v>cancel</v>
      </c>
      <c r="B3068" s="152"/>
      <c r="C3068" s="152" t="s">
        <v>185</v>
      </c>
      <c r="D3068" s="33" t="str">
        <f t="shared" si="898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99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910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908"/>
        <v>10000000</v>
      </c>
      <c r="AA3068" s="13">
        <v>7.2999999999999995E-2</v>
      </c>
      <c r="AB3068" s="21">
        <f t="shared" ref="AB3068:AB3131" si="912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895"/>
        <v>499582152.5142017</v>
      </c>
      <c r="AJ3068" s="19">
        <f t="shared" si="896"/>
        <v>59520528.679470733</v>
      </c>
      <c r="AK3068" s="20">
        <f t="shared" si="902"/>
        <v>0.11914062257814291</v>
      </c>
      <c r="AL3068" s="17"/>
      <c r="AM3068" s="17"/>
      <c r="AN3068" s="17"/>
      <c r="AO3068" s="17"/>
      <c r="AP3068" s="28" t="str">
        <f t="shared" si="903"/>
        <v>CancelCancel</v>
      </c>
      <c r="AQ3068" s="28" t="str">
        <f t="shared" si="904"/>
        <v>CancelCancelJPY</v>
      </c>
      <c r="AR3068" s="206" t="str">
        <f t="shared" si="905"/>
        <v>YAMAHA_Mounter</v>
      </c>
      <c r="AS3068" s="22" t="str">
        <f t="shared" si="906"/>
        <v/>
      </c>
      <c r="AT3068" s="24" t="str">
        <f t="shared" si="907"/>
        <v/>
      </c>
      <c r="AU3068" s="22" t="s">
        <v>3744</v>
      </c>
    </row>
    <row r="3069" spans="1:47" s="12" customFormat="1">
      <c r="A3069" s="33" t="str">
        <f t="shared" si="897"/>
        <v>cancel</v>
      </c>
      <c r="B3069" s="152"/>
      <c r="C3069" s="152" t="s">
        <v>185</v>
      </c>
      <c r="D3069" s="33" t="str">
        <f t="shared" si="898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99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910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908"/>
        <v>10000000</v>
      </c>
      <c r="AA3069" s="13">
        <v>7.2999999999999995E-2</v>
      </c>
      <c r="AB3069" s="21">
        <f t="shared" si="912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895"/>
        <v>499582152.5142017</v>
      </c>
      <c r="AJ3069" s="19">
        <f t="shared" si="896"/>
        <v>59520528.679470733</v>
      </c>
      <c r="AK3069" s="20">
        <f t="shared" si="902"/>
        <v>0.11914062257814291</v>
      </c>
      <c r="AL3069" s="17"/>
      <c r="AM3069" s="17"/>
      <c r="AN3069" s="17"/>
      <c r="AO3069" s="17"/>
      <c r="AP3069" s="28" t="str">
        <f t="shared" si="903"/>
        <v>CancelCancel</v>
      </c>
      <c r="AQ3069" s="28" t="str">
        <f t="shared" si="904"/>
        <v>CancelCancelJPY</v>
      </c>
      <c r="AR3069" s="206" t="str">
        <f t="shared" si="905"/>
        <v>YAMAHA_Mounter</v>
      </c>
      <c r="AS3069" s="22" t="str">
        <f t="shared" si="906"/>
        <v/>
      </c>
      <c r="AT3069" s="24" t="str">
        <f t="shared" si="907"/>
        <v/>
      </c>
      <c r="AU3069" s="22" t="s">
        <v>3744</v>
      </c>
    </row>
    <row r="3070" spans="1:47" s="12" customFormat="1">
      <c r="A3070" s="33" t="str">
        <f t="shared" si="897"/>
        <v>cancel</v>
      </c>
      <c r="B3070" s="152"/>
      <c r="C3070" s="152" t="s">
        <v>185</v>
      </c>
      <c r="D3070" s="33" t="str">
        <f t="shared" si="898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99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910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908"/>
        <v>10000000</v>
      </c>
      <c r="AA3070" s="13">
        <v>7.2999999999999995E-2</v>
      </c>
      <c r="AB3070" s="21">
        <f t="shared" si="912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895"/>
        <v>499582152.5142017</v>
      </c>
      <c r="AJ3070" s="19">
        <f t="shared" si="896"/>
        <v>59520528.679470733</v>
      </c>
      <c r="AK3070" s="20">
        <f t="shared" si="902"/>
        <v>0.11914062257814291</v>
      </c>
      <c r="AL3070" s="17"/>
      <c r="AM3070" s="17"/>
      <c r="AN3070" s="17"/>
      <c r="AO3070" s="17"/>
      <c r="AP3070" s="28" t="str">
        <f t="shared" si="903"/>
        <v>CancelCancel</v>
      </c>
      <c r="AQ3070" s="28" t="str">
        <f t="shared" si="904"/>
        <v>CancelCancelJPY</v>
      </c>
      <c r="AR3070" s="206" t="str">
        <f t="shared" si="905"/>
        <v>YAMAHA_Mounter</v>
      </c>
      <c r="AS3070" s="22" t="str">
        <f t="shared" si="906"/>
        <v/>
      </c>
      <c r="AT3070" s="24" t="str">
        <f t="shared" si="907"/>
        <v/>
      </c>
      <c r="AU3070" s="22" t="s">
        <v>3744</v>
      </c>
    </row>
    <row r="3071" spans="1:47" s="12" customFormat="1">
      <c r="A3071" s="33" t="str">
        <f t="shared" si="897"/>
        <v>cancel</v>
      </c>
      <c r="B3071" s="152"/>
      <c r="C3071" s="152" t="s">
        <v>185</v>
      </c>
      <c r="D3071" s="33" t="str">
        <f t="shared" si="898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99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910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908"/>
        <v>12650000</v>
      </c>
      <c r="AA3071" s="13">
        <v>7.3499999999999996E-2</v>
      </c>
      <c r="AB3071" s="21">
        <f t="shared" si="912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895"/>
        <v>499582152.5142017</v>
      </c>
      <c r="AJ3071" s="19">
        <f t="shared" si="896"/>
        <v>59520528.679470733</v>
      </c>
      <c r="AK3071" s="20">
        <f t="shared" si="902"/>
        <v>0.11914062257814291</v>
      </c>
      <c r="AL3071" s="17"/>
      <c r="AM3071" s="17"/>
      <c r="AN3071" s="17"/>
      <c r="AO3071" s="17"/>
      <c r="AP3071" s="28" t="str">
        <f t="shared" si="903"/>
        <v>CancelCancel</v>
      </c>
      <c r="AQ3071" s="28" t="str">
        <f t="shared" si="904"/>
        <v>CancelCancelJPY</v>
      </c>
      <c r="AR3071" s="206" t="str">
        <f t="shared" si="905"/>
        <v>YAMAHA_Mounter</v>
      </c>
      <c r="AS3071" s="22" t="str">
        <f t="shared" si="906"/>
        <v/>
      </c>
      <c r="AT3071" s="24" t="str">
        <f t="shared" si="907"/>
        <v/>
      </c>
      <c r="AU3071" s="22" t="s">
        <v>3744</v>
      </c>
    </row>
    <row r="3072" spans="1:47" s="12" customFormat="1">
      <c r="A3072" s="33" t="str">
        <f t="shared" si="897"/>
        <v>cancel</v>
      </c>
      <c r="B3072" s="152"/>
      <c r="C3072" s="152" t="s">
        <v>185</v>
      </c>
      <c r="D3072" s="33" t="str">
        <f t="shared" si="898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99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910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908"/>
        <v>12650000</v>
      </c>
      <c r="AA3072" s="13">
        <v>7.3499999999999996E-2</v>
      </c>
      <c r="AB3072" s="21">
        <f t="shared" si="912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895"/>
        <v>499582152.5142017</v>
      </c>
      <c r="AJ3072" s="19">
        <f t="shared" si="896"/>
        <v>59520528.679470733</v>
      </c>
      <c r="AK3072" s="20">
        <f t="shared" si="902"/>
        <v>0.11914062257814291</v>
      </c>
      <c r="AL3072" s="17"/>
      <c r="AM3072" s="17"/>
      <c r="AN3072" s="17"/>
      <c r="AO3072" s="17"/>
      <c r="AP3072" s="28" t="str">
        <f t="shared" si="903"/>
        <v>CancelCancel</v>
      </c>
      <c r="AQ3072" s="28" t="str">
        <f t="shared" si="904"/>
        <v>CancelCancelJPY</v>
      </c>
      <c r="AR3072" s="206" t="str">
        <f t="shared" si="905"/>
        <v>YAMAHA_Mounter</v>
      </c>
      <c r="AS3072" s="22" t="str">
        <f t="shared" si="906"/>
        <v/>
      </c>
      <c r="AT3072" s="24" t="str">
        <f t="shared" si="907"/>
        <v/>
      </c>
      <c r="AU3072" s="22" t="s">
        <v>3744</v>
      </c>
    </row>
    <row r="3073" spans="1:47" s="12" customFormat="1">
      <c r="A3073" s="33" t="str">
        <f t="shared" si="897"/>
        <v>cancel</v>
      </c>
      <c r="B3073" s="152"/>
      <c r="C3073" s="152" t="s">
        <v>185</v>
      </c>
      <c r="D3073" s="33" t="str">
        <f t="shared" si="898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99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910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908"/>
        <v>12650000</v>
      </c>
      <c r="AA3073" s="13">
        <v>7.3499999999999996E-2</v>
      </c>
      <c r="AB3073" s="21">
        <f t="shared" si="912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895"/>
        <v>499582152.5142017</v>
      </c>
      <c r="AJ3073" s="19">
        <f t="shared" si="896"/>
        <v>59520528.679470733</v>
      </c>
      <c r="AK3073" s="20">
        <f t="shared" si="902"/>
        <v>0.11914062257814291</v>
      </c>
      <c r="AL3073" s="17"/>
      <c r="AM3073" s="17"/>
      <c r="AN3073" s="17"/>
      <c r="AO3073" s="17"/>
      <c r="AP3073" s="28" t="str">
        <f t="shared" si="903"/>
        <v>CancelCancel</v>
      </c>
      <c r="AQ3073" s="28" t="str">
        <f t="shared" si="904"/>
        <v>CancelCancelJPY</v>
      </c>
      <c r="AR3073" s="206" t="str">
        <f t="shared" si="905"/>
        <v>YAMAHA_Mounter</v>
      </c>
      <c r="AS3073" s="22" t="str">
        <f t="shared" si="906"/>
        <v/>
      </c>
      <c r="AT3073" s="24" t="str">
        <f t="shared" si="907"/>
        <v/>
      </c>
      <c r="AU3073" s="22" t="s">
        <v>3744</v>
      </c>
    </row>
    <row r="3074" spans="1:47" s="12" customFormat="1">
      <c r="A3074" s="33" t="str">
        <f t="shared" si="897"/>
        <v>cancel</v>
      </c>
      <c r="B3074" s="152"/>
      <c r="C3074" s="152" t="s">
        <v>185</v>
      </c>
      <c r="D3074" s="33" t="str">
        <f t="shared" si="898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99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910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908"/>
        <v>12650000</v>
      </c>
      <c r="AA3074" s="13">
        <v>7.3499999999999996E-2</v>
      </c>
      <c r="AB3074" s="21">
        <f t="shared" si="912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ref="AI3074:AI3137" si="913">IF(P3074="C66 SERVICE","",SUMIFS(AB:AB,F:F,F3074,G:G,G3074,E:E,E3074))</f>
        <v>499582152.5142017</v>
      </c>
      <c r="AJ3074" s="19">
        <f t="shared" ref="AJ3074:AJ3137" si="914">IF(P3074="C66 SERVICE","",SUMIFS(AC:AC,F:F,F3074,G:G,G3074,E:E,E3074))</f>
        <v>59520528.679470733</v>
      </c>
      <c r="AK3074" s="20">
        <f t="shared" si="902"/>
        <v>0.11914062257814291</v>
      </c>
      <c r="AL3074" s="17"/>
      <c r="AM3074" s="17"/>
      <c r="AN3074" s="17"/>
      <c r="AO3074" s="17"/>
      <c r="AP3074" s="28" t="str">
        <f t="shared" si="903"/>
        <v>CancelCancel</v>
      </c>
      <c r="AQ3074" s="28" t="str">
        <f t="shared" si="904"/>
        <v>CancelCancelJPY</v>
      </c>
      <c r="AR3074" s="206" t="str">
        <f t="shared" si="905"/>
        <v>YAMAHA_Mounter</v>
      </c>
      <c r="AS3074" s="22" t="str">
        <f t="shared" si="906"/>
        <v/>
      </c>
      <c r="AT3074" s="24" t="str">
        <f t="shared" si="907"/>
        <v/>
      </c>
      <c r="AU3074" s="22" t="s">
        <v>3744</v>
      </c>
    </row>
    <row r="3075" spans="1:47" s="12" customFormat="1">
      <c r="A3075" s="33" t="str">
        <f t="shared" si="897"/>
        <v>cancel</v>
      </c>
      <c r="B3075" s="152"/>
      <c r="C3075" s="152" t="s">
        <v>185</v>
      </c>
      <c r="D3075" s="33" t="str">
        <f t="shared" si="898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99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910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908"/>
        <v>12650000</v>
      </c>
      <c r="AA3075" s="13">
        <v>7.3499999999999996E-2</v>
      </c>
      <c r="AB3075" s="21">
        <f t="shared" si="912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13"/>
        <v>499582152.5142017</v>
      </c>
      <c r="AJ3075" s="19">
        <f t="shared" si="914"/>
        <v>59520528.679470733</v>
      </c>
      <c r="AK3075" s="20">
        <f t="shared" si="902"/>
        <v>0.11914062257814291</v>
      </c>
      <c r="AL3075" s="17"/>
      <c r="AM3075" s="17"/>
      <c r="AN3075" s="17"/>
      <c r="AO3075" s="17"/>
      <c r="AP3075" s="28" t="str">
        <f t="shared" si="903"/>
        <v>CancelCancel</v>
      </c>
      <c r="AQ3075" s="28" t="str">
        <f t="shared" si="904"/>
        <v>CancelCancelJPY</v>
      </c>
      <c r="AR3075" s="206" t="str">
        <f t="shared" si="905"/>
        <v>YAMAHA_Mounter</v>
      </c>
      <c r="AS3075" s="22" t="str">
        <f t="shared" si="906"/>
        <v/>
      </c>
      <c r="AT3075" s="24" t="str">
        <f t="shared" si="907"/>
        <v/>
      </c>
      <c r="AU3075" s="22" t="s">
        <v>3744</v>
      </c>
    </row>
    <row r="3076" spans="1:47" s="12" customFormat="1">
      <c r="A3076" s="33" t="str">
        <f t="shared" si="897"/>
        <v>cancel</v>
      </c>
      <c r="B3076" s="152"/>
      <c r="C3076" s="152" t="s">
        <v>185</v>
      </c>
      <c r="D3076" s="33" t="str">
        <f t="shared" si="898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99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910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908"/>
        <v>12650000</v>
      </c>
      <c r="AA3076" s="13">
        <v>7.3499999999999996E-2</v>
      </c>
      <c r="AB3076" s="21">
        <f t="shared" si="912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13"/>
        <v>499582152.5142017</v>
      </c>
      <c r="AJ3076" s="19">
        <f t="shared" si="914"/>
        <v>59520528.679470733</v>
      </c>
      <c r="AK3076" s="20">
        <f t="shared" si="902"/>
        <v>0.11914062257814291</v>
      </c>
      <c r="AL3076" s="17"/>
      <c r="AM3076" s="17"/>
      <c r="AN3076" s="17"/>
      <c r="AO3076" s="17"/>
      <c r="AP3076" s="28" t="str">
        <f t="shared" si="903"/>
        <v>CancelCancel</v>
      </c>
      <c r="AQ3076" s="28" t="str">
        <f t="shared" si="904"/>
        <v>CancelCancelJPY</v>
      </c>
      <c r="AR3076" s="206" t="str">
        <f t="shared" si="905"/>
        <v>YAMAHA_Mounter</v>
      </c>
      <c r="AS3076" s="22" t="str">
        <f t="shared" si="906"/>
        <v/>
      </c>
      <c r="AT3076" s="24" t="str">
        <f t="shared" si="907"/>
        <v/>
      </c>
      <c r="AU3076" s="22" t="s">
        <v>3744</v>
      </c>
    </row>
    <row r="3077" spans="1:47" s="12" customFormat="1">
      <c r="A3077" s="33" t="str">
        <f t="shared" si="897"/>
        <v>cancel</v>
      </c>
      <c r="B3077" s="152"/>
      <c r="C3077" s="152" t="s">
        <v>185</v>
      </c>
      <c r="D3077" s="33" t="str">
        <f t="shared" si="898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99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910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908"/>
        <v>12650000</v>
      </c>
      <c r="AA3077" s="13">
        <v>7.3499999999999996E-2</v>
      </c>
      <c r="AB3077" s="21">
        <f t="shared" si="912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13"/>
        <v>499582152.5142017</v>
      </c>
      <c r="AJ3077" s="19">
        <f t="shared" si="914"/>
        <v>59520528.679470733</v>
      </c>
      <c r="AK3077" s="20">
        <f t="shared" si="902"/>
        <v>0.11914062257814291</v>
      </c>
      <c r="AL3077" s="17"/>
      <c r="AM3077" s="17"/>
      <c r="AN3077" s="17"/>
      <c r="AO3077" s="17"/>
      <c r="AP3077" s="28" t="str">
        <f t="shared" si="903"/>
        <v>CancelCancel</v>
      </c>
      <c r="AQ3077" s="28" t="str">
        <f t="shared" si="904"/>
        <v>CancelCancelJPY</v>
      </c>
      <c r="AR3077" s="206" t="str">
        <f t="shared" si="905"/>
        <v>YAMAHA_Mounter</v>
      </c>
      <c r="AS3077" s="22" t="str">
        <f t="shared" si="906"/>
        <v/>
      </c>
      <c r="AT3077" s="24" t="str">
        <f t="shared" si="907"/>
        <v/>
      </c>
      <c r="AU3077" s="22" t="s">
        <v>3744</v>
      </c>
    </row>
    <row r="3078" spans="1:47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910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908"/>
        <v>12650000</v>
      </c>
      <c r="AA3078" s="13">
        <v>7.3499999999999996E-2</v>
      </c>
      <c r="AB3078" s="21">
        <f t="shared" si="912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si="913"/>
        <v>499582152.5142017</v>
      </c>
      <c r="AJ3078" s="19">
        <f t="shared" si="914"/>
        <v>59520528.679470733</v>
      </c>
      <c r="AK3078" s="20">
        <f t="shared" ref="AK3078:AK3141" si="920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921">IF(F3078="","",F3078&amp;G3078)</f>
        <v>CancelCancel</v>
      </c>
      <c r="AQ3078" s="28" t="str">
        <f t="shared" ref="AQ3078:AQ3141" si="922">IF(W3078="","",F3078&amp;G3078&amp;W3078)</f>
        <v>CancelCancelJPY</v>
      </c>
      <c r="AR3078" s="206" t="str">
        <f t="shared" ref="AR3078:AR3141" si="923">IFERROR(IF(AND(M3078="YAMAHA", R3078="C28"), "YAMAHA_Non_Mounter", IF(AND(M3078="YAMAHA", R3078="C49"), "YAMAHA_Mounter", M3078)),"")</f>
        <v>YAMAHA_Mounter</v>
      </c>
      <c r="AS3078" s="22" t="str">
        <f t="shared" ref="AS3078:AS3141" si="924">IFERROR(IF(OR(G3078="TBA", G3078=""), "", DATEDIF(DATE(B3078, C3078, 1), DATE(F3078, G3078, 1), "M")),"")</f>
        <v/>
      </c>
      <c r="AT3078" s="24" t="str">
        <f t="shared" ref="AT3078:AT3141" si="925">IF(ISNUMBER(AS3078), IF(AS3078&gt;=0, IF(AS3078&lt;=3, "0-3 months", IF(AS3078&lt;=6, "4-6 months", "&gt; 6 months"))), "")</f>
        <v/>
      </c>
      <c r="AU3078" s="22" t="s">
        <v>3744</v>
      </c>
    </row>
    <row r="3079" spans="1:47" s="12" customFormat="1">
      <c r="A3079" s="33" t="str">
        <f t="shared" si="915"/>
        <v>cancel</v>
      </c>
      <c r="B3079" s="152"/>
      <c r="C3079" s="152" t="s">
        <v>185</v>
      </c>
      <c r="D3079" s="33" t="str">
        <f t="shared" si="916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917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910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908"/>
        <v>12650000</v>
      </c>
      <c r="AA3079" s="13">
        <v>7.3499999999999996E-2</v>
      </c>
      <c r="AB3079" s="21">
        <f t="shared" si="912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13"/>
        <v>499582152.5142017</v>
      </c>
      <c r="AJ3079" s="19">
        <f t="shared" si="914"/>
        <v>59520528.679470733</v>
      </c>
      <c r="AK3079" s="20">
        <f t="shared" si="920"/>
        <v>0.11914062257814291</v>
      </c>
      <c r="AL3079" s="17"/>
      <c r="AM3079" s="17"/>
      <c r="AN3079" s="17"/>
      <c r="AO3079" s="17"/>
      <c r="AP3079" s="28" t="str">
        <f t="shared" si="921"/>
        <v>CancelCancel</v>
      </c>
      <c r="AQ3079" s="28" t="str">
        <f t="shared" si="922"/>
        <v>CancelCancelJPY</v>
      </c>
      <c r="AR3079" s="206" t="str">
        <f t="shared" si="923"/>
        <v>YAMAHA_Mounter</v>
      </c>
      <c r="AS3079" s="22" t="str">
        <f t="shared" si="924"/>
        <v/>
      </c>
      <c r="AT3079" s="24" t="str">
        <f t="shared" si="925"/>
        <v/>
      </c>
      <c r="AU3079" s="22" t="s">
        <v>3744</v>
      </c>
    </row>
    <row r="3080" spans="1:47" s="12" customFormat="1">
      <c r="A3080" s="33" t="str">
        <f t="shared" si="915"/>
        <v>cancel</v>
      </c>
      <c r="B3080" s="152"/>
      <c r="C3080" s="152" t="s">
        <v>185</v>
      </c>
      <c r="D3080" s="33" t="str">
        <f t="shared" si="916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917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910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908"/>
        <v>12650000</v>
      </c>
      <c r="AA3080" s="13">
        <v>7.3499999999999996E-2</v>
      </c>
      <c r="AB3080" s="21">
        <f t="shared" si="912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13"/>
        <v>499582152.5142017</v>
      </c>
      <c r="AJ3080" s="19">
        <f t="shared" si="914"/>
        <v>59520528.679470733</v>
      </c>
      <c r="AK3080" s="20">
        <f t="shared" si="920"/>
        <v>0.11914062257814291</v>
      </c>
      <c r="AL3080" s="17"/>
      <c r="AM3080" s="17"/>
      <c r="AN3080" s="17"/>
      <c r="AO3080" s="17"/>
      <c r="AP3080" s="28" t="str">
        <f t="shared" si="921"/>
        <v>CancelCancel</v>
      </c>
      <c r="AQ3080" s="28" t="str">
        <f t="shared" si="922"/>
        <v>CancelCancelJPY</v>
      </c>
      <c r="AR3080" s="206" t="str">
        <f t="shared" si="923"/>
        <v>YAMAHA_Mounter</v>
      </c>
      <c r="AS3080" s="22" t="str">
        <f t="shared" si="924"/>
        <v/>
      </c>
      <c r="AT3080" s="24" t="str">
        <f t="shared" si="925"/>
        <v/>
      </c>
      <c r="AU3080" s="22" t="s">
        <v>3744</v>
      </c>
    </row>
    <row r="3081" spans="1:47" s="12" customFormat="1">
      <c r="A3081" s="33" t="str">
        <f t="shared" si="915"/>
        <v>cancel</v>
      </c>
      <c r="B3081" s="152"/>
      <c r="C3081" s="152" t="s">
        <v>185</v>
      </c>
      <c r="D3081" s="33" t="str">
        <f t="shared" si="916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917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910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908"/>
        <v>12650000</v>
      </c>
      <c r="AA3081" s="13">
        <v>7.3499999999999996E-2</v>
      </c>
      <c r="AB3081" s="21">
        <f t="shared" si="912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13"/>
        <v>499582152.5142017</v>
      </c>
      <c r="AJ3081" s="19">
        <f t="shared" si="914"/>
        <v>59520528.679470733</v>
      </c>
      <c r="AK3081" s="20">
        <f t="shared" si="920"/>
        <v>0.11914062257814291</v>
      </c>
      <c r="AL3081" s="17"/>
      <c r="AM3081" s="17"/>
      <c r="AN3081" s="17"/>
      <c r="AO3081" s="17"/>
      <c r="AP3081" s="28" t="str">
        <f t="shared" si="921"/>
        <v>CancelCancel</v>
      </c>
      <c r="AQ3081" s="28" t="str">
        <f t="shared" si="922"/>
        <v>CancelCancelJPY</v>
      </c>
      <c r="AR3081" s="206" t="str">
        <f t="shared" si="923"/>
        <v>YAMAHA_Mounter</v>
      </c>
      <c r="AS3081" s="22" t="str">
        <f t="shared" si="924"/>
        <v/>
      </c>
      <c r="AT3081" s="24" t="str">
        <f t="shared" si="925"/>
        <v/>
      </c>
      <c r="AU3081" s="22" t="s">
        <v>3744</v>
      </c>
    </row>
    <row r="3082" spans="1:47" s="12" customFormat="1">
      <c r="A3082" s="33" t="str">
        <f t="shared" si="915"/>
        <v>cancel</v>
      </c>
      <c r="B3082" s="152"/>
      <c r="C3082" s="152" t="s">
        <v>185</v>
      </c>
      <c r="D3082" s="33" t="str">
        <f t="shared" si="916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917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910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926">IF(X3082="","",X3082*MAX(O3082,N3082))</f>
        <v>12650000</v>
      </c>
      <c r="AA3082" s="13">
        <v>7.3499999999999996E-2</v>
      </c>
      <c r="AB3082" s="21">
        <f t="shared" si="912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13"/>
        <v>499582152.5142017</v>
      </c>
      <c r="AJ3082" s="19">
        <f t="shared" si="914"/>
        <v>59520528.679470733</v>
      </c>
      <c r="AK3082" s="20">
        <f t="shared" si="920"/>
        <v>0.11914062257814291</v>
      </c>
      <c r="AL3082" s="17"/>
      <c r="AM3082" s="17"/>
      <c r="AN3082" s="17"/>
      <c r="AO3082" s="17"/>
      <c r="AP3082" s="28" t="str">
        <f t="shared" si="921"/>
        <v>CancelCancel</v>
      </c>
      <c r="AQ3082" s="28" t="str">
        <f t="shared" si="922"/>
        <v>CancelCancelJPY</v>
      </c>
      <c r="AR3082" s="206" t="str">
        <f t="shared" si="923"/>
        <v>YAMAHA_Mounter</v>
      </c>
      <c r="AS3082" s="22" t="str">
        <f t="shared" si="924"/>
        <v/>
      </c>
      <c r="AT3082" s="24" t="str">
        <f t="shared" si="925"/>
        <v/>
      </c>
      <c r="AU3082" s="22" t="s">
        <v>3744</v>
      </c>
    </row>
    <row r="3083" spans="1:47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910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926"/>
        <v>1225000</v>
      </c>
      <c r="AA3083" s="13">
        <v>1.1299999999999999</v>
      </c>
      <c r="AB3083" s="21">
        <f t="shared" si="912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13"/>
        <v>33543315.897345133</v>
      </c>
      <c r="AJ3083" s="19">
        <f t="shared" si="914"/>
        <v>4706169.3252984071</v>
      </c>
      <c r="AK3083" s="20">
        <f t="shared" si="920"/>
        <v>0.14030125523967318</v>
      </c>
      <c r="AL3083" s="17"/>
      <c r="AM3083" s="17"/>
      <c r="AN3083" s="17"/>
      <c r="AO3083" s="17"/>
      <c r="AP3083" s="28" t="str">
        <f t="shared" si="921"/>
        <v>20233</v>
      </c>
      <c r="AQ3083" s="28" t="str">
        <f t="shared" si="922"/>
        <v>20233RMB</v>
      </c>
      <c r="AR3083" s="206" t="str">
        <f t="shared" si="923"/>
        <v>YAMAHA_Mounter</v>
      </c>
      <c r="AS3083" s="22">
        <f t="shared" si="924"/>
        <v>2</v>
      </c>
      <c r="AT3083" s="24" t="str">
        <f t="shared" si="925"/>
        <v>0-3 months</v>
      </c>
      <c r="AU3083" s="22" t="s">
        <v>3750</v>
      </c>
    </row>
    <row r="3084" spans="1:47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910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926"/>
        <v>1225000</v>
      </c>
      <c r="AA3084" s="13">
        <v>1.1299999999999999</v>
      </c>
      <c r="AB3084" s="21">
        <f t="shared" si="912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13"/>
        <v>33543315.897345133</v>
      </c>
      <c r="AJ3084" s="19">
        <f t="shared" si="914"/>
        <v>4706169.3252984071</v>
      </c>
      <c r="AK3084" s="20">
        <f t="shared" si="920"/>
        <v>0.14030125523967318</v>
      </c>
      <c r="AL3084" s="17"/>
      <c r="AM3084" s="17"/>
      <c r="AN3084" s="17"/>
      <c r="AO3084" s="17"/>
      <c r="AP3084" s="28" t="str">
        <f t="shared" si="921"/>
        <v>20233</v>
      </c>
      <c r="AQ3084" s="28" t="str">
        <f t="shared" si="922"/>
        <v>20233RMB</v>
      </c>
      <c r="AR3084" s="206" t="str">
        <f t="shared" si="923"/>
        <v>YAMAHA_Mounter</v>
      </c>
      <c r="AS3084" s="22">
        <f t="shared" si="924"/>
        <v>2</v>
      </c>
      <c r="AT3084" s="24" t="str">
        <f t="shared" si="925"/>
        <v>0-3 months</v>
      </c>
      <c r="AU3084" s="22" t="s">
        <v>3750</v>
      </c>
    </row>
    <row r="3085" spans="1:47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910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926"/>
        <v>1225000</v>
      </c>
      <c r="AA3085" s="13">
        <v>1.1299999999999999</v>
      </c>
      <c r="AB3085" s="21">
        <f t="shared" si="912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13"/>
        <v>33543315.897345133</v>
      </c>
      <c r="AJ3085" s="19">
        <f t="shared" si="914"/>
        <v>4706169.3252984071</v>
      </c>
      <c r="AK3085" s="20">
        <f t="shared" si="920"/>
        <v>0.14030125523967318</v>
      </c>
      <c r="AL3085" s="17"/>
      <c r="AM3085" s="17"/>
      <c r="AN3085" s="17"/>
      <c r="AO3085" s="17"/>
      <c r="AP3085" s="28" t="str">
        <f t="shared" si="921"/>
        <v>20233</v>
      </c>
      <c r="AQ3085" s="28" t="str">
        <f t="shared" si="922"/>
        <v>20233RMB</v>
      </c>
      <c r="AR3085" s="206" t="str">
        <f t="shared" si="923"/>
        <v>YAMAHA_Mounter</v>
      </c>
      <c r="AS3085" s="22">
        <f t="shared" si="924"/>
        <v>2</v>
      </c>
      <c r="AT3085" s="24" t="str">
        <f t="shared" si="925"/>
        <v>0-3 months</v>
      </c>
      <c r="AU3085" s="22" t="s">
        <v>3750</v>
      </c>
    </row>
    <row r="3086" spans="1:47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910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926"/>
        <v>1225000</v>
      </c>
      <c r="AA3086" s="13">
        <v>1.1399999999999999</v>
      </c>
      <c r="AB3086" s="21">
        <f t="shared" si="912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13"/>
        <v>30573205.452778768</v>
      </c>
      <c r="AJ3086" s="19">
        <f t="shared" si="914"/>
        <v>3790930.1683151261</v>
      </c>
      <c r="AK3086" s="20">
        <f t="shared" si="920"/>
        <v>0.12399518179964254</v>
      </c>
      <c r="AL3086" s="17"/>
      <c r="AM3086" s="17"/>
      <c r="AN3086" s="17"/>
      <c r="AO3086" s="17"/>
      <c r="AP3086" s="28" t="str">
        <f t="shared" si="921"/>
        <v>20234</v>
      </c>
      <c r="AQ3086" s="28" t="str">
        <f t="shared" si="922"/>
        <v>20234RMB</v>
      </c>
      <c r="AR3086" s="206" t="str">
        <f t="shared" si="923"/>
        <v>YAMAHA_Mounter</v>
      </c>
      <c r="AS3086" s="22">
        <f t="shared" si="924"/>
        <v>3</v>
      </c>
      <c r="AT3086" s="24" t="str">
        <f t="shared" si="925"/>
        <v>0-3 months</v>
      </c>
      <c r="AU3086" s="22" t="s">
        <v>3750</v>
      </c>
    </row>
    <row r="3087" spans="1:47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910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927">IF(W3087="","",IF(W3087="RMB","1.13", "1"))</f>
        <v>1.13</v>
      </c>
      <c r="Z3087" s="196">
        <f t="shared" si="926"/>
        <v>390000</v>
      </c>
      <c r="AA3087" s="22">
        <v>1.08</v>
      </c>
      <c r="AB3087" s="197">
        <f t="shared" si="912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13"/>
        <v>25354039.366920356</v>
      </c>
      <c r="AJ3087" s="200">
        <f t="shared" si="914"/>
        <v>3028631.2816309328</v>
      </c>
      <c r="AK3087" s="201">
        <f t="shared" si="920"/>
        <v>0.11945360018579192</v>
      </c>
      <c r="AL3087" s="24"/>
      <c r="AM3087" s="24"/>
      <c r="AN3087" s="24"/>
      <c r="AO3087" s="24"/>
      <c r="AP3087" s="105" t="str">
        <f t="shared" si="921"/>
        <v>20248</v>
      </c>
      <c r="AQ3087" s="28" t="str">
        <f t="shared" si="922"/>
        <v>20248RMB</v>
      </c>
      <c r="AR3087" s="206" t="str">
        <f t="shared" si="923"/>
        <v>YAMAHA_Mounter</v>
      </c>
      <c r="AS3087" s="22">
        <f t="shared" si="924"/>
        <v>3</v>
      </c>
      <c r="AT3087" s="24" t="str">
        <f t="shared" si="925"/>
        <v>0-3 months</v>
      </c>
      <c r="AU3087" s="22" t="s">
        <v>3750</v>
      </c>
    </row>
    <row r="3088" spans="1:47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910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927"/>
        <v>1</v>
      </c>
      <c r="Z3088" s="196">
        <f t="shared" si="926"/>
        <v>11500000</v>
      </c>
      <c r="AA3088" s="22">
        <v>5.2299999999999999E-2</v>
      </c>
      <c r="AB3088" s="197">
        <f t="shared" si="912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13"/>
        <v>25354039.366920356</v>
      </c>
      <c r="AJ3088" s="200">
        <f t="shared" si="914"/>
        <v>3028631.2816309328</v>
      </c>
      <c r="AK3088" s="201">
        <f t="shared" si="920"/>
        <v>0.11945360018579192</v>
      </c>
      <c r="AL3088" s="24"/>
      <c r="AM3088" s="24"/>
      <c r="AN3088" s="24"/>
      <c r="AO3088" s="24"/>
      <c r="AP3088" s="105" t="str">
        <f t="shared" si="921"/>
        <v>20248</v>
      </c>
      <c r="AQ3088" s="28" t="str">
        <f t="shared" si="922"/>
        <v>20248JPY</v>
      </c>
      <c r="AR3088" s="206" t="str">
        <f t="shared" si="923"/>
        <v>YAMAHA_Mounter</v>
      </c>
      <c r="AS3088" s="22">
        <f t="shared" si="924"/>
        <v>3</v>
      </c>
      <c r="AT3088" s="24" t="str">
        <f t="shared" si="925"/>
        <v>0-3 months</v>
      </c>
      <c r="AU3088" s="22" t="s">
        <v>3744</v>
      </c>
    </row>
    <row r="3089" spans="1:47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910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927"/>
        <v>1</v>
      </c>
      <c r="Z3089" s="196">
        <f t="shared" si="926"/>
        <v>11800000</v>
      </c>
      <c r="AA3089" s="22">
        <v>5.2299999999999999E-2</v>
      </c>
      <c r="AB3089" s="197">
        <f t="shared" si="912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13"/>
        <v>25354039.366920356</v>
      </c>
      <c r="AJ3089" s="200">
        <f t="shared" si="914"/>
        <v>3028631.2816309328</v>
      </c>
      <c r="AK3089" s="201">
        <f t="shared" si="920"/>
        <v>0.11945360018579192</v>
      </c>
      <c r="AL3089" s="24"/>
      <c r="AM3089" s="24"/>
      <c r="AN3089" s="24"/>
      <c r="AO3089" s="24"/>
      <c r="AP3089" s="105" t="str">
        <f t="shared" si="921"/>
        <v>20248</v>
      </c>
      <c r="AQ3089" s="28" t="str">
        <f t="shared" si="922"/>
        <v>20248JPY</v>
      </c>
      <c r="AR3089" s="206" t="str">
        <f t="shared" si="923"/>
        <v>YAMAHA_Mounter</v>
      </c>
      <c r="AS3089" s="22">
        <f t="shared" si="924"/>
        <v>3</v>
      </c>
      <c r="AT3089" s="24" t="str">
        <f t="shared" si="925"/>
        <v>0-3 months</v>
      </c>
      <c r="AU3089" s="22" t="s">
        <v>3744</v>
      </c>
    </row>
    <row r="3090" spans="1:47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910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927"/>
        <v>1</v>
      </c>
      <c r="Z3090" s="196">
        <f t="shared" si="926"/>
        <v>12100000</v>
      </c>
      <c r="AA3090" s="22">
        <v>5.2299999999999999E-2</v>
      </c>
      <c r="AB3090" s="197">
        <f t="shared" si="912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13"/>
        <v>25354039.366920356</v>
      </c>
      <c r="AJ3090" s="200">
        <f t="shared" si="914"/>
        <v>3028631.2816309328</v>
      </c>
      <c r="AK3090" s="201">
        <f t="shared" si="920"/>
        <v>0.11945360018579192</v>
      </c>
      <c r="AL3090" s="24"/>
      <c r="AM3090" s="24"/>
      <c r="AN3090" s="24"/>
      <c r="AO3090" s="24"/>
      <c r="AP3090" s="105" t="str">
        <f t="shared" si="921"/>
        <v>20248</v>
      </c>
      <c r="AQ3090" s="28" t="str">
        <f t="shared" si="922"/>
        <v>20248JPY</v>
      </c>
      <c r="AR3090" s="206" t="str">
        <f t="shared" si="923"/>
        <v>YAMAHA_Mounter</v>
      </c>
      <c r="AS3090" s="22">
        <f t="shared" si="924"/>
        <v>2</v>
      </c>
      <c r="AT3090" s="24" t="str">
        <f t="shared" si="925"/>
        <v>0-3 months</v>
      </c>
      <c r="AU3090" s="22" t="s">
        <v>3745</v>
      </c>
    </row>
    <row r="3091" spans="1:47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910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927"/>
        <v>1</v>
      </c>
      <c r="Z3091" s="196">
        <f t="shared" si="926"/>
        <v>12100000</v>
      </c>
      <c r="AA3091" s="22">
        <v>5.2299999999999999E-2</v>
      </c>
      <c r="AB3091" s="197">
        <f t="shared" si="912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13"/>
        <v>25354039.366920356</v>
      </c>
      <c r="AJ3091" s="200">
        <f t="shared" si="914"/>
        <v>3028631.2816309328</v>
      </c>
      <c r="AK3091" s="201">
        <f t="shared" si="920"/>
        <v>0.11945360018579192</v>
      </c>
      <c r="AL3091" s="24"/>
      <c r="AM3091" s="24"/>
      <c r="AN3091" s="24"/>
      <c r="AO3091" s="24"/>
      <c r="AP3091" s="105" t="str">
        <f t="shared" si="921"/>
        <v>20248</v>
      </c>
      <c r="AQ3091" s="28" t="str">
        <f t="shared" si="922"/>
        <v>20248JPY</v>
      </c>
      <c r="AR3091" s="206" t="str">
        <f t="shared" si="923"/>
        <v>YAMAHA_Mounter</v>
      </c>
      <c r="AS3091" s="22">
        <f t="shared" si="924"/>
        <v>2</v>
      </c>
      <c r="AT3091" s="24" t="str">
        <f t="shared" si="925"/>
        <v>0-3 months</v>
      </c>
      <c r="AU3091" s="22" t="s">
        <v>3745</v>
      </c>
    </row>
    <row r="3092" spans="1:47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910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927"/>
        <v>1</v>
      </c>
      <c r="Z3092" s="196">
        <f t="shared" si="926"/>
        <v>12100000</v>
      </c>
      <c r="AA3092" s="22">
        <v>5.2299999999999999E-2</v>
      </c>
      <c r="AB3092" s="197">
        <f t="shared" si="912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13"/>
        <v>25354039.366920356</v>
      </c>
      <c r="AJ3092" s="200">
        <f t="shared" si="914"/>
        <v>3028631.2816309328</v>
      </c>
      <c r="AK3092" s="201">
        <f t="shared" si="920"/>
        <v>0.11945360018579192</v>
      </c>
      <c r="AL3092" s="24"/>
      <c r="AM3092" s="24"/>
      <c r="AN3092" s="24"/>
      <c r="AO3092" s="24"/>
      <c r="AP3092" s="105" t="str">
        <f t="shared" si="921"/>
        <v>20248</v>
      </c>
      <c r="AQ3092" s="28" t="str">
        <f t="shared" si="922"/>
        <v>20248JPY</v>
      </c>
      <c r="AR3092" s="206" t="str">
        <f t="shared" si="923"/>
        <v>YAMAHA_Mounter</v>
      </c>
      <c r="AS3092" s="22">
        <f t="shared" si="924"/>
        <v>2</v>
      </c>
      <c r="AT3092" s="24" t="str">
        <f t="shared" si="925"/>
        <v>0-3 months</v>
      </c>
      <c r="AU3092" s="22" t="s">
        <v>3745</v>
      </c>
    </row>
    <row r="3093" spans="1:47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910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926"/>
        <v>553500</v>
      </c>
      <c r="AA3093" s="13">
        <v>1.175</v>
      </c>
      <c r="AB3093" s="21">
        <f t="shared" si="912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13"/>
        <v>48763143.537654862</v>
      </c>
      <c r="AJ3093" s="19">
        <f t="shared" si="914"/>
        <v>5924029.9702154724</v>
      </c>
      <c r="AK3093" s="20">
        <f t="shared" si="920"/>
        <v>0.1214858095774925</v>
      </c>
      <c r="AL3093" s="17"/>
      <c r="AM3093" s="17"/>
      <c r="AN3093" s="17"/>
      <c r="AO3093" s="17"/>
      <c r="AP3093" s="28" t="str">
        <f t="shared" si="921"/>
        <v>202012</v>
      </c>
      <c r="AQ3093" s="28" t="str">
        <f t="shared" si="922"/>
        <v>202012RMB</v>
      </c>
      <c r="AR3093" s="206" t="str">
        <f t="shared" si="923"/>
        <v>YAMAHA_Mounter</v>
      </c>
      <c r="AS3093" s="22">
        <f t="shared" si="924"/>
        <v>1</v>
      </c>
      <c r="AT3093" s="24" t="str">
        <f t="shared" si="925"/>
        <v>0-3 months</v>
      </c>
      <c r="AU3093" s="22" t="s">
        <v>3743</v>
      </c>
    </row>
    <row r="3094" spans="1:47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928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926"/>
        <v>10337775</v>
      </c>
      <c r="AA3094" s="13">
        <v>7.22E-2</v>
      </c>
      <c r="AB3094" s="21">
        <f t="shared" si="912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13"/>
        <v>29946107.503386207</v>
      </c>
      <c r="AJ3094" s="19">
        <f t="shared" si="914"/>
        <v>3987206.4954923098</v>
      </c>
      <c r="AK3094" s="20">
        <f t="shared" si="920"/>
        <v>0.13314606898547499</v>
      </c>
      <c r="AL3094" s="17"/>
      <c r="AM3094" s="17"/>
      <c r="AN3094" s="17"/>
      <c r="AO3094" s="17"/>
      <c r="AP3094" s="28" t="str">
        <f t="shared" si="921"/>
        <v>20187</v>
      </c>
      <c r="AQ3094" s="28" t="str">
        <f t="shared" si="922"/>
        <v>20187JPY</v>
      </c>
      <c r="AR3094" s="206" t="str">
        <f t="shared" si="923"/>
        <v>YAMAHA_Mounter</v>
      </c>
      <c r="AS3094" s="22">
        <f t="shared" si="924"/>
        <v>12</v>
      </c>
      <c r="AT3094" s="24" t="str">
        <f t="shared" si="925"/>
        <v>&gt; 6 months</v>
      </c>
      <c r="AU3094" s="22" t="s">
        <v>3744</v>
      </c>
    </row>
    <row r="3095" spans="1:47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928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926"/>
        <v>570000</v>
      </c>
      <c r="AA3095" s="13">
        <v>1.1599999999999999</v>
      </c>
      <c r="AB3095" s="21">
        <f t="shared" si="912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13"/>
        <v>14593788.187146019</v>
      </c>
      <c r="AJ3095" s="19">
        <f t="shared" si="914"/>
        <v>1868647.7321969916</v>
      </c>
      <c r="AK3095" s="20">
        <f t="shared" si="920"/>
        <v>0.12804404916900652</v>
      </c>
      <c r="AL3095" s="17"/>
      <c r="AM3095" s="17"/>
      <c r="AN3095" s="17"/>
      <c r="AO3095" s="17"/>
      <c r="AP3095" s="28" t="str">
        <f t="shared" si="921"/>
        <v>20195</v>
      </c>
      <c r="AQ3095" s="28" t="str">
        <f t="shared" si="922"/>
        <v>20195RMB</v>
      </c>
      <c r="AR3095" s="206" t="str">
        <f t="shared" si="923"/>
        <v>YAMAHA_Mounter</v>
      </c>
      <c r="AS3095" s="22">
        <f t="shared" si="924"/>
        <v>0</v>
      </c>
      <c r="AT3095" s="24" t="str">
        <f t="shared" si="925"/>
        <v>0-3 months</v>
      </c>
      <c r="AU3095" s="22" t="s">
        <v>3744</v>
      </c>
    </row>
    <row r="3096" spans="1:47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928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926"/>
        <v>10400000</v>
      </c>
      <c r="AA3096" s="13">
        <v>7.2999999999999995E-2</v>
      </c>
      <c r="AB3096" s="21">
        <f t="shared" si="912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13"/>
        <v>23168285.927433632</v>
      </c>
      <c r="AJ3096" s="19">
        <f t="shared" si="914"/>
        <v>2764878.916878053</v>
      </c>
      <c r="AK3096" s="20">
        <f t="shared" si="920"/>
        <v>0.11933895004309111</v>
      </c>
      <c r="AL3096" s="17"/>
      <c r="AM3096" s="17"/>
      <c r="AN3096" s="17"/>
      <c r="AO3096" s="17"/>
      <c r="AP3096" s="28" t="str">
        <f t="shared" si="921"/>
        <v>20203</v>
      </c>
      <c r="AQ3096" s="28" t="str">
        <f t="shared" si="922"/>
        <v>20203JPY</v>
      </c>
      <c r="AR3096" s="206" t="str">
        <f t="shared" si="923"/>
        <v>YAMAHA_Mounter</v>
      </c>
      <c r="AS3096" s="22">
        <f t="shared" si="924"/>
        <v>2</v>
      </c>
      <c r="AT3096" s="24" t="str">
        <f t="shared" si="925"/>
        <v>0-3 months</v>
      </c>
      <c r="AU3096" s="22" t="s">
        <v>3745</v>
      </c>
    </row>
    <row r="3097" spans="1:47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928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926"/>
        <v>7200000</v>
      </c>
      <c r="AA3097" s="13">
        <v>7.2999999999999995E-2</v>
      </c>
      <c r="AB3097" s="21">
        <f t="shared" si="912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13"/>
        <v>23168285.927433632</v>
      </c>
      <c r="AJ3097" s="19">
        <f t="shared" si="914"/>
        <v>2764878.916878053</v>
      </c>
      <c r="AK3097" s="20">
        <f t="shared" si="920"/>
        <v>0.11933895004309111</v>
      </c>
      <c r="AL3097" s="17"/>
      <c r="AM3097" s="17"/>
      <c r="AN3097" s="17"/>
      <c r="AO3097" s="17"/>
      <c r="AP3097" s="28" t="str">
        <f t="shared" si="921"/>
        <v>20203</v>
      </c>
      <c r="AQ3097" s="28" t="str">
        <f t="shared" si="922"/>
        <v>20203JPY</v>
      </c>
      <c r="AR3097" s="206" t="str">
        <f t="shared" si="923"/>
        <v>YAMAHA_Mounter</v>
      </c>
      <c r="AS3097" s="22">
        <f t="shared" si="924"/>
        <v>2</v>
      </c>
      <c r="AT3097" s="24" t="str">
        <f t="shared" si="925"/>
        <v>0-3 months</v>
      </c>
      <c r="AU3097" s="22" t="s">
        <v>3745</v>
      </c>
    </row>
    <row r="3098" spans="1:47" s="12" customFormat="1">
      <c r="A3098" s="33" t="str">
        <f t="shared" si="915"/>
        <v>cancel</v>
      </c>
      <c r="B3098" s="152"/>
      <c r="C3098" s="152" t="s">
        <v>185</v>
      </c>
      <c r="D3098" s="33" t="str">
        <f t="shared" si="916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917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928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926"/>
        <v>8150000</v>
      </c>
      <c r="AA3098" s="13">
        <v>7.17E-2</v>
      </c>
      <c r="AB3098" s="21">
        <f t="shared" si="912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13"/>
        <v>499582152.5142017</v>
      </c>
      <c r="AJ3098" s="19">
        <f t="shared" si="914"/>
        <v>59520528.679470733</v>
      </c>
      <c r="AK3098" s="20">
        <f t="shared" si="920"/>
        <v>0.11914062257814291</v>
      </c>
      <c r="AL3098" s="17"/>
      <c r="AM3098" s="17"/>
      <c r="AN3098" s="17"/>
      <c r="AO3098" s="17"/>
      <c r="AP3098" s="28" t="str">
        <f t="shared" si="921"/>
        <v>CancelCancel</v>
      </c>
      <c r="AQ3098" s="28" t="str">
        <f t="shared" si="922"/>
        <v>CancelCancelJPY</v>
      </c>
      <c r="AR3098" s="206" t="str">
        <f t="shared" si="923"/>
        <v>YAMAHA_Mounter</v>
      </c>
      <c r="AS3098" s="22" t="str">
        <f t="shared" si="924"/>
        <v/>
      </c>
      <c r="AT3098" s="24" t="str">
        <f t="shared" si="925"/>
        <v/>
      </c>
      <c r="AU3098" s="22" t="s">
        <v>3744</v>
      </c>
    </row>
    <row r="3099" spans="1:47" s="12" customFormat="1">
      <c r="A3099" s="33" t="str">
        <f t="shared" si="915"/>
        <v>cancel</v>
      </c>
      <c r="B3099" s="152"/>
      <c r="C3099" s="152" t="s">
        <v>185</v>
      </c>
      <c r="D3099" s="33" t="str">
        <f t="shared" si="916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917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928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926"/>
        <v>8150000</v>
      </c>
      <c r="AA3099" s="13">
        <v>7.17E-2</v>
      </c>
      <c r="AB3099" s="21">
        <f t="shared" si="912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13"/>
        <v>499582152.5142017</v>
      </c>
      <c r="AJ3099" s="19">
        <f t="shared" si="914"/>
        <v>59520528.679470733</v>
      </c>
      <c r="AK3099" s="20">
        <f t="shared" si="920"/>
        <v>0.11914062257814291</v>
      </c>
      <c r="AL3099" s="17"/>
      <c r="AM3099" s="17"/>
      <c r="AN3099" s="17"/>
      <c r="AO3099" s="17"/>
      <c r="AP3099" s="28" t="str">
        <f t="shared" si="921"/>
        <v>CancelCancel</v>
      </c>
      <c r="AQ3099" s="28" t="str">
        <f t="shared" si="922"/>
        <v>CancelCancelJPY</v>
      </c>
      <c r="AR3099" s="206" t="str">
        <f t="shared" si="923"/>
        <v>YAMAHA_Mounter</v>
      </c>
      <c r="AS3099" s="22" t="str">
        <f t="shared" si="924"/>
        <v/>
      </c>
      <c r="AT3099" s="24" t="str">
        <f t="shared" si="925"/>
        <v/>
      </c>
      <c r="AU3099" s="22" t="s">
        <v>3744</v>
      </c>
    </row>
    <row r="3100" spans="1:47" s="12" customFormat="1">
      <c r="A3100" s="33" t="str">
        <f t="shared" si="915"/>
        <v>cancel</v>
      </c>
      <c r="B3100" s="152"/>
      <c r="C3100" s="152" t="s">
        <v>185</v>
      </c>
      <c r="D3100" s="33" t="str">
        <f t="shared" si="916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917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928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926"/>
        <v>8150000</v>
      </c>
      <c r="AA3100" s="13">
        <v>7.3999999999999996E-2</v>
      </c>
      <c r="AB3100" s="21">
        <f t="shared" si="912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13"/>
        <v>499582152.5142017</v>
      </c>
      <c r="AJ3100" s="19">
        <f t="shared" si="914"/>
        <v>59520528.679470733</v>
      </c>
      <c r="AK3100" s="20">
        <f t="shared" si="920"/>
        <v>0.11914062257814291</v>
      </c>
      <c r="AL3100" s="17"/>
      <c r="AM3100" s="17"/>
      <c r="AN3100" s="17"/>
      <c r="AO3100" s="17"/>
      <c r="AP3100" s="28" t="str">
        <f t="shared" si="921"/>
        <v>CancelCancel</v>
      </c>
      <c r="AQ3100" s="28" t="str">
        <f t="shared" si="922"/>
        <v>CancelCancelJPY</v>
      </c>
      <c r="AR3100" s="206" t="str">
        <f t="shared" si="923"/>
        <v>YAMAHA_Mounter</v>
      </c>
      <c r="AS3100" s="22" t="str">
        <f t="shared" si="924"/>
        <v/>
      </c>
      <c r="AT3100" s="24" t="str">
        <f t="shared" si="925"/>
        <v/>
      </c>
      <c r="AU3100" s="22" t="s">
        <v>3744</v>
      </c>
    </row>
    <row r="3101" spans="1:47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928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926"/>
        <v>1010000</v>
      </c>
      <c r="AA3101" s="13">
        <v>1.135</v>
      </c>
      <c r="AB3101" s="21">
        <f t="shared" si="912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13"/>
        <v>28011162.254106201</v>
      </c>
      <c r="AJ3101" s="19">
        <f t="shared" si="914"/>
        <v>3401347.1124888416</v>
      </c>
      <c r="AK3101" s="20">
        <f t="shared" si="920"/>
        <v>0.12142827497242578</v>
      </c>
      <c r="AL3101" s="17"/>
      <c r="AM3101" s="17"/>
      <c r="AN3101" s="17"/>
      <c r="AO3101" s="17"/>
      <c r="AP3101" s="28" t="str">
        <f t="shared" si="921"/>
        <v>202010</v>
      </c>
      <c r="AQ3101" s="28" t="str">
        <f t="shared" si="922"/>
        <v>202010RMB</v>
      </c>
      <c r="AR3101" s="206" t="str">
        <f t="shared" si="923"/>
        <v>YAMAHA_Mounter</v>
      </c>
      <c r="AS3101" s="22">
        <f t="shared" si="924"/>
        <v>2</v>
      </c>
      <c r="AT3101" s="24" t="str">
        <f t="shared" si="925"/>
        <v>0-3 months</v>
      </c>
      <c r="AU3101" s="22" t="s">
        <v>3743</v>
      </c>
    </row>
    <row r="3102" spans="1:47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928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929">IF(W3102="RMB","1.13", "1")</f>
        <v>1</v>
      </c>
      <c r="Z3102" s="18">
        <f t="shared" si="926"/>
        <v>7100000</v>
      </c>
      <c r="AA3102" s="13">
        <v>7.2099999999999997E-2</v>
      </c>
      <c r="AB3102" s="21">
        <f t="shared" si="912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13"/>
        <v>54700260.692079648</v>
      </c>
      <c r="AJ3102" s="19">
        <f t="shared" si="914"/>
        <v>7482899.5749188727</v>
      </c>
      <c r="AK3102" s="20">
        <f t="shared" si="920"/>
        <v>0.13679824337660537</v>
      </c>
      <c r="AL3102" s="17"/>
      <c r="AM3102" s="17"/>
      <c r="AN3102" s="17"/>
      <c r="AO3102" s="17"/>
      <c r="AP3102" s="28" t="str">
        <f t="shared" si="921"/>
        <v>20216</v>
      </c>
      <c r="AQ3102" s="28" t="str">
        <f t="shared" si="922"/>
        <v>20216JPY</v>
      </c>
      <c r="AR3102" s="206" t="str">
        <f t="shared" si="923"/>
        <v>YAMAHA_Mounter</v>
      </c>
      <c r="AS3102" s="22">
        <f t="shared" si="924"/>
        <v>3</v>
      </c>
      <c r="AT3102" s="24" t="str">
        <f t="shared" si="925"/>
        <v>0-3 months</v>
      </c>
      <c r="AU3102" s="22" t="s">
        <v>3744</v>
      </c>
    </row>
    <row r="3103" spans="1:47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928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929"/>
        <v>1</v>
      </c>
      <c r="Z3103" s="18">
        <f t="shared" si="926"/>
        <v>7100000</v>
      </c>
      <c r="AA3103" s="13">
        <v>7.2099999999999997E-2</v>
      </c>
      <c r="AB3103" s="21">
        <f t="shared" si="912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13"/>
        <v>54700260.692079648</v>
      </c>
      <c r="AJ3103" s="19">
        <f t="shared" si="914"/>
        <v>7482899.5749188727</v>
      </c>
      <c r="AK3103" s="20">
        <f t="shared" si="920"/>
        <v>0.13679824337660537</v>
      </c>
      <c r="AL3103" s="17"/>
      <c r="AM3103" s="17"/>
      <c r="AN3103" s="17"/>
      <c r="AO3103" s="17"/>
      <c r="AP3103" s="28" t="str">
        <f t="shared" si="921"/>
        <v>20216</v>
      </c>
      <c r="AQ3103" s="28" t="str">
        <f t="shared" si="922"/>
        <v>20216JPY</v>
      </c>
      <c r="AR3103" s="206" t="str">
        <f t="shared" si="923"/>
        <v>YAMAHA_Mounter</v>
      </c>
      <c r="AS3103" s="22">
        <f t="shared" si="924"/>
        <v>3</v>
      </c>
      <c r="AT3103" s="24" t="str">
        <f t="shared" si="925"/>
        <v>0-3 months</v>
      </c>
      <c r="AU3103" s="22" t="s">
        <v>3744</v>
      </c>
    </row>
    <row r="3104" spans="1:47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928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929"/>
        <v>1</v>
      </c>
      <c r="Z3104" s="18">
        <f t="shared" si="926"/>
        <v>7100000</v>
      </c>
      <c r="AA3104" s="13">
        <v>6.9199999999999998E-2</v>
      </c>
      <c r="AB3104" s="21">
        <f t="shared" si="912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13"/>
        <v>31750699.113741599</v>
      </c>
      <c r="AJ3104" s="19">
        <f t="shared" si="914"/>
        <v>4396077.3195289988</v>
      </c>
      <c r="AK3104" s="20">
        <f t="shared" si="920"/>
        <v>0.13845607946397598</v>
      </c>
      <c r="AL3104" s="17"/>
      <c r="AM3104" s="17"/>
      <c r="AN3104" s="17"/>
      <c r="AO3104" s="17"/>
      <c r="AP3104" s="28" t="str">
        <f t="shared" si="921"/>
        <v>20222</v>
      </c>
      <c r="AQ3104" s="28" t="str">
        <f t="shared" si="922"/>
        <v>20222JPY</v>
      </c>
      <c r="AR3104" s="206" t="str">
        <f t="shared" si="923"/>
        <v>YAMAHA_Mounter</v>
      </c>
      <c r="AS3104" s="22">
        <f t="shared" si="924"/>
        <v>11</v>
      </c>
      <c r="AT3104" s="24" t="str">
        <f t="shared" si="925"/>
        <v>&gt; 6 months</v>
      </c>
      <c r="AU3104" s="22" t="s">
        <v>3744</v>
      </c>
    </row>
    <row r="3105" spans="1:47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928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929"/>
        <v>1</v>
      </c>
      <c r="Z3105" s="18">
        <f t="shared" si="926"/>
        <v>7100000</v>
      </c>
      <c r="AA3105" s="13">
        <v>6.9199999999999998E-2</v>
      </c>
      <c r="AB3105" s="21">
        <f t="shared" si="912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13"/>
        <v>31750699.113741599</v>
      </c>
      <c r="AJ3105" s="19">
        <f t="shared" si="914"/>
        <v>4396077.3195289988</v>
      </c>
      <c r="AK3105" s="20">
        <f t="shared" si="920"/>
        <v>0.13845607946397598</v>
      </c>
      <c r="AL3105" s="17"/>
      <c r="AM3105" s="17"/>
      <c r="AN3105" s="17"/>
      <c r="AO3105" s="17"/>
      <c r="AP3105" s="28" t="str">
        <f t="shared" si="921"/>
        <v>20222</v>
      </c>
      <c r="AQ3105" s="28" t="str">
        <f t="shared" si="922"/>
        <v>20222JPY</v>
      </c>
      <c r="AR3105" s="206" t="str">
        <f t="shared" si="923"/>
        <v>YAMAHA_Mounter</v>
      </c>
      <c r="AS3105" s="22">
        <f t="shared" si="924"/>
        <v>11</v>
      </c>
      <c r="AT3105" s="24" t="str">
        <f t="shared" si="925"/>
        <v>&gt; 6 months</v>
      </c>
      <c r="AU3105" s="22" t="s">
        <v>3744</v>
      </c>
    </row>
    <row r="3106" spans="1:47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928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929"/>
        <v>1</v>
      </c>
      <c r="Z3106" s="18">
        <f t="shared" si="926"/>
        <v>7100000</v>
      </c>
      <c r="AA3106" s="13">
        <v>6.54E-2</v>
      </c>
      <c r="AB3106" s="21">
        <f t="shared" si="912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13"/>
        <v>46600814.041769907</v>
      </c>
      <c r="AJ3106" s="19">
        <f t="shared" si="914"/>
        <v>5956366.3435927071</v>
      </c>
      <c r="AK3106" s="20">
        <f t="shared" si="920"/>
        <v>0.1278167874546958</v>
      </c>
      <c r="AL3106" s="17"/>
      <c r="AM3106" s="17"/>
      <c r="AN3106" s="17"/>
      <c r="AO3106" s="17"/>
      <c r="AP3106" s="28" t="str">
        <f t="shared" si="921"/>
        <v>20224</v>
      </c>
      <c r="AQ3106" s="28" t="str">
        <f t="shared" si="922"/>
        <v>20224JPY</v>
      </c>
      <c r="AR3106" s="206" t="str">
        <f t="shared" si="923"/>
        <v>YAMAHA_Mounter</v>
      </c>
      <c r="AS3106" s="22">
        <f t="shared" si="924"/>
        <v>13</v>
      </c>
      <c r="AT3106" s="24" t="str">
        <f t="shared" si="925"/>
        <v>&gt; 6 months</v>
      </c>
      <c r="AU3106" s="22" t="s">
        <v>3744</v>
      </c>
    </row>
    <row r="3107" spans="1:47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928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929"/>
        <v>1</v>
      </c>
      <c r="Z3107" s="18">
        <f t="shared" si="926"/>
        <v>7100000</v>
      </c>
      <c r="AA3107" s="13">
        <v>6.54E-2</v>
      </c>
      <c r="AB3107" s="21">
        <f t="shared" si="912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13"/>
        <v>46600814.041769907</v>
      </c>
      <c r="AJ3107" s="19">
        <f t="shared" si="914"/>
        <v>5956366.3435927071</v>
      </c>
      <c r="AK3107" s="20">
        <f t="shared" si="920"/>
        <v>0.1278167874546958</v>
      </c>
      <c r="AL3107" s="17"/>
      <c r="AM3107" s="17"/>
      <c r="AN3107" s="17"/>
      <c r="AO3107" s="17"/>
      <c r="AP3107" s="28" t="str">
        <f t="shared" si="921"/>
        <v>20224</v>
      </c>
      <c r="AQ3107" s="28" t="str">
        <f t="shared" si="922"/>
        <v>20224JPY</v>
      </c>
      <c r="AR3107" s="206" t="str">
        <f t="shared" si="923"/>
        <v>YAMAHA_Mounter</v>
      </c>
      <c r="AS3107" s="22">
        <f t="shared" si="924"/>
        <v>13</v>
      </c>
      <c r="AT3107" s="24" t="str">
        <f t="shared" si="925"/>
        <v>&gt; 6 months</v>
      </c>
      <c r="AU3107" s="22" t="s">
        <v>3744</v>
      </c>
    </row>
    <row r="3108" spans="1:47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928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926"/>
        <v>10000000</v>
      </c>
      <c r="AA3108" s="13">
        <v>7.2099999999999997E-2</v>
      </c>
      <c r="AB3108" s="21">
        <f t="shared" si="912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13"/>
        <v>26754147.763010349</v>
      </c>
      <c r="AJ3108" s="19">
        <f t="shared" si="914"/>
        <v>3429137.9965357962</v>
      </c>
      <c r="AK3108" s="20">
        <f t="shared" si="920"/>
        <v>0.12817220069617921</v>
      </c>
      <c r="AL3108" s="17"/>
      <c r="AM3108" s="17"/>
      <c r="AN3108" s="17"/>
      <c r="AO3108" s="17"/>
      <c r="AP3108" s="28" t="str">
        <f t="shared" si="921"/>
        <v>20188</v>
      </c>
      <c r="AQ3108" s="28" t="str">
        <f t="shared" si="922"/>
        <v>20188JPY</v>
      </c>
      <c r="AR3108" s="206" t="str">
        <f t="shared" si="923"/>
        <v>YAMAHA_Mounter</v>
      </c>
      <c r="AS3108" s="22" t="str">
        <f t="shared" si="924"/>
        <v/>
      </c>
      <c r="AT3108" s="24" t="str">
        <f t="shared" si="925"/>
        <v/>
      </c>
      <c r="AU3108" s="22" t="s">
        <v>3745</v>
      </c>
    </row>
    <row r="3109" spans="1:47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928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926"/>
        <v>20000000</v>
      </c>
      <c r="AA3109" s="13">
        <v>7.2099999999999997E-2</v>
      </c>
      <c r="AB3109" s="21">
        <f t="shared" si="912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13"/>
        <v>26492741.106427077</v>
      </c>
      <c r="AJ3109" s="19">
        <f t="shared" si="914"/>
        <v>3348032.1325698122</v>
      </c>
      <c r="AK3109" s="20">
        <f t="shared" si="920"/>
        <v>0.12637545201985867</v>
      </c>
      <c r="AL3109" s="17"/>
      <c r="AM3109" s="17"/>
      <c r="AN3109" s="17"/>
      <c r="AO3109" s="17"/>
      <c r="AP3109" s="28" t="str">
        <f t="shared" si="921"/>
        <v>20189</v>
      </c>
      <c r="AQ3109" s="28" t="str">
        <f t="shared" si="922"/>
        <v>20189JPY</v>
      </c>
      <c r="AR3109" s="206" t="str">
        <f t="shared" si="923"/>
        <v>YAMAHA_Mounter</v>
      </c>
      <c r="AS3109" s="22">
        <f t="shared" si="924"/>
        <v>7</v>
      </c>
      <c r="AT3109" s="24" t="str">
        <f t="shared" si="925"/>
        <v>&gt; 6 months</v>
      </c>
      <c r="AU3109" s="22" t="s">
        <v>3745</v>
      </c>
    </row>
    <row r="3110" spans="1:47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928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926"/>
        <v>10000000</v>
      </c>
      <c r="AA3110" s="13">
        <v>7.22E-2</v>
      </c>
      <c r="AB3110" s="21">
        <f t="shared" si="912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13"/>
        <v>47416008.333399981</v>
      </c>
      <c r="AJ3110" s="19">
        <f t="shared" si="914"/>
        <v>6981738.4465290187</v>
      </c>
      <c r="AK3110" s="20">
        <f t="shared" si="920"/>
        <v>0.14724433143839863</v>
      </c>
      <c r="AL3110" s="17"/>
      <c r="AM3110" s="17"/>
      <c r="AN3110" s="17"/>
      <c r="AO3110" s="17"/>
      <c r="AP3110" s="28" t="str">
        <f t="shared" si="921"/>
        <v>20193</v>
      </c>
      <c r="AQ3110" s="28" t="str">
        <f t="shared" si="922"/>
        <v>20193JPY</v>
      </c>
      <c r="AR3110" s="206" t="str">
        <f t="shared" si="923"/>
        <v>YAMAHA_Mounter</v>
      </c>
      <c r="AS3110" s="22">
        <f t="shared" si="924"/>
        <v>13</v>
      </c>
      <c r="AT3110" s="24" t="str">
        <f t="shared" si="925"/>
        <v>&gt; 6 months</v>
      </c>
      <c r="AU3110" s="22" t="s">
        <v>3745</v>
      </c>
    </row>
    <row r="3111" spans="1:47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928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926"/>
        <v>760000</v>
      </c>
      <c r="AA3111" s="13">
        <v>1.135</v>
      </c>
      <c r="AB3111" s="21">
        <f t="shared" si="912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13"/>
        <v>21386017.707964607</v>
      </c>
      <c r="AJ3111" s="19">
        <f t="shared" si="914"/>
        <v>2238764.3265707968</v>
      </c>
      <c r="AK3111" s="20">
        <f t="shared" si="920"/>
        <v>0.10468355339185161</v>
      </c>
      <c r="AL3111" s="17"/>
      <c r="AM3111" s="17"/>
      <c r="AN3111" s="17"/>
      <c r="AO3111" s="17"/>
      <c r="AP3111" s="28" t="str">
        <f t="shared" si="921"/>
        <v>20198</v>
      </c>
      <c r="AQ3111" s="28" t="str">
        <f t="shared" si="922"/>
        <v>20198RMB</v>
      </c>
      <c r="AR3111" s="206" t="str">
        <f t="shared" si="923"/>
        <v>YAMAHA_Mounter</v>
      </c>
      <c r="AS3111" s="22">
        <f t="shared" si="924"/>
        <v>0</v>
      </c>
      <c r="AT3111" s="24" t="str">
        <f t="shared" si="925"/>
        <v>0-3 months</v>
      </c>
      <c r="AU3111" s="22" t="s">
        <v>3240</v>
      </c>
    </row>
    <row r="3112" spans="1:47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928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926"/>
        <v>760000</v>
      </c>
      <c r="AA3112" s="13">
        <v>1.1100000000000001</v>
      </c>
      <c r="AB3112" s="21">
        <f t="shared" si="912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13"/>
        <v>26147030.909862842</v>
      </c>
      <c r="AJ3112" s="19">
        <f t="shared" si="914"/>
        <v>2743862.8630715334</v>
      </c>
      <c r="AK3112" s="20">
        <f t="shared" si="920"/>
        <v>0.10493974908778378</v>
      </c>
      <c r="AL3112" s="17"/>
      <c r="AM3112" s="17"/>
      <c r="AN3112" s="17"/>
      <c r="AO3112" s="17"/>
      <c r="AP3112" s="28" t="str">
        <f t="shared" si="921"/>
        <v>201911</v>
      </c>
      <c r="AQ3112" s="28" t="str">
        <f t="shared" si="922"/>
        <v>201911RMB</v>
      </c>
      <c r="AR3112" s="206" t="str">
        <f t="shared" si="923"/>
        <v>YAMAHA_Mounter</v>
      </c>
      <c r="AS3112" s="22">
        <f t="shared" si="924"/>
        <v>3</v>
      </c>
      <c r="AT3112" s="24" t="str">
        <f t="shared" si="925"/>
        <v>0-3 months</v>
      </c>
      <c r="AU3112" s="22" t="s">
        <v>3743</v>
      </c>
    </row>
    <row r="3113" spans="1:47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928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926"/>
        <v>550000</v>
      </c>
      <c r="AA3113" s="13">
        <v>1.095</v>
      </c>
      <c r="AB3113" s="21">
        <f t="shared" si="912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13"/>
        <v>37599388.802345134</v>
      </c>
      <c r="AJ3113" s="19">
        <f t="shared" si="914"/>
        <v>4866784.3630338367</v>
      </c>
      <c r="AK3113" s="20">
        <f t="shared" si="920"/>
        <v>0.12943785838163113</v>
      </c>
      <c r="AL3113" s="17"/>
      <c r="AM3113" s="17"/>
      <c r="AN3113" s="17"/>
      <c r="AO3113" s="17"/>
      <c r="AP3113" s="28" t="str">
        <f t="shared" si="921"/>
        <v>20199</v>
      </c>
      <c r="AQ3113" s="28" t="str">
        <f t="shared" si="922"/>
        <v>20199RMB</v>
      </c>
      <c r="AR3113" s="206" t="str">
        <f t="shared" si="923"/>
        <v>YAMAHA_Mounter</v>
      </c>
      <c r="AS3113" s="22">
        <f t="shared" si="924"/>
        <v>1</v>
      </c>
      <c r="AT3113" s="24" t="str">
        <f t="shared" si="925"/>
        <v>0-3 months</v>
      </c>
      <c r="AU3113" s="22" t="s">
        <v>3743</v>
      </c>
    </row>
    <row r="3114" spans="1:47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917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928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926"/>
        <v>760000</v>
      </c>
      <c r="AA3114" s="13">
        <v>1.095</v>
      </c>
      <c r="AB3114" s="21">
        <f t="shared" si="912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13"/>
        <v>499582152.5142017</v>
      </c>
      <c r="AJ3114" s="19">
        <f t="shared" si="914"/>
        <v>59520528.679470733</v>
      </c>
      <c r="AK3114" s="20">
        <f t="shared" si="920"/>
        <v>0.11914062257814291</v>
      </c>
      <c r="AL3114" s="17"/>
      <c r="AM3114" s="17"/>
      <c r="AN3114" s="17"/>
      <c r="AO3114" s="17"/>
      <c r="AP3114" s="28" t="str">
        <f t="shared" si="921"/>
        <v>CancelCancel</v>
      </c>
      <c r="AQ3114" s="28" t="str">
        <f t="shared" si="922"/>
        <v>CancelCancelRMB</v>
      </c>
      <c r="AR3114" s="206" t="str">
        <f t="shared" si="923"/>
        <v>YAMAHA_Mounter</v>
      </c>
      <c r="AS3114" s="22" t="str">
        <f t="shared" si="924"/>
        <v/>
      </c>
      <c r="AT3114" s="24" t="str">
        <f t="shared" si="925"/>
        <v/>
      </c>
      <c r="AU3114" s="22" t="s">
        <v>3240</v>
      </c>
    </row>
    <row r="3115" spans="1:47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917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928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926"/>
        <v>550000</v>
      </c>
      <c r="AA3115" s="13">
        <v>1.095</v>
      </c>
      <c r="AB3115" s="21">
        <f t="shared" si="912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13"/>
        <v>499582152.5142017</v>
      </c>
      <c r="AJ3115" s="19">
        <f t="shared" si="914"/>
        <v>59520528.679470733</v>
      </c>
      <c r="AK3115" s="20">
        <f t="shared" si="920"/>
        <v>0.11914062257814291</v>
      </c>
      <c r="AL3115" s="17"/>
      <c r="AM3115" s="17"/>
      <c r="AN3115" s="17"/>
      <c r="AO3115" s="17"/>
      <c r="AP3115" s="28" t="str">
        <f t="shared" si="921"/>
        <v>CancelCancel</v>
      </c>
      <c r="AQ3115" s="28" t="str">
        <f t="shared" si="922"/>
        <v>CancelCancelRMB</v>
      </c>
      <c r="AR3115" s="206" t="str">
        <f t="shared" si="923"/>
        <v>YAMAHA_Mounter</v>
      </c>
      <c r="AS3115" s="22" t="str">
        <f t="shared" si="924"/>
        <v/>
      </c>
      <c r="AT3115" s="24" t="str">
        <f t="shared" si="925"/>
        <v/>
      </c>
      <c r="AU3115" s="22" t="s">
        <v>3743</v>
      </c>
    </row>
    <row r="3116" spans="1:47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917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928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926"/>
        <v>550000</v>
      </c>
      <c r="AA3116" s="13">
        <v>1.095</v>
      </c>
      <c r="AB3116" s="21">
        <f t="shared" si="912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13"/>
        <v>499582152.5142017</v>
      </c>
      <c r="AJ3116" s="19">
        <f t="shared" si="914"/>
        <v>59520528.679470733</v>
      </c>
      <c r="AK3116" s="20">
        <f t="shared" si="920"/>
        <v>0.11914062257814291</v>
      </c>
      <c r="AL3116" s="17"/>
      <c r="AM3116" s="17"/>
      <c r="AN3116" s="17"/>
      <c r="AO3116" s="17"/>
      <c r="AP3116" s="28" t="str">
        <f t="shared" si="921"/>
        <v>CancelCancel</v>
      </c>
      <c r="AQ3116" s="28" t="str">
        <f t="shared" si="922"/>
        <v>CancelCancelRMB</v>
      </c>
      <c r="AR3116" s="206" t="str">
        <f t="shared" si="923"/>
        <v>YAMAHA_Mounter</v>
      </c>
      <c r="AS3116" s="22" t="str">
        <f t="shared" si="924"/>
        <v/>
      </c>
      <c r="AT3116" s="24" t="str">
        <f t="shared" si="925"/>
        <v/>
      </c>
      <c r="AU3116" s="22" t="s">
        <v>3743</v>
      </c>
    </row>
    <row r="3117" spans="1:47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928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926"/>
        <v>874688</v>
      </c>
      <c r="AA3117" s="13">
        <v>1.2150000000000001</v>
      </c>
      <c r="AB3117" s="21">
        <f t="shared" si="912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13"/>
        <v>25380121.402654871</v>
      </c>
      <c r="AJ3117" s="19">
        <f t="shared" si="914"/>
        <v>3850343.1237796471</v>
      </c>
      <c r="AK3117" s="20">
        <f t="shared" si="920"/>
        <v>0.1517070412191521</v>
      </c>
      <c r="AL3117" s="17"/>
      <c r="AM3117" s="17"/>
      <c r="AN3117" s="17"/>
      <c r="AO3117" s="17"/>
      <c r="AP3117" s="28" t="str">
        <f t="shared" si="921"/>
        <v>202112</v>
      </c>
      <c r="AQ3117" s="28" t="str">
        <f t="shared" si="922"/>
        <v>202112RMB</v>
      </c>
      <c r="AR3117" s="206" t="str">
        <f t="shared" si="923"/>
        <v>YAMAHA_Mounter</v>
      </c>
      <c r="AS3117" s="22">
        <f t="shared" si="924"/>
        <v>1</v>
      </c>
      <c r="AT3117" s="24" t="str">
        <f t="shared" si="925"/>
        <v>0-3 months</v>
      </c>
      <c r="AU3117" s="22" t="s">
        <v>3750</v>
      </c>
    </row>
    <row r="3118" spans="1:47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928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926"/>
        <v>7020000</v>
      </c>
      <c r="AA3118" s="13">
        <v>6.9199999999999998E-2</v>
      </c>
      <c r="AB3118" s="21">
        <f t="shared" si="912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13"/>
        <v>28726768.133805312</v>
      </c>
      <c r="AJ3118" s="19">
        <f t="shared" si="914"/>
        <v>3853638.1988864429</v>
      </c>
      <c r="AK3118" s="20">
        <f t="shared" si="920"/>
        <v>0.1341479898099476</v>
      </c>
      <c r="AL3118" s="17"/>
      <c r="AM3118" s="17"/>
      <c r="AN3118" s="17"/>
      <c r="AO3118" s="17"/>
      <c r="AP3118" s="28" t="str">
        <f t="shared" si="921"/>
        <v>20223</v>
      </c>
      <c r="AQ3118" s="28" t="str">
        <f t="shared" si="922"/>
        <v>20223JPY</v>
      </c>
      <c r="AR3118" s="206" t="str">
        <f t="shared" si="923"/>
        <v>YAMAHA_Mounter</v>
      </c>
      <c r="AS3118" s="22">
        <f t="shared" si="924"/>
        <v>4</v>
      </c>
      <c r="AT3118" s="24" t="str">
        <f t="shared" si="925"/>
        <v>4-6 months</v>
      </c>
      <c r="AU3118" s="22" t="s">
        <v>3744</v>
      </c>
    </row>
    <row r="3119" spans="1:47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928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926"/>
        <v>550000</v>
      </c>
      <c r="AA3119" s="13">
        <v>1.095</v>
      </c>
      <c r="AB3119" s="21">
        <f t="shared" si="912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13"/>
        <v>28647263.974455759</v>
      </c>
      <c r="AJ3119" s="19">
        <f t="shared" si="914"/>
        <v>3219855.6912513468</v>
      </c>
      <c r="AK3119" s="20">
        <f t="shared" si="920"/>
        <v>0.11239662168514358</v>
      </c>
      <c r="AL3119" s="17"/>
      <c r="AM3119" s="17"/>
      <c r="AN3119" s="17"/>
      <c r="AO3119" s="17"/>
      <c r="AP3119" s="28" t="str">
        <f t="shared" si="921"/>
        <v>201910</v>
      </c>
      <c r="AQ3119" s="28" t="str">
        <f t="shared" si="922"/>
        <v>201910RMB</v>
      </c>
      <c r="AR3119" s="206" t="str">
        <f t="shared" si="923"/>
        <v>YAMAHA_Mounter</v>
      </c>
      <c r="AS3119" s="22">
        <f t="shared" si="924"/>
        <v>1</v>
      </c>
      <c r="AT3119" s="24" t="str">
        <f t="shared" si="925"/>
        <v>0-3 months</v>
      </c>
      <c r="AU3119" s="22" t="s">
        <v>3743</v>
      </c>
    </row>
    <row r="3120" spans="1:47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928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926"/>
        <v>944400</v>
      </c>
      <c r="AA3120" s="13">
        <v>1.095</v>
      </c>
      <c r="AB3120" s="21">
        <f t="shared" si="912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13"/>
        <v>28647263.974455759</v>
      </c>
      <c r="AJ3120" s="19">
        <f t="shared" si="914"/>
        <v>3219855.6912513468</v>
      </c>
      <c r="AK3120" s="20">
        <f t="shared" si="920"/>
        <v>0.11239662168514358</v>
      </c>
      <c r="AL3120" s="17"/>
      <c r="AM3120" s="17"/>
      <c r="AN3120" s="17"/>
      <c r="AO3120" s="17"/>
      <c r="AP3120" s="28" t="str">
        <f t="shared" si="921"/>
        <v>201910</v>
      </c>
      <c r="AQ3120" s="28" t="str">
        <f t="shared" si="922"/>
        <v>201910RMB</v>
      </c>
      <c r="AR3120" s="206" t="str">
        <f t="shared" si="923"/>
        <v>YAMAHA_Mounter</v>
      </c>
      <c r="AS3120" s="22">
        <f t="shared" si="924"/>
        <v>1</v>
      </c>
      <c r="AT3120" s="24" t="str">
        <f t="shared" si="925"/>
        <v>0-3 months</v>
      </c>
      <c r="AU3120" s="22" t="s">
        <v>3743</v>
      </c>
    </row>
    <row r="3121" spans="1:47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917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928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926"/>
        <v>8600000</v>
      </c>
      <c r="AA3121" s="13">
        <v>7.0000000000000007E-2</v>
      </c>
      <c r="AB3121" s="21">
        <f t="shared" si="912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13"/>
        <v>499582152.5142017</v>
      </c>
      <c r="AJ3121" s="19">
        <f t="shared" si="914"/>
        <v>59520528.679470733</v>
      </c>
      <c r="AK3121" s="20">
        <f t="shared" si="920"/>
        <v>0.11914062257814291</v>
      </c>
      <c r="AL3121" s="17"/>
      <c r="AM3121" s="17"/>
      <c r="AN3121" s="17"/>
      <c r="AO3121" s="17"/>
      <c r="AP3121" s="28" t="str">
        <f t="shared" si="921"/>
        <v>CancelCANCEL</v>
      </c>
      <c r="AQ3121" s="28" t="str">
        <f t="shared" si="922"/>
        <v>CancelCANCELJPY</v>
      </c>
      <c r="AR3121" s="206" t="str">
        <f t="shared" si="923"/>
        <v>YAMAHA_Mounter</v>
      </c>
      <c r="AS3121" s="22" t="str">
        <f t="shared" si="924"/>
        <v/>
      </c>
      <c r="AT3121" s="24" t="str">
        <f t="shared" si="925"/>
        <v/>
      </c>
      <c r="AU3121" s="22" t="s">
        <v>3744</v>
      </c>
    </row>
    <row r="3122" spans="1:47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917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928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926"/>
        <v>12000000</v>
      </c>
      <c r="AA3122" s="13">
        <v>7.0000000000000007E-2</v>
      </c>
      <c r="AB3122" s="21">
        <f t="shared" si="912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13"/>
        <v>499582152.5142017</v>
      </c>
      <c r="AJ3122" s="19">
        <f t="shared" si="914"/>
        <v>59520528.679470733</v>
      </c>
      <c r="AK3122" s="20">
        <f t="shared" si="920"/>
        <v>0.11914062257814291</v>
      </c>
      <c r="AL3122" s="17"/>
      <c r="AM3122" s="17"/>
      <c r="AN3122" s="17"/>
      <c r="AO3122" s="17"/>
      <c r="AP3122" s="28" t="str">
        <f t="shared" si="921"/>
        <v>CancelCANCEL</v>
      </c>
      <c r="AQ3122" s="28" t="str">
        <f t="shared" si="922"/>
        <v>CancelCANCELJPY</v>
      </c>
      <c r="AR3122" s="206" t="str">
        <f t="shared" si="923"/>
        <v>YAMAHA_Mounter</v>
      </c>
      <c r="AS3122" s="22" t="str">
        <f t="shared" si="924"/>
        <v/>
      </c>
      <c r="AT3122" s="24" t="str">
        <f t="shared" si="925"/>
        <v/>
      </c>
      <c r="AU3122" s="22" t="s">
        <v>3744</v>
      </c>
    </row>
    <row r="3123" spans="1:47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928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926"/>
        <v>770000</v>
      </c>
      <c r="AA3123" s="13">
        <v>1.1850000000000001</v>
      </c>
      <c r="AB3123" s="21">
        <f t="shared" si="912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13"/>
        <v>45803245.025628321</v>
      </c>
      <c r="AJ3123" s="19">
        <f t="shared" si="914"/>
        <v>5664636.2584379362</v>
      </c>
      <c r="AK3123" s="20">
        <f t="shared" si="920"/>
        <v>0.12367325186825515</v>
      </c>
      <c r="AL3123" s="17"/>
      <c r="AM3123" s="17"/>
      <c r="AN3123" s="17"/>
      <c r="AO3123" s="17"/>
      <c r="AP3123" s="28" t="str">
        <f t="shared" si="921"/>
        <v>20211</v>
      </c>
      <c r="AQ3123" s="28" t="str">
        <f t="shared" si="922"/>
        <v>20211RMB</v>
      </c>
      <c r="AR3123" s="206" t="str">
        <f t="shared" si="923"/>
        <v>YAMAHA_Mounter</v>
      </c>
      <c r="AS3123" s="22">
        <f t="shared" si="924"/>
        <v>5</v>
      </c>
      <c r="AT3123" s="24" t="str">
        <f t="shared" si="925"/>
        <v>4-6 months</v>
      </c>
      <c r="AU3123" s="22" t="s">
        <v>3743</v>
      </c>
    </row>
    <row r="3124" spans="1:47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928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926"/>
        <v>1000000</v>
      </c>
      <c r="AA3124" s="13">
        <v>1.1850000000000001</v>
      </c>
      <c r="AB3124" s="21">
        <f t="shared" si="912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13"/>
        <v>45803245.025628321</v>
      </c>
      <c r="AJ3124" s="19">
        <f t="shared" si="914"/>
        <v>5664636.2584379362</v>
      </c>
      <c r="AK3124" s="20">
        <f t="shared" si="920"/>
        <v>0.12367325186825515</v>
      </c>
      <c r="AL3124" s="17"/>
      <c r="AM3124" s="17"/>
      <c r="AN3124" s="17"/>
      <c r="AO3124" s="17"/>
      <c r="AP3124" s="28" t="str">
        <f t="shared" si="921"/>
        <v>20211</v>
      </c>
      <c r="AQ3124" s="28" t="str">
        <f t="shared" si="922"/>
        <v>20211RMB</v>
      </c>
      <c r="AR3124" s="206" t="str">
        <f t="shared" si="923"/>
        <v>YAMAHA_Mounter</v>
      </c>
      <c r="AS3124" s="22">
        <f t="shared" si="924"/>
        <v>5</v>
      </c>
      <c r="AT3124" s="24" t="str">
        <f t="shared" si="925"/>
        <v>4-6 months</v>
      </c>
      <c r="AU3124" s="22" t="s">
        <v>3743</v>
      </c>
    </row>
    <row r="3125" spans="1:47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928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926"/>
        <v>13887500</v>
      </c>
      <c r="AA3125" s="13">
        <v>7.17E-2</v>
      </c>
      <c r="AB3125" s="21">
        <f t="shared" si="912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13"/>
        <v>41443303.53761062</v>
      </c>
      <c r="AJ3125" s="19">
        <f t="shared" si="914"/>
        <v>6194988.76643031</v>
      </c>
      <c r="AK3125" s="20">
        <f t="shared" si="920"/>
        <v>0.1494810557466355</v>
      </c>
      <c r="AL3125" s="17"/>
      <c r="AM3125" s="17"/>
      <c r="AN3125" s="17"/>
      <c r="AO3125" s="17"/>
      <c r="AP3125" s="28" t="str">
        <f t="shared" si="921"/>
        <v>20217</v>
      </c>
      <c r="AQ3125" s="28" t="str">
        <f t="shared" si="922"/>
        <v>20217JPY</v>
      </c>
      <c r="AR3125" s="206" t="str">
        <f t="shared" si="923"/>
        <v>YAMAHA_Mounter</v>
      </c>
      <c r="AS3125" s="22">
        <f t="shared" si="924"/>
        <v>4</v>
      </c>
      <c r="AT3125" s="24" t="str">
        <f t="shared" si="925"/>
        <v>4-6 months</v>
      </c>
      <c r="AU3125" s="22" t="s">
        <v>3744</v>
      </c>
    </row>
    <row r="3126" spans="1:47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928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926"/>
        <v>600000</v>
      </c>
      <c r="AA3126" s="13">
        <v>1.1200000000000001</v>
      </c>
      <c r="AB3126" s="21">
        <f t="shared" si="912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13"/>
        <v>7502645.9971681423</v>
      </c>
      <c r="AJ3126" s="19">
        <f t="shared" si="914"/>
        <v>664841.72044240718</v>
      </c>
      <c r="AK3126" s="20">
        <f t="shared" si="920"/>
        <v>8.861429963420242E-2</v>
      </c>
      <c r="AL3126" s="17"/>
      <c r="AM3126" s="17"/>
      <c r="AN3126" s="17"/>
      <c r="AO3126" s="17"/>
      <c r="AP3126" s="28" t="str">
        <f t="shared" si="921"/>
        <v>20231</v>
      </c>
      <c r="AQ3126" s="28" t="str">
        <f t="shared" si="922"/>
        <v>20231RMB</v>
      </c>
      <c r="AR3126" s="206" t="str">
        <f t="shared" si="923"/>
        <v>YAMAHA_Mounter</v>
      </c>
      <c r="AS3126" s="22">
        <f t="shared" si="924"/>
        <v>0</v>
      </c>
      <c r="AT3126" s="24" t="str">
        <f t="shared" si="925"/>
        <v>0-3 months</v>
      </c>
      <c r="AU3126" s="22" t="s">
        <v>3750</v>
      </c>
    </row>
    <row r="3127" spans="1:47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928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926"/>
        <v>800000</v>
      </c>
      <c r="AA3127" s="13">
        <v>1.1200000000000001</v>
      </c>
      <c r="AB3127" s="21">
        <f t="shared" si="912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13"/>
        <v>7502645.9971681423</v>
      </c>
      <c r="AJ3127" s="19">
        <f t="shared" si="914"/>
        <v>664841.72044240718</v>
      </c>
      <c r="AK3127" s="20">
        <f t="shared" si="920"/>
        <v>8.861429963420242E-2</v>
      </c>
      <c r="AL3127" s="17"/>
      <c r="AM3127" s="17"/>
      <c r="AN3127" s="17"/>
      <c r="AO3127" s="17"/>
      <c r="AP3127" s="28" t="str">
        <f t="shared" si="921"/>
        <v>20231</v>
      </c>
      <c r="AQ3127" s="28" t="str">
        <f t="shared" si="922"/>
        <v>20231RMB</v>
      </c>
      <c r="AR3127" s="206" t="str">
        <f t="shared" si="923"/>
        <v>YAMAHA_Mounter</v>
      </c>
      <c r="AS3127" s="22">
        <f t="shared" si="924"/>
        <v>0</v>
      </c>
      <c r="AT3127" s="24" t="str">
        <f t="shared" si="925"/>
        <v>0-3 months</v>
      </c>
      <c r="AU3127" s="22" t="s">
        <v>3750</v>
      </c>
    </row>
    <row r="3128" spans="1:47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928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926"/>
        <v>15830000</v>
      </c>
      <c r="AA3128" s="13">
        <v>7.3599999999999999E-2</v>
      </c>
      <c r="AB3128" s="21">
        <f t="shared" si="912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13"/>
        <v>33477255.428389374</v>
      </c>
      <c r="AJ3128" s="19">
        <f t="shared" si="914"/>
        <v>4578663.362915583</v>
      </c>
      <c r="AK3128" s="20">
        <f t="shared" si="920"/>
        <v>0.13676937682988152</v>
      </c>
      <c r="AL3128" s="17"/>
      <c r="AM3128" s="17"/>
      <c r="AN3128" s="17"/>
      <c r="AO3128" s="17"/>
      <c r="AP3128" s="28" t="str">
        <f t="shared" si="921"/>
        <v>20204</v>
      </c>
      <c r="AQ3128" s="28" t="str">
        <f t="shared" si="922"/>
        <v>20204JPY</v>
      </c>
      <c r="AR3128" s="206" t="str">
        <f t="shared" si="923"/>
        <v>YAMAHA_Mounter</v>
      </c>
      <c r="AS3128" s="22">
        <f t="shared" si="924"/>
        <v>4</v>
      </c>
      <c r="AT3128" s="24" t="str">
        <f t="shared" si="925"/>
        <v>4-6 months</v>
      </c>
      <c r="AU3128" s="22" t="s">
        <v>3745</v>
      </c>
    </row>
    <row r="3129" spans="1:47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928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926"/>
        <v>15830000</v>
      </c>
      <c r="AA3129" s="13">
        <v>7.3599999999999999E-2</v>
      </c>
      <c r="AB3129" s="21">
        <f t="shared" si="912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13"/>
        <v>33477255.428389374</v>
      </c>
      <c r="AJ3129" s="19">
        <f t="shared" si="914"/>
        <v>4578663.362915583</v>
      </c>
      <c r="AK3129" s="20">
        <f t="shared" si="920"/>
        <v>0.13676937682988152</v>
      </c>
      <c r="AL3129" s="17"/>
      <c r="AM3129" s="17"/>
      <c r="AN3129" s="17"/>
      <c r="AO3129" s="17"/>
      <c r="AP3129" s="28" t="str">
        <f t="shared" si="921"/>
        <v>20204</v>
      </c>
      <c r="AQ3129" s="28" t="str">
        <f t="shared" si="922"/>
        <v>20204JPY</v>
      </c>
      <c r="AR3129" s="206" t="str">
        <f t="shared" si="923"/>
        <v>YAMAHA_Mounter</v>
      </c>
      <c r="AS3129" s="22">
        <f t="shared" si="924"/>
        <v>4</v>
      </c>
      <c r="AT3129" s="24" t="str">
        <f t="shared" si="925"/>
        <v>4-6 months</v>
      </c>
      <c r="AU3129" s="22" t="s">
        <v>3745</v>
      </c>
    </row>
    <row r="3130" spans="1:47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928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926"/>
        <v>15830000</v>
      </c>
      <c r="AA3130" s="13">
        <v>7.3599999999999999E-2</v>
      </c>
      <c r="AB3130" s="21">
        <f t="shared" si="912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13"/>
        <v>33477255.428389374</v>
      </c>
      <c r="AJ3130" s="19">
        <f t="shared" si="914"/>
        <v>4578663.362915583</v>
      </c>
      <c r="AK3130" s="20">
        <f t="shared" si="920"/>
        <v>0.13676937682988152</v>
      </c>
      <c r="AL3130" s="17"/>
      <c r="AM3130" s="17"/>
      <c r="AN3130" s="17"/>
      <c r="AO3130" s="17"/>
      <c r="AP3130" s="28" t="str">
        <f t="shared" si="921"/>
        <v>20204</v>
      </c>
      <c r="AQ3130" s="28" t="str">
        <f t="shared" si="922"/>
        <v>20204JPY</v>
      </c>
      <c r="AR3130" s="206" t="str">
        <f t="shared" si="923"/>
        <v>YAMAHA_Mounter</v>
      </c>
      <c r="AS3130" s="22">
        <f t="shared" si="924"/>
        <v>4</v>
      </c>
      <c r="AT3130" s="24" t="str">
        <f t="shared" si="925"/>
        <v>4-6 months</v>
      </c>
      <c r="AU3130" s="22" t="s">
        <v>3745</v>
      </c>
    </row>
    <row r="3131" spans="1:47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928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930">IF(W3131="RMB","1.13", "1")</f>
        <v>1</v>
      </c>
      <c r="Z3131" s="18">
        <f t="shared" si="926"/>
        <v>17531000</v>
      </c>
      <c r="AA3131" s="13">
        <v>7.6100000000000001E-2</v>
      </c>
      <c r="AB3131" s="21">
        <f t="shared" si="912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13"/>
        <v>44078731.611185849</v>
      </c>
      <c r="AJ3131" s="19">
        <f t="shared" si="914"/>
        <v>5508173.2163771465</v>
      </c>
      <c r="AK3131" s="20">
        <f t="shared" si="920"/>
        <v>0.12496215328889679</v>
      </c>
      <c r="AL3131" s="17"/>
      <c r="AM3131" s="17"/>
      <c r="AN3131" s="17"/>
      <c r="AO3131" s="17"/>
      <c r="AP3131" s="28" t="str">
        <f t="shared" si="921"/>
        <v>202011</v>
      </c>
      <c r="AQ3131" s="28" t="str">
        <f t="shared" si="922"/>
        <v>202011JPY</v>
      </c>
      <c r="AR3131" s="206" t="str">
        <f t="shared" si="923"/>
        <v>YAMAHA_Mounter</v>
      </c>
      <c r="AS3131" s="22">
        <f t="shared" si="924"/>
        <v>2</v>
      </c>
      <c r="AT3131" s="24" t="str">
        <f t="shared" si="925"/>
        <v>0-3 months</v>
      </c>
      <c r="AU3131" s="22" t="s">
        <v>3745</v>
      </c>
    </row>
    <row r="3132" spans="1:47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928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930"/>
        <v>1</v>
      </c>
      <c r="Z3132" s="18">
        <f t="shared" si="926"/>
        <v>17531000</v>
      </c>
      <c r="AA3132" s="13">
        <v>7.6100000000000001E-2</v>
      </c>
      <c r="AB3132" s="21">
        <f t="shared" ref="AB3132:AB3195" si="931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13"/>
        <v>48763143.537654862</v>
      </c>
      <c r="AJ3132" s="19">
        <f t="shared" si="914"/>
        <v>5924029.9702154724</v>
      </c>
      <c r="AK3132" s="20">
        <f t="shared" si="920"/>
        <v>0.1214858095774925</v>
      </c>
      <c r="AL3132" s="17"/>
      <c r="AM3132" s="17"/>
      <c r="AN3132" s="17"/>
      <c r="AO3132" s="17"/>
      <c r="AP3132" s="28" t="str">
        <f t="shared" si="921"/>
        <v>202012</v>
      </c>
      <c r="AQ3132" s="28" t="str">
        <f t="shared" si="922"/>
        <v>202012JPY</v>
      </c>
      <c r="AR3132" s="206" t="str">
        <f t="shared" si="923"/>
        <v>YAMAHA_Mounter</v>
      </c>
      <c r="AS3132" s="22">
        <f t="shared" si="924"/>
        <v>3</v>
      </c>
      <c r="AT3132" s="24" t="str">
        <f t="shared" si="925"/>
        <v>0-3 months</v>
      </c>
      <c r="AU3132" s="22" t="s">
        <v>3745</v>
      </c>
    </row>
    <row r="3133" spans="1:47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928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930"/>
        <v>1</v>
      </c>
      <c r="Z3133" s="18">
        <f t="shared" si="926"/>
        <v>24630000</v>
      </c>
      <c r="AA3133" s="13">
        <v>7.17E-2</v>
      </c>
      <c r="AB3133" s="21">
        <f t="shared" si="931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13"/>
        <v>43684091.636631854</v>
      </c>
      <c r="AJ3133" s="19">
        <f t="shared" si="914"/>
        <v>6483951.8242071122</v>
      </c>
      <c r="AK3133" s="20">
        <f t="shared" si="920"/>
        <v>0.14842821680123736</v>
      </c>
      <c r="AL3133" s="17"/>
      <c r="AM3133" s="17"/>
      <c r="AN3133" s="17"/>
      <c r="AO3133" s="17"/>
      <c r="AP3133" s="28" t="str">
        <f t="shared" si="921"/>
        <v>20214</v>
      </c>
      <c r="AQ3133" s="28" t="str">
        <f t="shared" si="922"/>
        <v>20214JPY</v>
      </c>
      <c r="AR3133" s="206" t="str">
        <f t="shared" si="923"/>
        <v>YAMAHA_Mounter</v>
      </c>
      <c r="AS3133" s="22">
        <f t="shared" si="924"/>
        <v>3</v>
      </c>
      <c r="AT3133" s="24" t="str">
        <f t="shared" si="925"/>
        <v>0-3 months</v>
      </c>
      <c r="AU3133" s="22" t="s">
        <v>3745</v>
      </c>
    </row>
    <row r="3134" spans="1:47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928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930"/>
        <v>1</v>
      </c>
      <c r="Z3134" s="18">
        <f t="shared" si="926"/>
        <v>18810000</v>
      </c>
      <c r="AA3134" s="13">
        <v>7.2099999999999997E-2</v>
      </c>
      <c r="AB3134" s="21">
        <f t="shared" si="931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13"/>
        <v>54700260.692079648</v>
      </c>
      <c r="AJ3134" s="19">
        <f t="shared" si="914"/>
        <v>7482899.5749188727</v>
      </c>
      <c r="AK3134" s="20">
        <f t="shared" si="920"/>
        <v>0.13679824337660537</v>
      </c>
      <c r="AL3134" s="17"/>
      <c r="AM3134" s="17"/>
      <c r="AN3134" s="17"/>
      <c r="AO3134" s="17"/>
      <c r="AP3134" s="28" t="str">
        <f t="shared" si="921"/>
        <v>20216</v>
      </c>
      <c r="AQ3134" s="28" t="str">
        <f t="shared" si="922"/>
        <v>20216JPY</v>
      </c>
      <c r="AR3134" s="206" t="str">
        <f t="shared" si="923"/>
        <v>YAMAHA_Mounter</v>
      </c>
      <c r="AS3134" s="22">
        <f t="shared" si="924"/>
        <v>3</v>
      </c>
      <c r="AT3134" s="24" t="str">
        <f t="shared" si="925"/>
        <v>0-3 months</v>
      </c>
      <c r="AU3134" s="22" t="s">
        <v>3745</v>
      </c>
    </row>
    <row r="3135" spans="1:47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928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930"/>
        <v>1</v>
      </c>
      <c r="Z3135" s="18">
        <f t="shared" si="926"/>
        <v>18810000</v>
      </c>
      <c r="AA3135" s="13">
        <v>7.2099999999999997E-2</v>
      </c>
      <c r="AB3135" s="21">
        <f t="shared" si="931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13"/>
        <v>54700260.692079648</v>
      </c>
      <c r="AJ3135" s="19">
        <f t="shared" si="914"/>
        <v>7482899.5749188727</v>
      </c>
      <c r="AK3135" s="20">
        <f t="shared" si="920"/>
        <v>0.13679824337660537</v>
      </c>
      <c r="AL3135" s="17"/>
      <c r="AM3135" s="17"/>
      <c r="AN3135" s="17"/>
      <c r="AO3135" s="17"/>
      <c r="AP3135" s="28" t="str">
        <f t="shared" si="921"/>
        <v>20216</v>
      </c>
      <c r="AQ3135" s="28" t="str">
        <f t="shared" si="922"/>
        <v>20216JPY</v>
      </c>
      <c r="AR3135" s="206" t="str">
        <f t="shared" si="923"/>
        <v>YAMAHA_Mounter</v>
      </c>
      <c r="AS3135" s="22">
        <f t="shared" si="924"/>
        <v>3</v>
      </c>
      <c r="AT3135" s="24" t="str">
        <f t="shared" si="925"/>
        <v>0-3 months</v>
      </c>
      <c r="AU3135" s="22" t="s">
        <v>3745</v>
      </c>
    </row>
    <row r="3136" spans="1:47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917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928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930"/>
        <v>1</v>
      </c>
      <c r="Z3136" s="18">
        <f t="shared" si="926"/>
        <v>16165000</v>
      </c>
      <c r="AA3136" s="13">
        <v>7.2099999999999997E-2</v>
      </c>
      <c r="AB3136" s="21">
        <f t="shared" si="931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13"/>
        <v>499582152.5142017</v>
      </c>
      <c r="AJ3136" s="19">
        <f t="shared" si="914"/>
        <v>59520528.679470733</v>
      </c>
      <c r="AK3136" s="20">
        <f t="shared" si="920"/>
        <v>0.11914062257814291</v>
      </c>
      <c r="AL3136" s="17"/>
      <c r="AM3136" s="17"/>
      <c r="AN3136" s="17"/>
      <c r="AO3136" s="17"/>
      <c r="AP3136" s="28" t="str">
        <f t="shared" si="921"/>
        <v>CancelCANCEL</v>
      </c>
      <c r="AQ3136" s="28" t="str">
        <f t="shared" si="922"/>
        <v>CancelCANCELJPY</v>
      </c>
      <c r="AR3136" s="206" t="str">
        <f t="shared" si="923"/>
        <v>YAMAHA_Mounter</v>
      </c>
      <c r="AS3136" s="22" t="str">
        <f t="shared" si="924"/>
        <v/>
      </c>
      <c r="AT3136" s="24" t="str">
        <f t="shared" si="925"/>
        <v/>
      </c>
      <c r="AU3136" s="22" t="s">
        <v>3240</v>
      </c>
    </row>
    <row r="3137" spans="1:47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917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928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930"/>
        <v>1</v>
      </c>
      <c r="Z3137" s="18">
        <f t="shared" si="926"/>
        <v>16165000</v>
      </c>
      <c r="AA3137" s="13">
        <v>7.2099999999999997E-2</v>
      </c>
      <c r="AB3137" s="21">
        <f t="shared" si="931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13"/>
        <v>499582152.5142017</v>
      </c>
      <c r="AJ3137" s="19">
        <f t="shared" si="914"/>
        <v>59520528.679470733</v>
      </c>
      <c r="AK3137" s="20">
        <f t="shared" si="920"/>
        <v>0.11914062257814291</v>
      </c>
      <c r="AL3137" s="17"/>
      <c r="AM3137" s="17"/>
      <c r="AN3137" s="17"/>
      <c r="AO3137" s="17"/>
      <c r="AP3137" s="28" t="str">
        <f t="shared" si="921"/>
        <v>CancelCANCEL</v>
      </c>
      <c r="AQ3137" s="28" t="str">
        <f t="shared" si="922"/>
        <v>CancelCANCELJPY</v>
      </c>
      <c r="AR3137" s="206" t="str">
        <f t="shared" si="923"/>
        <v>YAMAHA_Mounter</v>
      </c>
      <c r="AS3137" s="22" t="str">
        <f t="shared" si="924"/>
        <v/>
      </c>
      <c r="AT3137" s="24" t="str">
        <f t="shared" si="925"/>
        <v/>
      </c>
      <c r="AU3137" s="22" t="s">
        <v>3240</v>
      </c>
    </row>
    <row r="3138" spans="1:47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917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928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930"/>
        <v>1</v>
      </c>
      <c r="Z3138" s="18">
        <f t="shared" si="926"/>
        <v>16165000</v>
      </c>
      <c r="AA3138" s="13">
        <v>7.2099999999999997E-2</v>
      </c>
      <c r="AB3138" s="21">
        <f t="shared" si="931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ref="AI3138:AI3201" si="932">IF(P3138="C66 SERVICE","",SUMIFS(AB:AB,F:F,F3138,G:G,G3138,E:E,E3138))</f>
        <v>499582152.5142017</v>
      </c>
      <c r="AJ3138" s="19">
        <f t="shared" ref="AJ3138:AJ3201" si="933">IF(P3138="C66 SERVICE","",SUMIFS(AC:AC,F:F,F3138,G:G,G3138,E:E,E3138))</f>
        <v>59520528.679470733</v>
      </c>
      <c r="AK3138" s="20">
        <f t="shared" si="920"/>
        <v>0.11914062257814291</v>
      </c>
      <c r="AL3138" s="17"/>
      <c r="AM3138" s="17"/>
      <c r="AN3138" s="17"/>
      <c r="AO3138" s="17"/>
      <c r="AP3138" s="28" t="str">
        <f t="shared" si="921"/>
        <v>CancelCANCEL</v>
      </c>
      <c r="AQ3138" s="28" t="str">
        <f t="shared" si="922"/>
        <v>CancelCANCELJPY</v>
      </c>
      <c r="AR3138" s="206" t="str">
        <f t="shared" si="923"/>
        <v>YAMAHA_Mounter</v>
      </c>
      <c r="AS3138" s="22" t="str">
        <f t="shared" si="924"/>
        <v/>
      </c>
      <c r="AT3138" s="24" t="str">
        <f t="shared" si="925"/>
        <v/>
      </c>
      <c r="AU3138" s="22" t="s">
        <v>3240</v>
      </c>
    </row>
    <row r="3139" spans="1:47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917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928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930"/>
        <v>1</v>
      </c>
      <c r="Z3139" s="18">
        <f t="shared" si="926"/>
        <v>16165000</v>
      </c>
      <c r="AA3139" s="13">
        <v>7.2099999999999997E-2</v>
      </c>
      <c r="AB3139" s="21">
        <f t="shared" si="931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32"/>
        <v>499582152.5142017</v>
      </c>
      <c r="AJ3139" s="19">
        <f t="shared" si="933"/>
        <v>59520528.679470733</v>
      </c>
      <c r="AK3139" s="20">
        <f t="shared" si="920"/>
        <v>0.11914062257814291</v>
      </c>
      <c r="AL3139" s="17"/>
      <c r="AM3139" s="17"/>
      <c r="AN3139" s="17"/>
      <c r="AO3139" s="17"/>
      <c r="AP3139" s="28" t="str">
        <f t="shared" si="921"/>
        <v>CancelCANCEL</v>
      </c>
      <c r="AQ3139" s="28" t="str">
        <f t="shared" si="922"/>
        <v>CancelCANCELJPY</v>
      </c>
      <c r="AR3139" s="206" t="str">
        <f t="shared" si="923"/>
        <v>YAMAHA_Mounter</v>
      </c>
      <c r="AS3139" s="22" t="str">
        <f t="shared" si="924"/>
        <v/>
      </c>
      <c r="AT3139" s="24" t="str">
        <f t="shared" si="925"/>
        <v/>
      </c>
      <c r="AU3139" s="22" t="s">
        <v>3240</v>
      </c>
    </row>
    <row r="3140" spans="1:47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928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930"/>
        <v>1</v>
      </c>
      <c r="Z3140" s="18">
        <f t="shared" si="926"/>
        <v>51000</v>
      </c>
      <c r="AA3140" s="13">
        <v>7.8</v>
      </c>
      <c r="AB3140" s="21">
        <f t="shared" si="931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32"/>
        <v>33477255.428389374</v>
      </c>
      <c r="AJ3140" s="19">
        <f t="shared" si="933"/>
        <v>4578663.362915583</v>
      </c>
      <c r="AK3140" s="20">
        <f t="shared" si="920"/>
        <v>0.13676937682988152</v>
      </c>
      <c r="AL3140" s="17"/>
      <c r="AM3140" s="17"/>
      <c r="AN3140" s="17"/>
      <c r="AO3140" s="17"/>
      <c r="AP3140" s="28" t="str">
        <f t="shared" si="921"/>
        <v>20204</v>
      </c>
      <c r="AQ3140" s="28" t="str">
        <f t="shared" si="922"/>
        <v>20204USD</v>
      </c>
      <c r="AR3140" s="206" t="str">
        <f t="shared" si="923"/>
        <v>PEMTRON</v>
      </c>
      <c r="AS3140" s="22">
        <f t="shared" si="924"/>
        <v>4</v>
      </c>
      <c r="AT3140" s="24" t="str">
        <f t="shared" si="925"/>
        <v>4-6 months</v>
      </c>
      <c r="AU3140" s="22" t="s">
        <v>3745</v>
      </c>
    </row>
    <row r="3141" spans="1:47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928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930"/>
        <v>1</v>
      </c>
      <c r="Z3141" s="18">
        <f t="shared" si="926"/>
        <v>5820000</v>
      </c>
      <c r="AA3141" s="13">
        <v>7.3599999999999999E-2</v>
      </c>
      <c r="AB3141" s="21">
        <f t="shared" si="931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32"/>
        <v>33477255.428389374</v>
      </c>
      <c r="AJ3141" s="19">
        <f t="shared" si="933"/>
        <v>4578663.362915583</v>
      </c>
      <c r="AK3141" s="20">
        <f t="shared" si="920"/>
        <v>0.13676937682988152</v>
      </c>
      <c r="AL3141" s="17"/>
      <c r="AM3141" s="17"/>
      <c r="AN3141" s="17"/>
      <c r="AO3141" s="17"/>
      <c r="AP3141" s="28" t="str">
        <f t="shared" si="921"/>
        <v>20204</v>
      </c>
      <c r="AQ3141" s="28" t="str">
        <f t="shared" si="922"/>
        <v>20204JPY</v>
      </c>
      <c r="AR3141" s="206" t="str">
        <f t="shared" si="923"/>
        <v>YAMAHA_Non_Mounter</v>
      </c>
      <c r="AS3141" s="22">
        <f t="shared" si="924"/>
        <v>4</v>
      </c>
      <c r="AT3141" s="24" t="str">
        <f t="shared" si="925"/>
        <v>4-6 months</v>
      </c>
      <c r="AU3141" s="22" t="s">
        <v>3745</v>
      </c>
    </row>
    <row r="3142" spans="1:47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928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930"/>
        <v>1</v>
      </c>
      <c r="Z3142" s="18">
        <f t="shared" si="926"/>
        <v>79000</v>
      </c>
      <c r="AA3142" s="13">
        <v>7.8</v>
      </c>
      <c r="AB3142" s="21">
        <f t="shared" si="931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si="932"/>
        <v>33477255.428389374</v>
      </c>
      <c r="AJ3142" s="19">
        <f t="shared" si="933"/>
        <v>4578663.362915583</v>
      </c>
      <c r="AK3142" s="20">
        <f t="shared" ref="AK3142:AK3205" si="939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0">IF(F3142="","",F3142&amp;G3142)</f>
        <v>20204</v>
      </c>
      <c r="AQ3142" s="28" t="str">
        <f t="shared" ref="AQ3142:AQ3205" si="941">IF(W3142="","",F3142&amp;G3142&amp;W3142)</f>
        <v>20204USD</v>
      </c>
      <c r="AR3142" s="206" t="str">
        <f t="shared" ref="AR3142:AR3205" si="942">IFERROR(IF(AND(M3142="YAMAHA", R3142="C28"), "YAMAHA_Non_Mounter", IF(AND(M3142="YAMAHA", R3142="C49"), "YAMAHA_Mounter", M3142)),"")</f>
        <v>HELLER</v>
      </c>
      <c r="AS3142" s="22">
        <f t="shared" ref="AS3142:AS3205" si="943">IFERROR(IF(OR(G3142="TBA", G3142=""), "", DATEDIF(DATE(B3142, C3142, 1), DATE(F3142, G3142, 1), "M")),"")</f>
        <v>5</v>
      </c>
      <c r="AT3142" s="24" t="str">
        <f t="shared" ref="AT3142:AT3205" si="944">IF(ISNUMBER(AS3142), IF(AS3142&gt;=0, IF(AS3142&lt;=3, "0-3 months", IF(AS3142&lt;=6, "4-6 months", "&gt; 6 months"))), "")</f>
        <v>4-6 months</v>
      </c>
      <c r="AU3142" s="22" t="s">
        <v>3745</v>
      </c>
    </row>
    <row r="3143" spans="1:47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928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930"/>
        <v>1</v>
      </c>
      <c r="Z3143" s="18">
        <f t="shared" si="926"/>
        <v>51000</v>
      </c>
      <c r="AA3143" s="13">
        <v>7.8</v>
      </c>
      <c r="AB3143" s="21">
        <f t="shared" si="931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2"/>
        <v>48763143.537654862</v>
      </c>
      <c r="AJ3143" s="19">
        <f t="shared" si="933"/>
        <v>5924029.9702154724</v>
      </c>
      <c r="AK3143" s="20">
        <f t="shared" si="939"/>
        <v>0.1214858095774925</v>
      </c>
      <c r="AL3143" s="17"/>
      <c r="AM3143" s="17"/>
      <c r="AN3143" s="17"/>
      <c r="AO3143" s="17"/>
      <c r="AP3143" s="28" t="str">
        <f t="shared" si="940"/>
        <v>202012</v>
      </c>
      <c r="AQ3143" s="28" t="str">
        <f t="shared" si="941"/>
        <v>202012USD</v>
      </c>
      <c r="AR3143" s="206" t="str">
        <f t="shared" si="942"/>
        <v>PEMTRON</v>
      </c>
      <c r="AS3143" s="22">
        <f t="shared" si="943"/>
        <v>3</v>
      </c>
      <c r="AT3143" s="24" t="str">
        <f t="shared" si="944"/>
        <v>0-3 months</v>
      </c>
      <c r="AU3143" s="22" t="s">
        <v>3745</v>
      </c>
    </row>
    <row r="3144" spans="1:47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928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930"/>
        <v>1</v>
      </c>
      <c r="Z3144" s="18">
        <f t="shared" si="926"/>
        <v>5820000</v>
      </c>
      <c r="AA3144" s="13">
        <v>7.6100000000000001E-2</v>
      </c>
      <c r="AB3144" s="21">
        <f t="shared" si="931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2"/>
        <v>44078731.611185849</v>
      </c>
      <c r="AJ3144" s="19">
        <f t="shared" si="933"/>
        <v>5508173.2163771465</v>
      </c>
      <c r="AK3144" s="20">
        <f t="shared" si="939"/>
        <v>0.12496215328889679</v>
      </c>
      <c r="AL3144" s="17"/>
      <c r="AM3144" s="17"/>
      <c r="AN3144" s="17"/>
      <c r="AO3144" s="17"/>
      <c r="AP3144" s="28" t="str">
        <f t="shared" si="940"/>
        <v>202011</v>
      </c>
      <c r="AQ3144" s="28" t="str">
        <f t="shared" si="941"/>
        <v>202011JPY</v>
      </c>
      <c r="AR3144" s="206" t="str">
        <f t="shared" si="942"/>
        <v>YAMAHA_Non_Mounter</v>
      </c>
      <c r="AS3144" s="22">
        <f t="shared" si="943"/>
        <v>2</v>
      </c>
      <c r="AT3144" s="24" t="str">
        <f t="shared" si="944"/>
        <v>0-3 months</v>
      </c>
      <c r="AU3144" s="22" t="s">
        <v>3745</v>
      </c>
    </row>
    <row r="3145" spans="1:47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928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930"/>
        <v>1</v>
      </c>
      <c r="Z3145" s="18">
        <f t="shared" si="926"/>
        <v>79000</v>
      </c>
      <c r="AA3145" s="13">
        <v>7.8</v>
      </c>
      <c r="AB3145" s="21">
        <f t="shared" si="931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2"/>
        <v>48763143.537654862</v>
      </c>
      <c r="AJ3145" s="19">
        <f t="shared" si="933"/>
        <v>5924029.9702154724</v>
      </c>
      <c r="AK3145" s="20">
        <f t="shared" si="939"/>
        <v>0.1214858095774925</v>
      </c>
      <c r="AL3145" s="17"/>
      <c r="AM3145" s="17"/>
      <c r="AN3145" s="17"/>
      <c r="AO3145" s="17"/>
      <c r="AP3145" s="28" t="str">
        <f t="shared" si="940"/>
        <v>202012</v>
      </c>
      <c r="AQ3145" s="28" t="str">
        <f t="shared" si="941"/>
        <v>202012USD</v>
      </c>
      <c r="AR3145" s="206" t="str">
        <f t="shared" si="942"/>
        <v>HELLER</v>
      </c>
      <c r="AS3145" s="22">
        <f t="shared" si="943"/>
        <v>3</v>
      </c>
      <c r="AT3145" s="24" t="str">
        <f t="shared" si="944"/>
        <v>0-3 months</v>
      </c>
      <c r="AU3145" s="22" t="s">
        <v>3745</v>
      </c>
    </row>
    <row r="3146" spans="1:47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928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930"/>
        <v>1</v>
      </c>
      <c r="Z3146" s="18">
        <f t="shared" ref="Z3146:Z3209" si="945">IF(X3146="","",X3146*MAX(O3146,N3146))</f>
        <v>12780000</v>
      </c>
      <c r="AA3146" s="13">
        <v>7.17E-2</v>
      </c>
      <c r="AB3146" s="21">
        <f t="shared" si="931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2"/>
        <v>43684091.636631854</v>
      </c>
      <c r="AJ3146" s="19">
        <f t="shared" si="933"/>
        <v>6483951.8242071122</v>
      </c>
      <c r="AK3146" s="20">
        <f t="shared" si="939"/>
        <v>0.14842821680123736</v>
      </c>
      <c r="AL3146" s="17"/>
      <c r="AM3146" s="17"/>
      <c r="AN3146" s="17"/>
      <c r="AO3146" s="17"/>
      <c r="AP3146" s="28" t="str">
        <f t="shared" si="940"/>
        <v>20214</v>
      </c>
      <c r="AQ3146" s="28" t="str">
        <f t="shared" si="941"/>
        <v>20214JPY</v>
      </c>
      <c r="AR3146" s="206" t="str">
        <f t="shared" si="942"/>
        <v>YAMAHA_Non_Mounter</v>
      </c>
      <c r="AS3146" s="22">
        <f t="shared" si="943"/>
        <v>3</v>
      </c>
      <c r="AT3146" s="24" t="str">
        <f t="shared" si="944"/>
        <v>0-3 months</v>
      </c>
      <c r="AU3146" s="22" t="s">
        <v>3745</v>
      </c>
    </row>
    <row r="3147" spans="1:47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928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930"/>
        <v>1</v>
      </c>
      <c r="Z3147" s="18">
        <f t="shared" si="945"/>
        <v>298000</v>
      </c>
      <c r="AA3147" s="13">
        <v>1</v>
      </c>
      <c r="AB3147" s="21">
        <f t="shared" si="931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2"/>
        <v>47458373.787610628</v>
      </c>
      <c r="AJ3147" s="19">
        <f t="shared" si="933"/>
        <v>7436880.1411522133</v>
      </c>
      <c r="AK3147" s="20">
        <f t="shared" si="939"/>
        <v>0.15670322321692506</v>
      </c>
      <c r="AL3147" s="17"/>
      <c r="AM3147" s="17"/>
      <c r="AN3147" s="17"/>
      <c r="AO3147" s="17"/>
      <c r="AP3147" s="28" t="str">
        <f t="shared" si="940"/>
        <v>20218</v>
      </c>
      <c r="AQ3147" s="28" t="str">
        <f t="shared" si="941"/>
        <v>20218HKD</v>
      </c>
      <c r="AR3147" s="206" t="str">
        <f t="shared" si="942"/>
        <v>LOCAL SUPPLIER</v>
      </c>
      <c r="AS3147" s="22">
        <f t="shared" si="943"/>
        <v>3</v>
      </c>
      <c r="AT3147" s="24" t="str">
        <f t="shared" si="944"/>
        <v>0-3 months</v>
      </c>
      <c r="AU3147" s="22" t="s">
        <v>3745</v>
      </c>
    </row>
    <row r="3148" spans="1:47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928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930"/>
        <v>1</v>
      </c>
      <c r="Z3148" s="18">
        <f t="shared" si="945"/>
        <v>6000</v>
      </c>
      <c r="AA3148" s="13">
        <v>7.8</v>
      </c>
      <c r="AB3148" s="21">
        <f t="shared" si="931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2"/>
        <v>15533177.71460177</v>
      </c>
      <c r="AJ3148" s="19">
        <f t="shared" si="933"/>
        <v>1819298.5437526547</v>
      </c>
      <c r="AK3148" s="20">
        <f t="shared" si="939"/>
        <v>0.11712339723265033</v>
      </c>
      <c r="AL3148" s="17"/>
      <c r="AM3148" s="17"/>
      <c r="AN3148" s="17"/>
      <c r="AO3148" s="17"/>
      <c r="AP3148" s="28" t="str">
        <f t="shared" si="940"/>
        <v>202110</v>
      </c>
      <c r="AQ3148" s="28" t="str">
        <f t="shared" si="941"/>
        <v>202110USD</v>
      </c>
      <c r="AR3148" s="206" t="str">
        <f t="shared" si="942"/>
        <v>SOLDERSTAR</v>
      </c>
      <c r="AS3148" s="22">
        <f t="shared" si="943"/>
        <v>1</v>
      </c>
      <c r="AT3148" s="24" t="str">
        <f t="shared" si="944"/>
        <v>0-3 months</v>
      </c>
      <c r="AU3148" s="22" t="s">
        <v>3745</v>
      </c>
    </row>
    <row r="3149" spans="1:47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928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946">IF(W3149="","",IF(W3149="RMB","1.13", "1"))</f>
        <v>1</v>
      </c>
      <c r="Z3149" s="196">
        <f t="shared" si="945"/>
        <v>7250000</v>
      </c>
      <c r="AA3149" s="22">
        <v>5.2299999999999999E-2</v>
      </c>
      <c r="AB3149" s="197">
        <f t="shared" si="931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2"/>
        <v>25354039.366920356</v>
      </c>
      <c r="AJ3149" s="200">
        <f t="shared" si="933"/>
        <v>3028631.2816309328</v>
      </c>
      <c r="AK3149" s="201">
        <f t="shared" si="939"/>
        <v>0.11945360018579192</v>
      </c>
      <c r="AL3149" s="24"/>
      <c r="AM3149" s="24"/>
      <c r="AN3149" s="24"/>
      <c r="AO3149" s="24"/>
      <c r="AP3149" s="105" t="str">
        <f t="shared" si="940"/>
        <v>20248</v>
      </c>
      <c r="AQ3149" s="28" t="str">
        <f t="shared" si="941"/>
        <v>20248JPY</v>
      </c>
      <c r="AR3149" s="206" t="str">
        <f t="shared" si="942"/>
        <v>YAMAHA_Mounter</v>
      </c>
      <c r="AS3149" s="22">
        <f t="shared" si="943"/>
        <v>1</v>
      </c>
      <c r="AT3149" s="24" t="str">
        <f t="shared" si="944"/>
        <v>0-3 months</v>
      </c>
      <c r="AU3149" s="22" t="s">
        <v>3744</v>
      </c>
    </row>
    <row r="3150" spans="1:47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928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946"/>
        <v>1.13</v>
      </c>
      <c r="Z3150" s="196">
        <f t="shared" si="945"/>
        <v>410000</v>
      </c>
      <c r="AA3150" s="22">
        <v>1.08</v>
      </c>
      <c r="AB3150" s="197">
        <f t="shared" si="931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2"/>
        <v>25354039.366920356</v>
      </c>
      <c r="AJ3150" s="200">
        <f t="shared" si="933"/>
        <v>3028631.2816309328</v>
      </c>
      <c r="AK3150" s="201">
        <f t="shared" si="939"/>
        <v>0.11945360018579192</v>
      </c>
      <c r="AL3150" s="24"/>
      <c r="AM3150" s="24"/>
      <c r="AN3150" s="24"/>
      <c r="AO3150" s="24"/>
      <c r="AP3150" s="105" t="str">
        <f t="shared" si="940"/>
        <v>20248</v>
      </c>
      <c r="AQ3150" s="28" t="str">
        <f t="shared" si="941"/>
        <v>20248RMB</v>
      </c>
      <c r="AR3150" s="206" t="str">
        <f t="shared" si="942"/>
        <v>YAMAHA_Mounter</v>
      </c>
      <c r="AS3150" s="22">
        <f t="shared" si="943"/>
        <v>1</v>
      </c>
      <c r="AT3150" s="24" t="str">
        <f t="shared" si="944"/>
        <v>0-3 months</v>
      </c>
      <c r="AU3150" s="22" t="s">
        <v>3750</v>
      </c>
    </row>
    <row r="3151" spans="1:47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928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946"/>
        <v>1.13</v>
      </c>
      <c r="Z3151" s="196">
        <f t="shared" si="945"/>
        <v>410000</v>
      </c>
      <c r="AA3151" s="22">
        <v>1.08</v>
      </c>
      <c r="AB3151" s="197">
        <f t="shared" si="931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2"/>
        <v>25354039.366920356</v>
      </c>
      <c r="AJ3151" s="200">
        <f t="shared" si="933"/>
        <v>3028631.2816309328</v>
      </c>
      <c r="AK3151" s="201">
        <f t="shared" si="939"/>
        <v>0.11945360018579192</v>
      </c>
      <c r="AL3151" s="24"/>
      <c r="AM3151" s="24"/>
      <c r="AN3151" s="24"/>
      <c r="AO3151" s="24"/>
      <c r="AP3151" s="105" t="str">
        <f t="shared" si="940"/>
        <v>20248</v>
      </c>
      <c r="AQ3151" s="28" t="str">
        <f t="shared" si="941"/>
        <v>20248RMB</v>
      </c>
      <c r="AR3151" s="206" t="str">
        <f t="shared" si="942"/>
        <v>YAMAHA_Mounter</v>
      </c>
      <c r="AS3151" s="22">
        <f t="shared" si="943"/>
        <v>1</v>
      </c>
      <c r="AT3151" s="24" t="str">
        <f t="shared" si="944"/>
        <v>0-3 months</v>
      </c>
      <c r="AU3151" s="22" t="s">
        <v>3750</v>
      </c>
    </row>
    <row r="3152" spans="1:47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928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946"/>
        <v>1</v>
      </c>
      <c r="Z3152" s="196">
        <f t="shared" si="945"/>
        <v>7950000</v>
      </c>
      <c r="AA3152" s="22">
        <v>5.2299999999999999E-2</v>
      </c>
      <c r="AB3152" s="197">
        <f t="shared" si="931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2"/>
        <v>25354039.366920356</v>
      </c>
      <c r="AJ3152" s="200">
        <f t="shared" si="933"/>
        <v>3028631.2816309328</v>
      </c>
      <c r="AK3152" s="201">
        <f t="shared" si="939"/>
        <v>0.11945360018579192</v>
      </c>
      <c r="AL3152" s="24"/>
      <c r="AM3152" s="24"/>
      <c r="AN3152" s="24"/>
      <c r="AO3152" s="24"/>
      <c r="AP3152" s="105" t="str">
        <f t="shared" si="940"/>
        <v>20248</v>
      </c>
      <c r="AQ3152" s="28" t="str">
        <f t="shared" si="941"/>
        <v>20248JPY</v>
      </c>
      <c r="AR3152" s="206" t="str">
        <f t="shared" si="942"/>
        <v>YAMAHA_Mounter</v>
      </c>
      <c r="AS3152" s="22">
        <f t="shared" si="943"/>
        <v>1</v>
      </c>
      <c r="AT3152" s="24" t="str">
        <f t="shared" si="944"/>
        <v>0-3 months</v>
      </c>
      <c r="AU3152" s="22" t="s">
        <v>3744</v>
      </c>
    </row>
    <row r="3153" spans="1:47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928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946"/>
        <v>1</v>
      </c>
      <c r="Z3153" s="196">
        <f t="shared" si="945"/>
        <v>12650000</v>
      </c>
      <c r="AA3153" s="22">
        <v>5.5599999999999997E-2</v>
      </c>
      <c r="AB3153" s="197">
        <f t="shared" si="931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2"/>
        <v>22758096.38940867</v>
      </c>
      <c r="AJ3153" s="200">
        <f t="shared" si="933"/>
        <v>2469357.2298956565</v>
      </c>
      <c r="AK3153" s="201">
        <f t="shared" si="939"/>
        <v>0.10850455976822666</v>
      </c>
      <c r="AL3153" s="24"/>
      <c r="AM3153" s="24"/>
      <c r="AN3153" s="24"/>
      <c r="AO3153" s="24"/>
      <c r="AP3153" s="105" t="str">
        <f t="shared" si="940"/>
        <v>202410</v>
      </c>
      <c r="AQ3153" s="28" t="str">
        <f t="shared" si="941"/>
        <v>202410JPY</v>
      </c>
      <c r="AR3153" s="206" t="str">
        <f t="shared" si="942"/>
        <v>YAMAHA_Mounter</v>
      </c>
      <c r="AS3153" s="22">
        <f t="shared" si="943"/>
        <v>3</v>
      </c>
      <c r="AT3153" s="24" t="str">
        <f t="shared" si="944"/>
        <v>0-3 months</v>
      </c>
      <c r="AU3153" s="22" t="s">
        <v>3744</v>
      </c>
    </row>
    <row r="3154" spans="1:47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928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946"/>
        <v>1</v>
      </c>
      <c r="Z3154" s="196">
        <f t="shared" si="945"/>
        <v>12650000</v>
      </c>
      <c r="AA3154" s="22">
        <v>5.5599999999999997E-2</v>
      </c>
      <c r="AB3154" s="197">
        <f t="shared" si="931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2"/>
        <v>22758096.38940867</v>
      </c>
      <c r="AJ3154" s="200">
        <f t="shared" si="933"/>
        <v>2469357.2298956565</v>
      </c>
      <c r="AK3154" s="201">
        <f t="shared" si="939"/>
        <v>0.10850455976822666</v>
      </c>
      <c r="AL3154" s="24"/>
      <c r="AM3154" s="24"/>
      <c r="AN3154" s="24"/>
      <c r="AO3154" s="24"/>
      <c r="AP3154" s="105" t="str">
        <f t="shared" si="940"/>
        <v>202410</v>
      </c>
      <c r="AQ3154" s="28" t="str">
        <f t="shared" si="941"/>
        <v>202410JPY</v>
      </c>
      <c r="AR3154" s="206" t="str">
        <f t="shared" si="942"/>
        <v>YAMAHA_Mounter</v>
      </c>
      <c r="AS3154" s="22">
        <f t="shared" si="943"/>
        <v>3</v>
      </c>
      <c r="AT3154" s="24" t="str">
        <f t="shared" si="944"/>
        <v>0-3 months</v>
      </c>
      <c r="AU3154" s="22" t="s">
        <v>3744</v>
      </c>
    </row>
    <row r="3155" spans="1:47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928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946"/>
        <v>1.13</v>
      </c>
      <c r="Z3155" s="196">
        <f t="shared" si="945"/>
        <v>630000</v>
      </c>
      <c r="AA3155" s="22">
        <v>1.08</v>
      </c>
      <c r="AB3155" s="197">
        <f t="shared" si="931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2"/>
        <v>25354039.366920356</v>
      </c>
      <c r="AJ3155" s="200">
        <f t="shared" si="933"/>
        <v>3028631.2816309328</v>
      </c>
      <c r="AK3155" s="201">
        <f t="shared" si="939"/>
        <v>0.11945360018579192</v>
      </c>
      <c r="AL3155" s="24"/>
      <c r="AM3155" s="24"/>
      <c r="AN3155" s="24"/>
      <c r="AO3155" s="24"/>
      <c r="AP3155" s="105" t="str">
        <f t="shared" si="940"/>
        <v>20248</v>
      </c>
      <c r="AQ3155" s="28" t="str">
        <f t="shared" si="941"/>
        <v>20248RMB</v>
      </c>
      <c r="AR3155" s="206" t="str">
        <f t="shared" si="942"/>
        <v>YAMAHA_Mounter</v>
      </c>
      <c r="AS3155" s="22">
        <f t="shared" si="943"/>
        <v>1</v>
      </c>
      <c r="AT3155" s="24" t="str">
        <f t="shared" si="944"/>
        <v>0-3 months</v>
      </c>
      <c r="AU3155" s="22" t="s">
        <v>3750</v>
      </c>
    </row>
    <row r="3156" spans="1:47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928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946"/>
        <v>1.13</v>
      </c>
      <c r="Z3156" s="196">
        <f t="shared" si="945"/>
        <v>630000</v>
      </c>
      <c r="AA3156" s="22">
        <v>1.08</v>
      </c>
      <c r="AB3156" s="197">
        <f t="shared" si="931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2"/>
        <v>25354039.366920356</v>
      </c>
      <c r="AJ3156" s="200">
        <f t="shared" si="933"/>
        <v>3028631.2816309328</v>
      </c>
      <c r="AK3156" s="201">
        <f t="shared" si="939"/>
        <v>0.11945360018579192</v>
      </c>
      <c r="AL3156" s="24"/>
      <c r="AM3156" s="24"/>
      <c r="AN3156" s="24"/>
      <c r="AO3156" s="24"/>
      <c r="AP3156" s="105" t="str">
        <f t="shared" si="940"/>
        <v>20248</v>
      </c>
      <c r="AQ3156" s="28" t="str">
        <f t="shared" si="941"/>
        <v>20248RMB</v>
      </c>
      <c r="AR3156" s="206" t="str">
        <f t="shared" si="942"/>
        <v>YAMAHA_Mounter</v>
      </c>
      <c r="AS3156" s="22">
        <f t="shared" si="943"/>
        <v>1</v>
      </c>
      <c r="AT3156" s="24" t="str">
        <f t="shared" si="944"/>
        <v>0-3 months</v>
      </c>
      <c r="AU3156" s="22" t="s">
        <v>3750</v>
      </c>
    </row>
    <row r="3157" spans="1:47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928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945"/>
        <v>179000</v>
      </c>
      <c r="AA3157" s="13">
        <v>7.8</v>
      </c>
      <c r="AB3157" s="21">
        <f t="shared" si="931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2"/>
        <v>13250187.062905986</v>
      </c>
      <c r="AJ3157" s="19">
        <f t="shared" si="933"/>
        <v>1545643.7555487182</v>
      </c>
      <c r="AK3157" s="20">
        <f t="shared" si="939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940"/>
        <v>20183</v>
      </c>
      <c r="AQ3157" s="28" t="str">
        <f t="shared" si="941"/>
        <v>20183USD</v>
      </c>
      <c r="AR3157" s="206" t="str">
        <f t="shared" si="942"/>
        <v>HELLER</v>
      </c>
      <c r="AS3157" s="22">
        <f t="shared" si="943"/>
        <v>2</v>
      </c>
      <c r="AT3157" s="24" t="str">
        <f t="shared" si="944"/>
        <v>0-3 months</v>
      </c>
      <c r="AU3157" s="22" t="s">
        <v>3240</v>
      </c>
    </row>
    <row r="3158" spans="1:47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947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945"/>
        <v>358000</v>
      </c>
      <c r="AA3158" s="13">
        <v>7.8</v>
      </c>
      <c r="AB3158" s="21">
        <f t="shared" si="931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2"/>
        <v>24398045.86045352</v>
      </c>
      <c r="AJ3158" s="19">
        <f t="shared" si="933"/>
        <v>3478417.4064663448</v>
      </c>
      <c r="AK3158" s="20">
        <f t="shared" si="939"/>
        <v>0.14256950849102498</v>
      </c>
      <c r="AL3158" s="17"/>
      <c r="AM3158" s="17"/>
      <c r="AN3158" s="17"/>
      <c r="AO3158" s="17"/>
      <c r="AP3158" s="28" t="str">
        <f t="shared" si="940"/>
        <v>20186</v>
      </c>
      <c r="AQ3158" s="28" t="str">
        <f t="shared" si="941"/>
        <v>20186USD</v>
      </c>
      <c r="AR3158" s="206" t="str">
        <f t="shared" si="942"/>
        <v>HELLER</v>
      </c>
      <c r="AS3158" s="22">
        <f t="shared" si="943"/>
        <v>1</v>
      </c>
      <c r="AT3158" s="24" t="str">
        <f t="shared" si="944"/>
        <v>0-3 months</v>
      </c>
      <c r="AU3158" s="22" t="s">
        <v>3240</v>
      </c>
    </row>
    <row r="3159" spans="1:47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947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945"/>
        <v>61800</v>
      </c>
      <c r="AA3159" s="13">
        <v>7.8</v>
      </c>
      <c r="AB3159" s="21">
        <f t="shared" si="931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2"/>
        <v>24398045.86045352</v>
      </c>
      <c r="AJ3159" s="19">
        <f t="shared" si="933"/>
        <v>3478417.4064663448</v>
      </c>
      <c r="AK3159" s="20">
        <f t="shared" si="939"/>
        <v>0.14256950849102498</v>
      </c>
      <c r="AL3159" s="17"/>
      <c r="AM3159" s="17"/>
      <c r="AN3159" s="17"/>
      <c r="AO3159" s="17"/>
      <c r="AP3159" s="28" t="str">
        <f t="shared" si="940"/>
        <v>20186</v>
      </c>
      <c r="AQ3159" s="28" t="str">
        <f t="shared" si="941"/>
        <v>20186USD</v>
      </c>
      <c r="AR3159" s="206" t="str">
        <f t="shared" si="942"/>
        <v>HELLER</v>
      </c>
      <c r="AS3159" s="22">
        <f t="shared" si="943"/>
        <v>1</v>
      </c>
      <c r="AT3159" s="24" t="str">
        <f t="shared" si="944"/>
        <v>0-3 months</v>
      </c>
      <c r="AU3159" s="22" t="s">
        <v>3240</v>
      </c>
    </row>
    <row r="3160" spans="1:47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947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945"/>
        <v>61500</v>
      </c>
      <c r="AA3160" s="13">
        <v>7.8</v>
      </c>
      <c r="AB3160" s="21">
        <f t="shared" si="931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2"/>
        <v>29183109.05575221</v>
      </c>
      <c r="AJ3160" s="19">
        <f t="shared" si="933"/>
        <v>3741266.5648721238</v>
      </c>
      <c r="AK3160" s="20">
        <f t="shared" si="939"/>
        <v>0.12819972531798121</v>
      </c>
      <c r="AL3160" s="17"/>
      <c r="AM3160" s="17"/>
      <c r="AN3160" s="17"/>
      <c r="AO3160" s="17"/>
      <c r="AP3160" s="28" t="str">
        <f t="shared" si="940"/>
        <v>20206</v>
      </c>
      <c r="AQ3160" s="28" t="str">
        <f t="shared" si="941"/>
        <v>20206USD</v>
      </c>
      <c r="AR3160" s="206" t="str">
        <f t="shared" si="942"/>
        <v>HELLER</v>
      </c>
      <c r="AS3160" s="22">
        <f t="shared" si="943"/>
        <v>3</v>
      </c>
      <c r="AT3160" s="24" t="str">
        <f t="shared" si="944"/>
        <v>0-3 months</v>
      </c>
      <c r="AU3160" s="22" t="s">
        <v>3240</v>
      </c>
    </row>
    <row r="3161" spans="1:47" s="12" customFormat="1">
      <c r="A3161" s="33" t="str">
        <f t="shared" si="934"/>
        <v/>
      </c>
      <c r="B3161" s="152" t="s">
        <v>2584</v>
      </c>
      <c r="C3161" s="152" t="s">
        <v>2584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9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947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945"/>
        <v>1800000</v>
      </c>
      <c r="AA3161" s="13">
        <v>1.095</v>
      </c>
      <c r="AB3161" s="21">
        <f t="shared" si="931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2"/>
        <v>19242877.433628317</v>
      </c>
      <c r="AJ3161" s="19">
        <f t="shared" si="933"/>
        <v>2240020.1770353983</v>
      </c>
      <c r="AK3161" s="20">
        <f t="shared" si="939"/>
        <v>0.11640775579232249</v>
      </c>
      <c r="AL3161" s="17"/>
      <c r="AM3161" s="17"/>
      <c r="AN3161" s="17"/>
      <c r="AO3161" s="17"/>
      <c r="AP3161" s="28" t="str">
        <f t="shared" si="940"/>
        <v>TBATBA</v>
      </c>
      <c r="AQ3161" s="28" t="str">
        <f t="shared" si="941"/>
        <v>TBATBARMB</v>
      </c>
      <c r="AR3161" s="206" t="str">
        <f t="shared" si="942"/>
        <v>HELLER</v>
      </c>
      <c r="AS3161" s="22" t="str">
        <f t="shared" si="943"/>
        <v/>
      </c>
      <c r="AT3161" s="24" t="str">
        <f t="shared" si="944"/>
        <v/>
      </c>
      <c r="AU3161" s="22" t="s">
        <v>3240</v>
      </c>
    </row>
    <row r="3162" spans="1:47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947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945"/>
        <v>116200</v>
      </c>
      <c r="AA3162" s="13">
        <v>7.8</v>
      </c>
      <c r="AB3162" s="21">
        <f t="shared" si="931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2"/>
        <v>33543315.897345133</v>
      </c>
      <c r="AJ3162" s="19">
        <f t="shared" si="933"/>
        <v>4706169.3252984071</v>
      </c>
      <c r="AK3162" s="20">
        <f t="shared" si="939"/>
        <v>0.14030125523967318</v>
      </c>
      <c r="AL3162" s="17"/>
      <c r="AM3162" s="17"/>
      <c r="AN3162" s="17"/>
      <c r="AO3162" s="17"/>
      <c r="AP3162" s="28" t="str">
        <f t="shared" si="940"/>
        <v>20233</v>
      </c>
      <c r="AQ3162" s="28" t="str">
        <f t="shared" si="941"/>
        <v>20233USD</v>
      </c>
      <c r="AR3162" s="206" t="str">
        <f t="shared" si="942"/>
        <v>HELLER</v>
      </c>
      <c r="AS3162" s="22">
        <f t="shared" si="943"/>
        <v>4</v>
      </c>
      <c r="AT3162" s="24" t="str">
        <f t="shared" si="944"/>
        <v>4-6 months</v>
      </c>
      <c r="AU3162" s="22" t="s">
        <v>3240</v>
      </c>
    </row>
    <row r="3163" spans="1:47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947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945"/>
        <v>89360</v>
      </c>
      <c r="AA3163" s="13">
        <v>7.8</v>
      </c>
      <c r="AB3163" s="21">
        <f t="shared" si="931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2"/>
        <v>26078226.463097349</v>
      </c>
      <c r="AJ3163" s="19">
        <f t="shared" si="933"/>
        <v>3137870.4427774516</v>
      </c>
      <c r="AK3163" s="20">
        <f t="shared" si="939"/>
        <v>0.12032530077218917</v>
      </c>
      <c r="AL3163" s="17"/>
      <c r="AM3163" s="17"/>
      <c r="AN3163" s="17"/>
      <c r="AO3163" s="17"/>
      <c r="AP3163" s="28" t="str">
        <f t="shared" si="940"/>
        <v>20239</v>
      </c>
      <c r="AQ3163" s="28" t="str">
        <f t="shared" si="941"/>
        <v>20239USD</v>
      </c>
      <c r="AR3163" s="206" t="str">
        <f t="shared" si="942"/>
        <v>HELLER</v>
      </c>
      <c r="AS3163" s="22">
        <f t="shared" si="943"/>
        <v>2</v>
      </c>
      <c r="AT3163" s="24" t="str">
        <f t="shared" si="944"/>
        <v>0-3 months</v>
      </c>
      <c r="AU3163" s="22" t="s">
        <v>3240</v>
      </c>
    </row>
    <row r="3164" spans="1:47" s="12" customFormat="1">
      <c r="A3164" s="33" t="str">
        <f t="shared" si="934"/>
        <v>cancel</v>
      </c>
      <c r="B3164" s="152"/>
      <c r="C3164" s="152" t="s">
        <v>185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9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947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945"/>
        <v>1200000</v>
      </c>
      <c r="AA3164" s="13">
        <v>1.08</v>
      </c>
      <c r="AB3164" s="21">
        <f t="shared" si="931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2"/>
        <v>499582152.5142017</v>
      </c>
      <c r="AJ3164" s="19">
        <f t="shared" si="933"/>
        <v>59520528.679470733</v>
      </c>
      <c r="AK3164" s="20">
        <f t="shared" si="939"/>
        <v>0.11914062257814291</v>
      </c>
      <c r="AL3164" s="17"/>
      <c r="AM3164" s="17"/>
      <c r="AN3164" s="17"/>
      <c r="AO3164" s="17"/>
      <c r="AP3164" s="28" t="str">
        <f t="shared" si="940"/>
        <v>CancelCancel</v>
      </c>
      <c r="AQ3164" s="28" t="str">
        <f t="shared" si="941"/>
        <v>CancelCancelRMB</v>
      </c>
      <c r="AR3164" s="206" t="str">
        <f t="shared" si="942"/>
        <v>HELLER</v>
      </c>
      <c r="AS3164" s="22" t="str">
        <f t="shared" si="943"/>
        <v/>
      </c>
      <c r="AT3164" s="24" t="str">
        <f t="shared" si="944"/>
        <v/>
      </c>
      <c r="AU3164" s="22" t="s">
        <v>3240</v>
      </c>
    </row>
    <row r="3165" spans="1:47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947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945"/>
        <v>1090000</v>
      </c>
      <c r="AA3165" s="13">
        <v>1.095</v>
      </c>
      <c r="AB3165" s="21">
        <f t="shared" si="931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2"/>
        <v>33477255.428389374</v>
      </c>
      <c r="AJ3165" s="19">
        <f t="shared" si="933"/>
        <v>4578663.362915583</v>
      </c>
      <c r="AK3165" s="20">
        <f t="shared" si="939"/>
        <v>0.13676937682988152</v>
      </c>
      <c r="AL3165" s="17"/>
      <c r="AM3165" s="17"/>
      <c r="AN3165" s="17"/>
      <c r="AO3165" s="17"/>
      <c r="AP3165" s="28" t="str">
        <f t="shared" si="940"/>
        <v>20204</v>
      </c>
      <c r="AQ3165" s="28" t="str">
        <f t="shared" si="941"/>
        <v>20204RMB</v>
      </c>
      <c r="AR3165" s="206" t="str">
        <f t="shared" si="942"/>
        <v>YAMAHA_Mounter</v>
      </c>
      <c r="AS3165" s="22">
        <f t="shared" si="943"/>
        <v>4</v>
      </c>
      <c r="AT3165" s="24" t="str">
        <f t="shared" si="944"/>
        <v>4-6 months</v>
      </c>
      <c r="AU3165" s="22" t="s">
        <v>3240</v>
      </c>
    </row>
    <row r="3166" spans="1:47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947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945"/>
        <v>11300000</v>
      </c>
      <c r="AA3166" s="13">
        <v>7.2999999999999995E-2</v>
      </c>
      <c r="AB3166" s="21">
        <f t="shared" si="931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2"/>
        <v>23168285.927433632</v>
      </c>
      <c r="AJ3166" s="19">
        <f t="shared" si="933"/>
        <v>2764878.916878053</v>
      </c>
      <c r="AK3166" s="20">
        <f t="shared" si="939"/>
        <v>0.11933895004309111</v>
      </c>
      <c r="AL3166" s="17"/>
      <c r="AM3166" s="17"/>
      <c r="AN3166" s="17"/>
      <c r="AO3166" s="17"/>
      <c r="AP3166" s="28" t="str">
        <f t="shared" si="940"/>
        <v>20203</v>
      </c>
      <c r="AQ3166" s="28" t="str">
        <f t="shared" si="941"/>
        <v>20203JPY</v>
      </c>
      <c r="AR3166" s="206" t="str">
        <f t="shared" si="942"/>
        <v>YAMAHA_Mounter</v>
      </c>
      <c r="AS3166" s="22">
        <f t="shared" si="943"/>
        <v>2</v>
      </c>
      <c r="AT3166" s="24" t="str">
        <f t="shared" si="944"/>
        <v>0-3 months</v>
      </c>
      <c r="AU3166" s="22" t="s">
        <v>3744</v>
      </c>
    </row>
    <row r="3167" spans="1:47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947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945"/>
        <v>8300000</v>
      </c>
      <c r="AA3167" s="13">
        <v>6.9199999999999998E-2</v>
      </c>
      <c r="AB3167" s="21">
        <f t="shared" si="931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2"/>
        <v>26407088.359292038</v>
      </c>
      <c r="AJ3167" s="19">
        <f t="shared" si="933"/>
        <v>3424510.6998470789</v>
      </c>
      <c r="AK3167" s="20">
        <f t="shared" si="939"/>
        <v>0.12968149510667554</v>
      </c>
      <c r="AL3167" s="17"/>
      <c r="AM3167" s="17"/>
      <c r="AN3167" s="17"/>
      <c r="AO3167" s="17"/>
      <c r="AP3167" s="28" t="str">
        <f t="shared" si="940"/>
        <v>20221</v>
      </c>
      <c r="AQ3167" s="28" t="str">
        <f t="shared" si="941"/>
        <v>20221JPY</v>
      </c>
      <c r="AR3167" s="206" t="str">
        <f t="shared" si="942"/>
        <v>YAMAHA_Mounter</v>
      </c>
      <c r="AS3167" s="22">
        <f t="shared" si="943"/>
        <v>9</v>
      </c>
      <c r="AT3167" s="24" t="str">
        <f t="shared" si="944"/>
        <v>&gt; 6 months</v>
      </c>
      <c r="AU3167" s="22" t="s">
        <v>3744</v>
      </c>
    </row>
    <row r="3168" spans="1:47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947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945"/>
        <v>30624000</v>
      </c>
      <c r="AA3168" s="13">
        <v>7.22E-2</v>
      </c>
      <c r="AB3168" s="21">
        <f t="shared" si="931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2"/>
        <v>47416008.333399981</v>
      </c>
      <c r="AJ3168" s="19">
        <f t="shared" si="933"/>
        <v>6981738.4465290187</v>
      </c>
      <c r="AK3168" s="20">
        <f t="shared" si="939"/>
        <v>0.14724433143839863</v>
      </c>
      <c r="AL3168" s="17"/>
      <c r="AM3168" s="17"/>
      <c r="AN3168" s="17"/>
      <c r="AO3168" s="17"/>
      <c r="AP3168" s="28" t="str">
        <f t="shared" si="940"/>
        <v>20193</v>
      </c>
      <c r="AQ3168" s="28" t="str">
        <f t="shared" si="941"/>
        <v>20193JPY</v>
      </c>
      <c r="AR3168" s="206" t="str">
        <f t="shared" si="942"/>
        <v>YAMAHA_Mounter</v>
      </c>
      <c r="AS3168" s="22">
        <f t="shared" si="943"/>
        <v>1</v>
      </c>
      <c r="AT3168" s="24" t="str">
        <f t="shared" si="944"/>
        <v>0-3 months</v>
      </c>
      <c r="AU3168" s="22" t="s">
        <v>3745</v>
      </c>
    </row>
    <row r="3169" spans="1:47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947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948">IF(W3169="RMB","1.13", "1")</f>
        <v>1.13</v>
      </c>
      <c r="Z3169" s="18">
        <f t="shared" si="945"/>
        <v>733868</v>
      </c>
      <c r="AA3169" s="13">
        <v>1.1599999999999999</v>
      </c>
      <c r="AB3169" s="21">
        <f t="shared" si="931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2"/>
        <v>21045012.884955753</v>
      </c>
      <c r="AJ3169" s="19">
        <f t="shared" si="933"/>
        <v>2650260.9603327443</v>
      </c>
      <c r="AK3169" s="20">
        <f t="shared" si="939"/>
        <v>0.12593296924172048</v>
      </c>
      <c r="AL3169" s="17"/>
      <c r="AM3169" s="17"/>
      <c r="AN3169" s="17"/>
      <c r="AO3169" s="17"/>
      <c r="AP3169" s="28" t="str">
        <f t="shared" si="940"/>
        <v>20232</v>
      </c>
      <c r="AQ3169" s="28" t="str">
        <f t="shared" si="941"/>
        <v>20232RMB</v>
      </c>
      <c r="AR3169" s="206" t="str">
        <f t="shared" si="942"/>
        <v>YAMAHA_Mounter</v>
      </c>
      <c r="AS3169" s="22">
        <f t="shared" si="943"/>
        <v>3</v>
      </c>
      <c r="AT3169" s="24" t="str">
        <f t="shared" si="944"/>
        <v>0-3 months</v>
      </c>
      <c r="AU3169" s="22" t="s">
        <v>3240</v>
      </c>
    </row>
    <row r="3170" spans="1:47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947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948"/>
        <v>1.13</v>
      </c>
      <c r="Z3170" s="18">
        <f t="shared" si="945"/>
        <v>910000</v>
      </c>
      <c r="AA3170" s="13">
        <v>1.1599999999999999</v>
      </c>
      <c r="AB3170" s="21">
        <f t="shared" si="931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2"/>
        <v>21045012.884955753</v>
      </c>
      <c r="AJ3170" s="19">
        <f t="shared" si="933"/>
        <v>2650260.9603327443</v>
      </c>
      <c r="AK3170" s="20">
        <f t="shared" si="939"/>
        <v>0.12593296924172048</v>
      </c>
      <c r="AL3170" s="17"/>
      <c r="AM3170" s="17"/>
      <c r="AN3170" s="17"/>
      <c r="AO3170" s="17"/>
      <c r="AP3170" s="28" t="str">
        <f t="shared" si="940"/>
        <v>20232</v>
      </c>
      <c r="AQ3170" s="28" t="str">
        <f t="shared" si="941"/>
        <v>20232RMB</v>
      </c>
      <c r="AR3170" s="206" t="str">
        <f t="shared" si="942"/>
        <v>YAMAHA_Mounter</v>
      </c>
      <c r="AS3170" s="22">
        <f t="shared" si="943"/>
        <v>3</v>
      </c>
      <c r="AT3170" s="24" t="str">
        <f t="shared" si="944"/>
        <v>0-3 months</v>
      </c>
      <c r="AU3170" s="22" t="s">
        <v>3240</v>
      </c>
    </row>
    <row r="3171" spans="1:47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947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948"/>
        <v>1</v>
      </c>
      <c r="Z3171" s="18">
        <f t="shared" si="945"/>
        <v>10200000</v>
      </c>
      <c r="AA3171" s="13">
        <v>7.6100000000000001E-2</v>
      </c>
      <c r="AB3171" s="21">
        <f t="shared" si="931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2"/>
        <v>48763143.537654862</v>
      </c>
      <c r="AJ3171" s="19">
        <f t="shared" si="933"/>
        <v>5924029.9702154724</v>
      </c>
      <c r="AK3171" s="20">
        <f t="shared" si="939"/>
        <v>0.1214858095774925</v>
      </c>
      <c r="AL3171" s="17"/>
      <c r="AM3171" s="17"/>
      <c r="AN3171" s="17"/>
      <c r="AO3171" s="17"/>
      <c r="AP3171" s="28" t="str">
        <f t="shared" si="940"/>
        <v>202012</v>
      </c>
      <c r="AQ3171" s="28" t="str">
        <f t="shared" si="941"/>
        <v>202012JPY</v>
      </c>
      <c r="AR3171" s="206" t="str">
        <f t="shared" si="942"/>
        <v>YAMAHA_Mounter</v>
      </c>
      <c r="AS3171" s="22">
        <f t="shared" si="943"/>
        <v>2</v>
      </c>
      <c r="AT3171" s="24" t="str">
        <f t="shared" si="944"/>
        <v>0-3 months</v>
      </c>
      <c r="AU3171" s="22" t="s">
        <v>3240</v>
      </c>
    </row>
    <row r="3172" spans="1:47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947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948"/>
        <v>1</v>
      </c>
      <c r="Z3172" s="18">
        <f t="shared" si="945"/>
        <v>10200000</v>
      </c>
      <c r="AA3172" s="13">
        <v>7.6100000000000001E-2</v>
      </c>
      <c r="AB3172" s="21">
        <f t="shared" si="931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2"/>
        <v>48763143.537654862</v>
      </c>
      <c r="AJ3172" s="19">
        <f t="shared" si="933"/>
        <v>5924029.9702154724</v>
      </c>
      <c r="AK3172" s="20">
        <f t="shared" si="939"/>
        <v>0.1214858095774925</v>
      </c>
      <c r="AL3172" s="17"/>
      <c r="AM3172" s="17"/>
      <c r="AN3172" s="17"/>
      <c r="AO3172" s="17"/>
      <c r="AP3172" s="28" t="str">
        <f t="shared" si="940"/>
        <v>202012</v>
      </c>
      <c r="AQ3172" s="28" t="str">
        <f t="shared" si="941"/>
        <v>202012JPY</v>
      </c>
      <c r="AR3172" s="206" t="str">
        <f t="shared" si="942"/>
        <v>YAMAHA_Mounter</v>
      </c>
      <c r="AS3172" s="22">
        <f t="shared" si="943"/>
        <v>2</v>
      </c>
      <c r="AT3172" s="24" t="str">
        <f t="shared" si="944"/>
        <v>0-3 months</v>
      </c>
      <c r="AU3172" s="22" t="s">
        <v>3240</v>
      </c>
    </row>
    <row r="3173" spans="1:47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947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948"/>
        <v>1</v>
      </c>
      <c r="Z3173" s="18">
        <f t="shared" si="945"/>
        <v>10200000</v>
      </c>
      <c r="AA3173" s="13">
        <v>7.6100000000000001E-2</v>
      </c>
      <c r="AB3173" s="21">
        <f t="shared" si="931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2"/>
        <v>48763143.537654862</v>
      </c>
      <c r="AJ3173" s="19">
        <f t="shared" si="933"/>
        <v>5924029.9702154724</v>
      </c>
      <c r="AK3173" s="20">
        <f t="shared" si="939"/>
        <v>0.1214858095774925</v>
      </c>
      <c r="AL3173" s="17"/>
      <c r="AM3173" s="17"/>
      <c r="AN3173" s="17"/>
      <c r="AO3173" s="17"/>
      <c r="AP3173" s="28" t="str">
        <f t="shared" si="940"/>
        <v>202012</v>
      </c>
      <c r="AQ3173" s="28" t="str">
        <f t="shared" si="941"/>
        <v>202012JPY</v>
      </c>
      <c r="AR3173" s="206" t="str">
        <f t="shared" si="942"/>
        <v>YAMAHA_Mounter</v>
      </c>
      <c r="AS3173" s="22">
        <f t="shared" si="943"/>
        <v>2</v>
      </c>
      <c r="AT3173" s="24" t="str">
        <f t="shared" si="944"/>
        <v>0-3 months</v>
      </c>
      <c r="AU3173" s="22" t="s">
        <v>3240</v>
      </c>
    </row>
    <row r="3174" spans="1:47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947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948"/>
        <v>1</v>
      </c>
      <c r="Z3174" s="18">
        <f t="shared" si="945"/>
        <v>10200000</v>
      </c>
      <c r="AA3174" s="13">
        <v>7.6100000000000001E-2</v>
      </c>
      <c r="AB3174" s="21">
        <f t="shared" si="931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2"/>
        <v>48763143.537654862</v>
      </c>
      <c r="AJ3174" s="19">
        <f t="shared" si="933"/>
        <v>5924029.9702154724</v>
      </c>
      <c r="AK3174" s="20">
        <f t="shared" si="939"/>
        <v>0.1214858095774925</v>
      </c>
      <c r="AL3174" s="17"/>
      <c r="AM3174" s="17"/>
      <c r="AN3174" s="17"/>
      <c r="AO3174" s="17"/>
      <c r="AP3174" s="28" t="str">
        <f t="shared" si="940"/>
        <v>202012</v>
      </c>
      <c r="AQ3174" s="28" t="str">
        <f t="shared" si="941"/>
        <v>202012JPY</v>
      </c>
      <c r="AR3174" s="206" t="str">
        <f t="shared" si="942"/>
        <v>YAMAHA_Mounter</v>
      </c>
      <c r="AS3174" s="22">
        <f t="shared" si="943"/>
        <v>2</v>
      </c>
      <c r="AT3174" s="24" t="str">
        <f t="shared" si="944"/>
        <v>0-3 months</v>
      </c>
      <c r="AU3174" s="22" t="s">
        <v>3240</v>
      </c>
    </row>
    <row r="3175" spans="1:47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947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948"/>
        <v>1</v>
      </c>
      <c r="Z3175" s="18">
        <f t="shared" si="945"/>
        <v>7600000</v>
      </c>
      <c r="AA3175" s="13">
        <v>7.6100000000000001E-2</v>
      </c>
      <c r="AB3175" s="21">
        <f t="shared" si="931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2"/>
        <v>48763143.537654862</v>
      </c>
      <c r="AJ3175" s="19">
        <f t="shared" si="933"/>
        <v>5924029.9702154724</v>
      </c>
      <c r="AK3175" s="20">
        <f t="shared" si="939"/>
        <v>0.1214858095774925</v>
      </c>
      <c r="AL3175" s="17"/>
      <c r="AM3175" s="17"/>
      <c r="AN3175" s="17"/>
      <c r="AO3175" s="17"/>
      <c r="AP3175" s="28" t="str">
        <f t="shared" si="940"/>
        <v>202012</v>
      </c>
      <c r="AQ3175" s="28" t="str">
        <f t="shared" si="941"/>
        <v>202012JPY</v>
      </c>
      <c r="AR3175" s="206" t="str">
        <f t="shared" si="942"/>
        <v>YAMAHA_Mounter</v>
      </c>
      <c r="AS3175" s="22">
        <f t="shared" si="943"/>
        <v>2</v>
      </c>
      <c r="AT3175" s="24" t="str">
        <f t="shared" si="944"/>
        <v>0-3 months</v>
      </c>
      <c r="AU3175" s="22" t="s">
        <v>3240</v>
      </c>
    </row>
    <row r="3176" spans="1:47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947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948"/>
        <v>1</v>
      </c>
      <c r="Z3176" s="18">
        <f t="shared" si="945"/>
        <v>10200000</v>
      </c>
      <c r="AA3176" s="13">
        <v>7.6799999999999993E-2</v>
      </c>
      <c r="AB3176" s="21">
        <f t="shared" si="931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2"/>
        <v>45803245.025628321</v>
      </c>
      <c r="AJ3176" s="19">
        <f t="shared" si="933"/>
        <v>5664636.2584379362</v>
      </c>
      <c r="AK3176" s="20">
        <f t="shared" si="939"/>
        <v>0.12367325186825515</v>
      </c>
      <c r="AL3176" s="17"/>
      <c r="AM3176" s="17"/>
      <c r="AN3176" s="17"/>
      <c r="AO3176" s="17"/>
      <c r="AP3176" s="28" t="str">
        <f t="shared" si="940"/>
        <v>20211</v>
      </c>
      <c r="AQ3176" s="28" t="str">
        <f t="shared" si="941"/>
        <v>20211JPY</v>
      </c>
      <c r="AR3176" s="206" t="str">
        <f t="shared" si="942"/>
        <v>YAMAHA_Mounter</v>
      </c>
      <c r="AS3176" s="22">
        <f t="shared" si="943"/>
        <v>3</v>
      </c>
      <c r="AT3176" s="24" t="str">
        <f t="shared" si="944"/>
        <v>0-3 months</v>
      </c>
      <c r="AU3176" s="22" t="s">
        <v>3240</v>
      </c>
    </row>
    <row r="3177" spans="1:47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947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948"/>
        <v>1</v>
      </c>
      <c r="Z3177" s="18">
        <f t="shared" si="945"/>
        <v>10200000</v>
      </c>
      <c r="AA3177" s="13">
        <v>7.6799999999999993E-2</v>
      </c>
      <c r="AB3177" s="21">
        <f t="shared" si="931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2"/>
        <v>45803245.025628321</v>
      </c>
      <c r="AJ3177" s="19">
        <f t="shared" si="933"/>
        <v>5664636.2584379362</v>
      </c>
      <c r="AK3177" s="20">
        <f t="shared" si="939"/>
        <v>0.12367325186825515</v>
      </c>
      <c r="AL3177" s="17"/>
      <c r="AM3177" s="17"/>
      <c r="AN3177" s="17"/>
      <c r="AO3177" s="17"/>
      <c r="AP3177" s="28" t="str">
        <f t="shared" si="940"/>
        <v>20211</v>
      </c>
      <c r="AQ3177" s="28" t="str">
        <f t="shared" si="941"/>
        <v>20211JPY</v>
      </c>
      <c r="AR3177" s="206" t="str">
        <f t="shared" si="942"/>
        <v>YAMAHA_Mounter</v>
      </c>
      <c r="AS3177" s="22">
        <f t="shared" si="943"/>
        <v>3</v>
      </c>
      <c r="AT3177" s="24" t="str">
        <f t="shared" si="944"/>
        <v>0-3 months</v>
      </c>
      <c r="AU3177" s="22" t="s">
        <v>3240</v>
      </c>
    </row>
    <row r="3178" spans="1:47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947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948"/>
        <v>1</v>
      </c>
      <c r="Z3178" s="18">
        <f t="shared" si="945"/>
        <v>10200000</v>
      </c>
      <c r="AA3178" s="13">
        <v>7.6799999999999993E-2</v>
      </c>
      <c r="AB3178" s="21">
        <f t="shared" si="931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2"/>
        <v>45803245.025628321</v>
      </c>
      <c r="AJ3178" s="19">
        <f t="shared" si="933"/>
        <v>5664636.2584379362</v>
      </c>
      <c r="AK3178" s="20">
        <f t="shared" si="939"/>
        <v>0.12367325186825515</v>
      </c>
      <c r="AL3178" s="17"/>
      <c r="AM3178" s="17"/>
      <c r="AN3178" s="17"/>
      <c r="AO3178" s="17"/>
      <c r="AP3178" s="28" t="str">
        <f t="shared" si="940"/>
        <v>20211</v>
      </c>
      <c r="AQ3178" s="28" t="str">
        <f t="shared" si="941"/>
        <v>20211JPY</v>
      </c>
      <c r="AR3178" s="206" t="str">
        <f t="shared" si="942"/>
        <v>YAMAHA_Mounter</v>
      </c>
      <c r="AS3178" s="22">
        <f t="shared" si="943"/>
        <v>3</v>
      </c>
      <c r="AT3178" s="24" t="str">
        <f t="shared" si="944"/>
        <v>0-3 months</v>
      </c>
      <c r="AU3178" s="22" t="s">
        <v>3240</v>
      </c>
    </row>
    <row r="3179" spans="1:47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947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948"/>
        <v>1</v>
      </c>
      <c r="Z3179" s="18">
        <f t="shared" si="945"/>
        <v>10200000</v>
      </c>
      <c r="AA3179" s="13">
        <v>7.6799999999999993E-2</v>
      </c>
      <c r="AB3179" s="21">
        <f t="shared" si="931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2"/>
        <v>45803245.025628321</v>
      </c>
      <c r="AJ3179" s="19">
        <f t="shared" si="933"/>
        <v>5664636.2584379362</v>
      </c>
      <c r="AK3179" s="20">
        <f t="shared" si="939"/>
        <v>0.12367325186825515</v>
      </c>
      <c r="AL3179" s="17"/>
      <c r="AM3179" s="17"/>
      <c r="AN3179" s="17"/>
      <c r="AO3179" s="17"/>
      <c r="AP3179" s="28" t="str">
        <f t="shared" si="940"/>
        <v>20211</v>
      </c>
      <c r="AQ3179" s="28" t="str">
        <f t="shared" si="941"/>
        <v>20211JPY</v>
      </c>
      <c r="AR3179" s="206" t="str">
        <f t="shared" si="942"/>
        <v>YAMAHA_Mounter</v>
      </c>
      <c r="AS3179" s="22">
        <f t="shared" si="943"/>
        <v>3</v>
      </c>
      <c r="AT3179" s="24" t="str">
        <f t="shared" si="944"/>
        <v>0-3 months</v>
      </c>
      <c r="AU3179" s="22" t="s">
        <v>3240</v>
      </c>
    </row>
    <row r="3180" spans="1:47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947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948"/>
        <v>1</v>
      </c>
      <c r="Z3180" s="18">
        <f t="shared" si="945"/>
        <v>7600000</v>
      </c>
      <c r="AA3180" s="13">
        <v>7.6799999999999993E-2</v>
      </c>
      <c r="AB3180" s="21">
        <f t="shared" si="931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2"/>
        <v>45803245.025628321</v>
      </c>
      <c r="AJ3180" s="19">
        <f t="shared" si="933"/>
        <v>5664636.2584379362</v>
      </c>
      <c r="AK3180" s="20">
        <f t="shared" si="939"/>
        <v>0.12367325186825515</v>
      </c>
      <c r="AL3180" s="17"/>
      <c r="AM3180" s="17"/>
      <c r="AN3180" s="17"/>
      <c r="AO3180" s="17"/>
      <c r="AP3180" s="28" t="str">
        <f t="shared" si="940"/>
        <v>20211</v>
      </c>
      <c r="AQ3180" s="28" t="str">
        <f t="shared" si="941"/>
        <v>20211JPY</v>
      </c>
      <c r="AR3180" s="206" t="str">
        <f t="shared" si="942"/>
        <v>YAMAHA_Mounter</v>
      </c>
      <c r="AS3180" s="22">
        <f t="shared" si="943"/>
        <v>3</v>
      </c>
      <c r="AT3180" s="24" t="str">
        <f t="shared" si="944"/>
        <v>0-3 months</v>
      </c>
      <c r="AU3180" s="22" t="s">
        <v>3240</v>
      </c>
    </row>
    <row r="3181" spans="1:47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947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948"/>
        <v>1</v>
      </c>
      <c r="Z3181" s="18">
        <f t="shared" si="945"/>
        <v>10877781</v>
      </c>
      <c r="AA3181" s="13">
        <v>6.2799999999999995E-2</v>
      </c>
      <c r="AB3181" s="21">
        <f t="shared" si="931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2"/>
        <v>44014086.982070789</v>
      </c>
      <c r="AJ3181" s="19">
        <f t="shared" si="933"/>
        <v>6419974.0221889298</v>
      </c>
      <c r="AK3181" s="20">
        <f t="shared" si="939"/>
        <v>0.14586180158193709</v>
      </c>
      <c r="AL3181" s="17"/>
      <c r="AM3181" s="17"/>
      <c r="AN3181" s="17"/>
      <c r="AO3181" s="17"/>
      <c r="AP3181" s="28" t="str">
        <f t="shared" si="940"/>
        <v>20225</v>
      </c>
      <c r="AQ3181" s="28" t="str">
        <f t="shared" si="941"/>
        <v>20225JPY</v>
      </c>
      <c r="AR3181" s="206" t="str">
        <f t="shared" si="942"/>
        <v>YAMAHA_Mounter</v>
      </c>
      <c r="AS3181" s="22">
        <f t="shared" si="943"/>
        <v>11</v>
      </c>
      <c r="AT3181" s="24" t="str">
        <f t="shared" si="944"/>
        <v>&gt; 6 months</v>
      </c>
      <c r="AU3181" s="22" t="s">
        <v>3240</v>
      </c>
    </row>
    <row r="3182" spans="1:47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947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948"/>
        <v>1</v>
      </c>
      <c r="Z3182" s="18">
        <f t="shared" si="945"/>
        <v>10877781</v>
      </c>
      <c r="AA3182" s="13">
        <v>6.2799999999999995E-2</v>
      </c>
      <c r="AB3182" s="21">
        <f t="shared" si="931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2"/>
        <v>44014086.982070789</v>
      </c>
      <c r="AJ3182" s="19">
        <f t="shared" si="933"/>
        <v>6419974.0221889298</v>
      </c>
      <c r="AK3182" s="20">
        <f t="shared" si="939"/>
        <v>0.14586180158193709</v>
      </c>
      <c r="AL3182" s="17"/>
      <c r="AM3182" s="17"/>
      <c r="AN3182" s="17"/>
      <c r="AO3182" s="17"/>
      <c r="AP3182" s="28" t="str">
        <f t="shared" si="940"/>
        <v>20225</v>
      </c>
      <c r="AQ3182" s="28" t="str">
        <f t="shared" si="941"/>
        <v>20225JPY</v>
      </c>
      <c r="AR3182" s="206" t="str">
        <f t="shared" si="942"/>
        <v>YAMAHA_Mounter</v>
      </c>
      <c r="AS3182" s="22">
        <f t="shared" si="943"/>
        <v>11</v>
      </c>
      <c r="AT3182" s="24" t="str">
        <f t="shared" si="944"/>
        <v>&gt; 6 months</v>
      </c>
      <c r="AU3182" s="22" t="s">
        <v>3240</v>
      </c>
    </row>
    <row r="3183" spans="1:47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947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948"/>
        <v>1</v>
      </c>
      <c r="Z3183" s="18">
        <f t="shared" si="945"/>
        <v>10877781</v>
      </c>
      <c r="AA3183" s="13">
        <v>6.2799999999999995E-2</v>
      </c>
      <c r="AB3183" s="21">
        <f t="shared" si="931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2"/>
        <v>44014086.982070789</v>
      </c>
      <c r="AJ3183" s="19">
        <f t="shared" si="933"/>
        <v>6419974.0221889298</v>
      </c>
      <c r="AK3183" s="20">
        <f t="shared" si="939"/>
        <v>0.14586180158193709</v>
      </c>
      <c r="AL3183" s="17"/>
      <c r="AM3183" s="17"/>
      <c r="AN3183" s="17"/>
      <c r="AO3183" s="17"/>
      <c r="AP3183" s="28" t="str">
        <f t="shared" si="940"/>
        <v>20225</v>
      </c>
      <c r="AQ3183" s="28" t="str">
        <f t="shared" si="941"/>
        <v>20225JPY</v>
      </c>
      <c r="AR3183" s="206" t="str">
        <f t="shared" si="942"/>
        <v>YAMAHA_Mounter</v>
      </c>
      <c r="AS3183" s="22">
        <f t="shared" si="943"/>
        <v>11</v>
      </c>
      <c r="AT3183" s="24" t="str">
        <f t="shared" si="944"/>
        <v>&gt; 6 months</v>
      </c>
      <c r="AU3183" s="22" t="s">
        <v>3240</v>
      </c>
    </row>
    <row r="3184" spans="1:47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947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948"/>
        <v>1</v>
      </c>
      <c r="Z3184" s="18">
        <f t="shared" si="945"/>
        <v>10877781</v>
      </c>
      <c r="AA3184" s="13">
        <v>6.2799999999999995E-2</v>
      </c>
      <c r="AB3184" s="21">
        <f t="shared" si="931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2"/>
        <v>44014086.982070789</v>
      </c>
      <c r="AJ3184" s="19">
        <f t="shared" si="933"/>
        <v>6419974.0221889298</v>
      </c>
      <c r="AK3184" s="20">
        <f t="shared" si="939"/>
        <v>0.14586180158193709</v>
      </c>
      <c r="AL3184" s="17"/>
      <c r="AM3184" s="17"/>
      <c r="AN3184" s="17"/>
      <c r="AO3184" s="17"/>
      <c r="AP3184" s="28" t="str">
        <f t="shared" si="940"/>
        <v>20225</v>
      </c>
      <c r="AQ3184" s="28" t="str">
        <f t="shared" si="941"/>
        <v>20225JPY</v>
      </c>
      <c r="AR3184" s="206" t="str">
        <f t="shared" si="942"/>
        <v>YAMAHA_Mounter</v>
      </c>
      <c r="AS3184" s="22">
        <f t="shared" si="943"/>
        <v>11</v>
      </c>
      <c r="AT3184" s="24" t="str">
        <f t="shared" si="944"/>
        <v>&gt; 6 months</v>
      </c>
      <c r="AU3184" s="22" t="s">
        <v>3240</v>
      </c>
    </row>
    <row r="3185" spans="1:47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947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948"/>
        <v>1</v>
      </c>
      <c r="Z3185" s="18">
        <f t="shared" si="945"/>
        <v>7781117</v>
      </c>
      <c r="AA3185" s="13">
        <v>6.2799999999999995E-2</v>
      </c>
      <c r="AB3185" s="21">
        <f t="shared" si="931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2"/>
        <v>44014086.982070789</v>
      </c>
      <c r="AJ3185" s="19">
        <f t="shared" si="933"/>
        <v>6419974.0221889298</v>
      </c>
      <c r="AK3185" s="20">
        <f t="shared" si="939"/>
        <v>0.14586180158193709</v>
      </c>
      <c r="AL3185" s="17"/>
      <c r="AM3185" s="17"/>
      <c r="AN3185" s="17"/>
      <c r="AO3185" s="17"/>
      <c r="AP3185" s="28" t="str">
        <f t="shared" si="940"/>
        <v>20225</v>
      </c>
      <c r="AQ3185" s="28" t="str">
        <f t="shared" si="941"/>
        <v>20225JPY</v>
      </c>
      <c r="AR3185" s="206" t="str">
        <f t="shared" si="942"/>
        <v>YAMAHA_Mounter</v>
      </c>
      <c r="AS3185" s="22">
        <f t="shared" si="943"/>
        <v>11</v>
      </c>
      <c r="AT3185" s="24" t="str">
        <f t="shared" si="944"/>
        <v>&gt; 6 months</v>
      </c>
      <c r="AU3185" s="22" t="s">
        <v>3240</v>
      </c>
    </row>
    <row r="3186" spans="1:47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947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948"/>
        <v>1</v>
      </c>
      <c r="Z3186" s="18">
        <f t="shared" si="945"/>
        <v>7781117</v>
      </c>
      <c r="AA3186" s="13">
        <v>6.2799999999999995E-2</v>
      </c>
      <c r="AB3186" s="21">
        <f t="shared" si="931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2"/>
        <v>44014086.982070789</v>
      </c>
      <c r="AJ3186" s="19">
        <f t="shared" si="933"/>
        <v>6419974.0221889298</v>
      </c>
      <c r="AK3186" s="20">
        <f t="shared" si="939"/>
        <v>0.14586180158193709</v>
      </c>
      <c r="AL3186" s="17"/>
      <c r="AM3186" s="17"/>
      <c r="AN3186" s="17"/>
      <c r="AO3186" s="17"/>
      <c r="AP3186" s="28" t="str">
        <f t="shared" si="940"/>
        <v>20225</v>
      </c>
      <c r="AQ3186" s="28" t="str">
        <f t="shared" si="941"/>
        <v>20225JPY</v>
      </c>
      <c r="AR3186" s="206" t="str">
        <f t="shared" si="942"/>
        <v>YAMAHA_Mounter</v>
      </c>
      <c r="AS3186" s="22">
        <f t="shared" si="943"/>
        <v>11</v>
      </c>
      <c r="AT3186" s="24" t="str">
        <f t="shared" si="944"/>
        <v>&gt; 6 months</v>
      </c>
      <c r="AU3186" s="22" t="s">
        <v>3240</v>
      </c>
    </row>
    <row r="3187" spans="1:47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947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948"/>
        <v>1</v>
      </c>
      <c r="Z3187" s="18">
        <f t="shared" si="945"/>
        <v>7781117</v>
      </c>
      <c r="AA3187" s="13">
        <v>6.2799999999999995E-2</v>
      </c>
      <c r="AB3187" s="21">
        <f t="shared" si="931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2"/>
        <v>44014086.982070789</v>
      </c>
      <c r="AJ3187" s="19">
        <f t="shared" si="933"/>
        <v>6419974.0221889298</v>
      </c>
      <c r="AK3187" s="20">
        <f t="shared" si="939"/>
        <v>0.14586180158193709</v>
      </c>
      <c r="AL3187" s="17"/>
      <c r="AM3187" s="17"/>
      <c r="AN3187" s="17"/>
      <c r="AO3187" s="17"/>
      <c r="AP3187" s="28" t="str">
        <f t="shared" si="940"/>
        <v>20225</v>
      </c>
      <c r="AQ3187" s="28" t="str">
        <f t="shared" si="941"/>
        <v>20225JPY</v>
      </c>
      <c r="AR3187" s="206" t="str">
        <f t="shared" si="942"/>
        <v>YAMAHA_Mounter</v>
      </c>
      <c r="AS3187" s="22">
        <f t="shared" si="943"/>
        <v>11</v>
      </c>
      <c r="AT3187" s="24" t="str">
        <f t="shared" si="944"/>
        <v>&gt; 6 months</v>
      </c>
      <c r="AU3187" s="22" t="s">
        <v>3240</v>
      </c>
    </row>
    <row r="3188" spans="1:47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947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949">IF(W3188="","",IF(W3188="RMB","1.13", "1"))</f>
        <v>1.13</v>
      </c>
      <c r="Z3188" s="196">
        <f t="shared" si="945"/>
        <v>404600</v>
      </c>
      <c r="AA3188" s="22">
        <v>1.08</v>
      </c>
      <c r="AB3188" s="197">
        <f t="shared" si="931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2"/>
        <v>25354039.366920356</v>
      </c>
      <c r="AJ3188" s="200">
        <f t="shared" si="933"/>
        <v>3028631.2816309328</v>
      </c>
      <c r="AK3188" s="201">
        <f t="shared" si="939"/>
        <v>0.11945360018579192</v>
      </c>
      <c r="AL3188" s="24"/>
      <c r="AM3188" s="24"/>
      <c r="AN3188" s="24"/>
      <c r="AO3188" s="24"/>
      <c r="AP3188" s="105" t="str">
        <f t="shared" si="940"/>
        <v>20248</v>
      </c>
      <c r="AQ3188" s="28" t="str">
        <f t="shared" si="941"/>
        <v>20248RMB</v>
      </c>
      <c r="AR3188" s="206" t="str">
        <f t="shared" si="942"/>
        <v>YAMAHA_Mounter</v>
      </c>
      <c r="AS3188" s="22">
        <f t="shared" si="943"/>
        <v>1</v>
      </c>
      <c r="AT3188" s="24" t="str">
        <f t="shared" si="944"/>
        <v>0-3 months</v>
      </c>
      <c r="AU3188" s="22" t="s">
        <v>3240</v>
      </c>
    </row>
    <row r="3189" spans="1:47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947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949"/>
        <v>1.13</v>
      </c>
      <c r="Z3189" s="18">
        <f t="shared" si="945"/>
        <v>485000</v>
      </c>
      <c r="AA3189" s="22">
        <v>1.08</v>
      </c>
      <c r="AB3189" s="21">
        <f t="shared" si="931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2"/>
        <v>25354039.366920356</v>
      </c>
      <c r="AJ3189" s="27">
        <f t="shared" si="933"/>
        <v>3028631.2816309328</v>
      </c>
      <c r="AK3189" s="28">
        <f t="shared" si="939"/>
        <v>0.11945360018579192</v>
      </c>
      <c r="AL3189" s="24"/>
      <c r="AM3189" s="24"/>
      <c r="AN3189" s="24"/>
      <c r="AO3189" s="24"/>
      <c r="AP3189" s="28" t="str">
        <f t="shared" si="940"/>
        <v>20248</v>
      </c>
      <c r="AQ3189" s="28" t="str">
        <f t="shared" si="941"/>
        <v>20248RMB</v>
      </c>
      <c r="AR3189" s="206" t="str">
        <f t="shared" si="942"/>
        <v>YAMAHA_Non_Mounter</v>
      </c>
      <c r="AS3189" s="22">
        <f t="shared" si="943"/>
        <v>4</v>
      </c>
      <c r="AT3189" s="24" t="str">
        <f t="shared" si="944"/>
        <v>4-6 months</v>
      </c>
      <c r="AU3189" s="22" t="s">
        <v>3240</v>
      </c>
    </row>
    <row r="3190" spans="1:47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947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949"/>
        <v>1.13</v>
      </c>
      <c r="Z3190" s="18">
        <f t="shared" si="945"/>
        <v>485000</v>
      </c>
      <c r="AA3190" s="22">
        <v>1.08</v>
      </c>
      <c r="AB3190" s="21">
        <f t="shared" si="931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2"/>
        <v>25354039.366920356</v>
      </c>
      <c r="AJ3190" s="27">
        <f t="shared" si="933"/>
        <v>3028631.2816309328</v>
      </c>
      <c r="AK3190" s="28">
        <f t="shared" si="939"/>
        <v>0.11945360018579192</v>
      </c>
      <c r="AL3190" s="24"/>
      <c r="AM3190" s="24"/>
      <c r="AN3190" s="24"/>
      <c r="AO3190" s="24"/>
      <c r="AP3190" s="28" t="str">
        <f t="shared" si="940"/>
        <v>20248</v>
      </c>
      <c r="AQ3190" s="28" t="str">
        <f t="shared" si="941"/>
        <v>20248RMB</v>
      </c>
      <c r="AR3190" s="206" t="str">
        <f t="shared" si="942"/>
        <v>YAMAHA_Non_Mounter</v>
      </c>
      <c r="AS3190" s="22">
        <f t="shared" si="943"/>
        <v>4</v>
      </c>
      <c r="AT3190" s="24" t="str">
        <f t="shared" si="944"/>
        <v>4-6 months</v>
      </c>
      <c r="AU3190" s="22" t="s">
        <v>3240</v>
      </c>
    </row>
    <row r="3191" spans="1:47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947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949"/>
        <v>1.13</v>
      </c>
      <c r="Z3191" s="196">
        <f t="shared" si="945"/>
        <v>411888</v>
      </c>
      <c r="AA3191" s="22">
        <v>1.08</v>
      </c>
      <c r="AB3191" s="197">
        <f t="shared" si="931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2"/>
        <v>25354039.366920356</v>
      </c>
      <c r="AJ3191" s="200">
        <f t="shared" si="933"/>
        <v>3028631.2816309328</v>
      </c>
      <c r="AK3191" s="201">
        <f t="shared" si="939"/>
        <v>0.11945360018579192</v>
      </c>
      <c r="AL3191" s="24"/>
      <c r="AM3191" s="24"/>
      <c r="AN3191" s="24"/>
      <c r="AO3191" s="24"/>
      <c r="AP3191" s="105" t="str">
        <f t="shared" si="940"/>
        <v>20248</v>
      </c>
      <c r="AQ3191" s="28" t="str">
        <f t="shared" si="941"/>
        <v>20248RMB</v>
      </c>
      <c r="AR3191" s="206" t="str">
        <f t="shared" si="942"/>
        <v>YAMAHA_Mounter</v>
      </c>
      <c r="AS3191" s="22">
        <f t="shared" si="943"/>
        <v>3</v>
      </c>
      <c r="AT3191" s="24" t="str">
        <f t="shared" si="944"/>
        <v>0-3 months</v>
      </c>
      <c r="AU3191" s="22" t="s">
        <v>3240</v>
      </c>
    </row>
    <row r="3192" spans="1:47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947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949"/>
        <v>1</v>
      </c>
      <c r="Z3192" s="196">
        <f t="shared" si="945"/>
        <v>11900000</v>
      </c>
      <c r="AA3192" s="22">
        <v>5.2299999999999999E-2</v>
      </c>
      <c r="AB3192" s="197">
        <f t="shared" si="931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2"/>
        <v>25354039.366920356</v>
      </c>
      <c r="AJ3192" s="200">
        <f t="shared" si="933"/>
        <v>3028631.2816309328</v>
      </c>
      <c r="AK3192" s="201">
        <f t="shared" si="939"/>
        <v>0.11945360018579192</v>
      </c>
      <c r="AL3192" s="24"/>
      <c r="AM3192" s="24"/>
      <c r="AN3192" s="24"/>
      <c r="AO3192" s="24"/>
      <c r="AP3192" s="105" t="str">
        <f t="shared" si="940"/>
        <v>20248</v>
      </c>
      <c r="AQ3192" s="28" t="str">
        <f t="shared" si="941"/>
        <v>20248JPY</v>
      </c>
      <c r="AR3192" s="206" t="str">
        <f t="shared" si="942"/>
        <v>YAMAHA_Mounter</v>
      </c>
      <c r="AS3192" s="22">
        <f t="shared" si="943"/>
        <v>2</v>
      </c>
      <c r="AT3192" s="24" t="str">
        <f t="shared" si="944"/>
        <v>0-3 months</v>
      </c>
      <c r="AU3192" s="22" t="s">
        <v>3744</v>
      </c>
    </row>
    <row r="3193" spans="1:47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947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949"/>
        <v>1</v>
      </c>
      <c r="Z3193" s="196">
        <f t="shared" si="945"/>
        <v>11900000</v>
      </c>
      <c r="AA3193" s="22">
        <v>5.2299999999999999E-2</v>
      </c>
      <c r="AB3193" s="197">
        <f t="shared" si="931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2"/>
        <v>25354039.366920356</v>
      </c>
      <c r="AJ3193" s="200">
        <f t="shared" si="933"/>
        <v>3028631.2816309328</v>
      </c>
      <c r="AK3193" s="201">
        <f t="shared" si="939"/>
        <v>0.11945360018579192</v>
      </c>
      <c r="AL3193" s="24"/>
      <c r="AM3193" s="24"/>
      <c r="AN3193" s="24"/>
      <c r="AO3193" s="24"/>
      <c r="AP3193" s="105" t="str">
        <f t="shared" si="940"/>
        <v>20248</v>
      </c>
      <c r="AQ3193" s="28" t="str">
        <f t="shared" si="941"/>
        <v>20248JPY</v>
      </c>
      <c r="AR3193" s="206" t="str">
        <f t="shared" si="942"/>
        <v>YAMAHA_Mounter</v>
      </c>
      <c r="AS3193" s="22">
        <f t="shared" si="943"/>
        <v>2</v>
      </c>
      <c r="AT3193" s="24" t="str">
        <f t="shared" si="944"/>
        <v>0-3 months</v>
      </c>
      <c r="AU3193" s="22" t="s">
        <v>3744</v>
      </c>
    </row>
    <row r="3194" spans="1:47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9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947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949"/>
        <v>1</v>
      </c>
      <c r="Z3194" s="18">
        <f t="shared" si="945"/>
        <v>7668000</v>
      </c>
      <c r="AA3194" s="22">
        <v>5.1799999999999999E-2</v>
      </c>
      <c r="AB3194" s="21">
        <f t="shared" si="931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2"/>
        <v>499582152.5142017</v>
      </c>
      <c r="AJ3194" s="27">
        <f t="shared" si="933"/>
        <v>59520528.679470733</v>
      </c>
      <c r="AK3194" s="28">
        <f t="shared" si="939"/>
        <v>0.11914062257814291</v>
      </c>
      <c r="AL3194" s="24"/>
      <c r="AM3194" s="24"/>
      <c r="AN3194" s="24"/>
      <c r="AO3194" s="24"/>
      <c r="AP3194" s="28" t="str">
        <f t="shared" si="940"/>
        <v>CancelCancel</v>
      </c>
      <c r="AQ3194" s="28" t="str">
        <f t="shared" si="941"/>
        <v>CancelCancelJPY</v>
      </c>
      <c r="AR3194" s="206" t="str">
        <f t="shared" si="942"/>
        <v>YAMAHA_Mounter</v>
      </c>
      <c r="AS3194" s="22" t="str">
        <f t="shared" si="943"/>
        <v/>
      </c>
      <c r="AT3194" s="24" t="str">
        <f t="shared" si="944"/>
        <v/>
      </c>
      <c r="AU3194" s="22" t="s">
        <v>3744</v>
      </c>
    </row>
    <row r="3195" spans="1:47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9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947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949"/>
        <v>1</v>
      </c>
      <c r="Z3195" s="18">
        <f t="shared" si="945"/>
        <v>7668000</v>
      </c>
      <c r="AA3195" s="22">
        <v>5.1799999999999999E-2</v>
      </c>
      <c r="AB3195" s="21">
        <f t="shared" si="931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2"/>
        <v>499582152.5142017</v>
      </c>
      <c r="AJ3195" s="27">
        <f t="shared" si="933"/>
        <v>59520528.679470733</v>
      </c>
      <c r="AK3195" s="28">
        <f t="shared" si="939"/>
        <v>0.11914062257814291</v>
      </c>
      <c r="AL3195" s="24"/>
      <c r="AM3195" s="24"/>
      <c r="AN3195" s="24"/>
      <c r="AO3195" s="24"/>
      <c r="AP3195" s="28" t="str">
        <f t="shared" si="940"/>
        <v>CancelCancel</v>
      </c>
      <c r="AQ3195" s="28" t="str">
        <f t="shared" si="941"/>
        <v>CancelCancelJPY</v>
      </c>
      <c r="AR3195" s="206" t="str">
        <f t="shared" si="942"/>
        <v>YAMAHA_Mounter</v>
      </c>
      <c r="AS3195" s="22" t="str">
        <f t="shared" si="943"/>
        <v/>
      </c>
      <c r="AT3195" s="24" t="str">
        <f t="shared" si="944"/>
        <v/>
      </c>
      <c r="AU3195" s="22" t="s">
        <v>3744</v>
      </c>
    </row>
    <row r="3196" spans="1:47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947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945"/>
        <v>111434</v>
      </c>
      <c r="AA3196" s="13">
        <v>1.089</v>
      </c>
      <c r="AB3196" s="21">
        <f t="shared" ref="AB3196:AB3259" si="950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2"/>
        <v>29183109.05575221</v>
      </c>
      <c r="AJ3196" s="19">
        <f t="shared" si="933"/>
        <v>3741266.5648721238</v>
      </c>
      <c r="AK3196" s="20">
        <f t="shared" si="939"/>
        <v>0.12819972531798121</v>
      </c>
      <c r="AL3196" s="17"/>
      <c r="AM3196" s="17"/>
      <c r="AN3196" s="17"/>
      <c r="AO3196" s="17"/>
      <c r="AP3196" s="28" t="str">
        <f t="shared" si="940"/>
        <v>20206</v>
      </c>
      <c r="AQ3196" s="28" t="str">
        <f t="shared" si="941"/>
        <v>20206RMB</v>
      </c>
      <c r="AR3196" s="206" t="str">
        <f t="shared" si="942"/>
        <v>YAMAHA_Mounter</v>
      </c>
      <c r="AS3196" s="22">
        <f t="shared" si="943"/>
        <v>0</v>
      </c>
      <c r="AT3196" s="24" t="str">
        <f t="shared" si="944"/>
        <v>0-3 months</v>
      </c>
      <c r="AU3196" s="22" t="s">
        <v>3240</v>
      </c>
    </row>
    <row r="3197" spans="1:47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947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945"/>
        <v>10300000</v>
      </c>
      <c r="AA3197" s="13">
        <v>7.4899999999999994E-2</v>
      </c>
      <c r="AB3197" s="21">
        <f t="shared" si="950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2"/>
        <v>47907808.356810622</v>
      </c>
      <c r="AJ3197" s="19">
        <f t="shared" si="933"/>
        <v>6027384.8806384448</v>
      </c>
      <c r="AK3197" s="20">
        <f t="shared" si="939"/>
        <v>0.12581216063459488</v>
      </c>
      <c r="AL3197" s="17"/>
      <c r="AM3197" s="17"/>
      <c r="AN3197" s="17"/>
      <c r="AO3197" s="17"/>
      <c r="AP3197" s="28" t="str">
        <f t="shared" si="940"/>
        <v>20209</v>
      </c>
      <c r="AQ3197" s="28" t="str">
        <f t="shared" si="941"/>
        <v>20209JPY</v>
      </c>
      <c r="AR3197" s="206" t="str">
        <f t="shared" si="942"/>
        <v>YAMAHA_Mounter</v>
      </c>
      <c r="AS3197" s="22">
        <f t="shared" si="943"/>
        <v>3</v>
      </c>
      <c r="AT3197" s="24" t="str">
        <f t="shared" si="944"/>
        <v>0-3 months</v>
      </c>
      <c r="AU3197" s="22" t="s">
        <v>3240</v>
      </c>
    </row>
    <row r="3198" spans="1:47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947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945"/>
        <v>10300000</v>
      </c>
      <c r="AA3198" s="13">
        <v>7.4899999999999994E-2</v>
      </c>
      <c r="AB3198" s="21">
        <f t="shared" si="950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2"/>
        <v>47907808.356810622</v>
      </c>
      <c r="AJ3198" s="19">
        <f t="shared" si="933"/>
        <v>6027384.8806384448</v>
      </c>
      <c r="AK3198" s="20">
        <f t="shared" si="939"/>
        <v>0.12581216063459488</v>
      </c>
      <c r="AL3198" s="17"/>
      <c r="AM3198" s="17"/>
      <c r="AN3198" s="17"/>
      <c r="AO3198" s="17"/>
      <c r="AP3198" s="28" t="str">
        <f t="shared" si="940"/>
        <v>20209</v>
      </c>
      <c r="AQ3198" s="28" t="str">
        <f t="shared" si="941"/>
        <v>20209JPY</v>
      </c>
      <c r="AR3198" s="206" t="str">
        <f t="shared" si="942"/>
        <v>YAMAHA_Mounter</v>
      </c>
      <c r="AS3198" s="22">
        <f t="shared" si="943"/>
        <v>3</v>
      </c>
      <c r="AT3198" s="24" t="str">
        <f t="shared" si="944"/>
        <v>0-3 months</v>
      </c>
      <c r="AU3198" s="22" t="s">
        <v>3240</v>
      </c>
    </row>
    <row r="3199" spans="1:47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947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945"/>
        <v>10300000</v>
      </c>
      <c r="AA3199" s="13">
        <v>7.4899999999999994E-2</v>
      </c>
      <c r="AB3199" s="21">
        <f t="shared" si="950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2"/>
        <v>47907808.356810622</v>
      </c>
      <c r="AJ3199" s="19">
        <f t="shared" si="933"/>
        <v>6027384.8806384448</v>
      </c>
      <c r="AK3199" s="20">
        <f t="shared" si="939"/>
        <v>0.12581216063459488</v>
      </c>
      <c r="AL3199" s="17"/>
      <c r="AM3199" s="17"/>
      <c r="AN3199" s="17"/>
      <c r="AO3199" s="17"/>
      <c r="AP3199" s="28" t="str">
        <f t="shared" si="940"/>
        <v>20209</v>
      </c>
      <c r="AQ3199" s="28" t="str">
        <f t="shared" si="941"/>
        <v>20209JPY</v>
      </c>
      <c r="AR3199" s="206" t="str">
        <f t="shared" si="942"/>
        <v>YAMAHA_Mounter</v>
      </c>
      <c r="AS3199" s="22">
        <f t="shared" si="943"/>
        <v>3</v>
      </c>
      <c r="AT3199" s="24" t="str">
        <f t="shared" si="944"/>
        <v>0-3 months</v>
      </c>
      <c r="AU3199" s="22" t="s">
        <v>3240</v>
      </c>
    </row>
    <row r="3200" spans="1:47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947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945"/>
        <v>10300000</v>
      </c>
      <c r="AA3200" s="13">
        <v>7.4899999999999994E-2</v>
      </c>
      <c r="AB3200" s="21">
        <f t="shared" si="950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2"/>
        <v>47907808.356810622</v>
      </c>
      <c r="AJ3200" s="19">
        <f t="shared" si="933"/>
        <v>6027384.8806384448</v>
      </c>
      <c r="AK3200" s="20">
        <f t="shared" si="939"/>
        <v>0.12581216063459488</v>
      </c>
      <c r="AL3200" s="17"/>
      <c r="AM3200" s="17"/>
      <c r="AN3200" s="17"/>
      <c r="AO3200" s="17"/>
      <c r="AP3200" s="28" t="str">
        <f t="shared" si="940"/>
        <v>20209</v>
      </c>
      <c r="AQ3200" s="28" t="str">
        <f t="shared" si="941"/>
        <v>20209JPY</v>
      </c>
      <c r="AR3200" s="206" t="str">
        <f t="shared" si="942"/>
        <v>YAMAHA_Mounter</v>
      </c>
      <c r="AS3200" s="22">
        <f t="shared" si="943"/>
        <v>3</v>
      </c>
      <c r="AT3200" s="24" t="str">
        <f t="shared" si="944"/>
        <v>0-3 months</v>
      </c>
      <c r="AU3200" s="22" t="s">
        <v>3240</v>
      </c>
    </row>
    <row r="3201" spans="1:47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947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945"/>
        <v>8303704</v>
      </c>
      <c r="AA3201" s="13">
        <v>7.4899999999999994E-2</v>
      </c>
      <c r="AB3201" s="21">
        <f t="shared" si="950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2"/>
        <v>47907808.356810622</v>
      </c>
      <c r="AJ3201" s="19">
        <f t="shared" si="933"/>
        <v>6027384.8806384448</v>
      </c>
      <c r="AK3201" s="20">
        <f t="shared" si="939"/>
        <v>0.12581216063459488</v>
      </c>
      <c r="AL3201" s="17"/>
      <c r="AM3201" s="17"/>
      <c r="AN3201" s="17"/>
      <c r="AO3201" s="17"/>
      <c r="AP3201" s="28" t="str">
        <f t="shared" si="940"/>
        <v>20209</v>
      </c>
      <c r="AQ3201" s="28" t="str">
        <f t="shared" si="941"/>
        <v>20209JPY</v>
      </c>
      <c r="AR3201" s="206" t="str">
        <f t="shared" si="942"/>
        <v>YAMAHA_Mounter</v>
      </c>
      <c r="AS3201" s="22">
        <f t="shared" si="943"/>
        <v>3</v>
      </c>
      <c r="AT3201" s="24" t="str">
        <f t="shared" si="944"/>
        <v>0-3 months</v>
      </c>
      <c r="AU3201" s="22" t="s">
        <v>3240</v>
      </c>
    </row>
    <row r="3202" spans="1:47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947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945"/>
        <v>8303704</v>
      </c>
      <c r="AA3202" s="13">
        <v>7.4899999999999994E-2</v>
      </c>
      <c r="AB3202" s="21">
        <f t="shared" si="950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ref="AI3202:AI3265" si="951">IF(P3202="C66 SERVICE","",SUMIFS(AB:AB,F:F,F3202,G:G,G3202,E:E,E3202))</f>
        <v>47907808.356810622</v>
      </c>
      <c r="AJ3202" s="19">
        <f t="shared" ref="AJ3202:AJ3265" si="952">IF(P3202="C66 SERVICE","",SUMIFS(AC:AC,F:F,F3202,G:G,G3202,E:E,E3202))</f>
        <v>6027384.8806384448</v>
      </c>
      <c r="AK3202" s="20">
        <f t="shared" si="939"/>
        <v>0.12581216063459488</v>
      </c>
      <c r="AL3202" s="17"/>
      <c r="AM3202" s="17"/>
      <c r="AN3202" s="17"/>
      <c r="AO3202" s="17"/>
      <c r="AP3202" s="28" t="str">
        <f t="shared" si="940"/>
        <v>20209</v>
      </c>
      <c r="AQ3202" s="28" t="str">
        <f t="shared" si="941"/>
        <v>20209JPY</v>
      </c>
      <c r="AR3202" s="206" t="str">
        <f t="shared" si="942"/>
        <v>YAMAHA_Mounter</v>
      </c>
      <c r="AS3202" s="22">
        <f t="shared" si="943"/>
        <v>3</v>
      </c>
      <c r="AT3202" s="24" t="str">
        <f t="shared" si="944"/>
        <v>0-3 months</v>
      </c>
      <c r="AU3202" s="22" t="s">
        <v>3240</v>
      </c>
    </row>
    <row r="3203" spans="1:47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947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945"/>
        <v>19359680</v>
      </c>
      <c r="AA3203" s="13">
        <v>7.2099999999999997E-2</v>
      </c>
      <c r="AB3203" s="21">
        <f t="shared" si="950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51"/>
        <v>26492741.106427077</v>
      </c>
      <c r="AJ3203" s="19">
        <f t="shared" si="952"/>
        <v>3348032.1325698122</v>
      </c>
      <c r="AK3203" s="20">
        <f t="shared" si="939"/>
        <v>0.12637545201985867</v>
      </c>
      <c r="AL3203" s="17"/>
      <c r="AM3203" s="17"/>
      <c r="AN3203" s="17"/>
      <c r="AO3203" s="17"/>
      <c r="AP3203" s="28" t="str">
        <f t="shared" si="940"/>
        <v>20189</v>
      </c>
      <c r="AQ3203" s="28" t="str">
        <f t="shared" si="941"/>
        <v>20189JPY</v>
      </c>
      <c r="AR3203" s="206" t="str">
        <f t="shared" si="942"/>
        <v>YAMAHA_Mounter</v>
      </c>
      <c r="AS3203" s="22">
        <f t="shared" si="943"/>
        <v>2</v>
      </c>
      <c r="AT3203" s="24" t="str">
        <f t="shared" si="944"/>
        <v>0-3 months</v>
      </c>
      <c r="AU3203" s="22" t="s">
        <v>3744</v>
      </c>
    </row>
    <row r="3204" spans="1:47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947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945"/>
        <v>15884750</v>
      </c>
      <c r="AA3204" s="13">
        <v>7.2700000000000001E-2</v>
      </c>
      <c r="AB3204" s="21">
        <f t="shared" si="950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51"/>
        <v>14005204.685000001</v>
      </c>
      <c r="AJ3204" s="19">
        <f t="shared" si="952"/>
        <v>1436995.246084</v>
      </c>
      <c r="AK3204" s="20">
        <f t="shared" si="939"/>
        <v>0.10260437304590525</v>
      </c>
      <c r="AL3204" s="17"/>
      <c r="AM3204" s="17"/>
      <c r="AN3204" s="17"/>
      <c r="AO3204" s="17"/>
      <c r="AP3204" s="28" t="str">
        <f t="shared" si="940"/>
        <v>20202</v>
      </c>
      <c r="AQ3204" s="28" t="str">
        <f t="shared" si="941"/>
        <v>20202JPY</v>
      </c>
      <c r="AR3204" s="206" t="str">
        <f t="shared" si="942"/>
        <v>YAMAHA_Mounter</v>
      </c>
      <c r="AS3204" s="22">
        <f t="shared" si="943"/>
        <v>0</v>
      </c>
      <c r="AT3204" s="24" t="str">
        <f t="shared" si="944"/>
        <v>0-3 months</v>
      </c>
      <c r="AU3204" s="22" t="s">
        <v>3744</v>
      </c>
    </row>
    <row r="3205" spans="1:47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947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945"/>
        <v>8410000</v>
      </c>
      <c r="AA3205" s="13">
        <v>7.17E-2</v>
      </c>
      <c r="AB3205" s="21">
        <f t="shared" si="950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51"/>
        <v>43684091.636631854</v>
      </c>
      <c r="AJ3205" s="19">
        <f t="shared" si="952"/>
        <v>6483951.8242071122</v>
      </c>
      <c r="AK3205" s="20">
        <f t="shared" si="939"/>
        <v>0.14842821680123736</v>
      </c>
      <c r="AL3205" s="17"/>
      <c r="AM3205" s="17"/>
      <c r="AN3205" s="17"/>
      <c r="AO3205" s="17"/>
      <c r="AP3205" s="28" t="str">
        <f t="shared" si="940"/>
        <v>20214</v>
      </c>
      <c r="AQ3205" s="28" t="str">
        <f t="shared" si="941"/>
        <v>20214JPY</v>
      </c>
      <c r="AR3205" s="206" t="str">
        <f t="shared" si="942"/>
        <v>YAMAHA_Mounter</v>
      </c>
      <c r="AS3205" s="22">
        <f t="shared" si="943"/>
        <v>1</v>
      </c>
      <c r="AT3205" s="24" t="str">
        <f t="shared" si="944"/>
        <v>0-3 months</v>
      </c>
      <c r="AU3205" s="22" t="s">
        <v>3744</v>
      </c>
    </row>
    <row r="3206" spans="1:47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947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945"/>
        <v>840000</v>
      </c>
      <c r="AA3206" s="13">
        <v>1.0900000000000001</v>
      </c>
      <c r="AB3206" s="21">
        <f t="shared" si="950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si="951"/>
        <v>17329060.066371687</v>
      </c>
      <c r="AJ3206" s="19">
        <f t="shared" si="952"/>
        <v>2472600.2142256643</v>
      </c>
      <c r="AK3206" s="20">
        <f t="shared" ref="AK3206:AK3269" si="958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59">IF(F3206="","",F3206&amp;G3206)</f>
        <v>202212</v>
      </c>
      <c r="AQ3206" s="28" t="str">
        <f t="shared" ref="AQ3206:AQ3269" si="960">IF(W3206="","",F3206&amp;G3206&amp;W3206)</f>
        <v>202212RMB</v>
      </c>
      <c r="AR3206" s="206" t="str">
        <f t="shared" ref="AR3206:AR3269" si="961">IFERROR(IF(AND(M3206="YAMAHA", R3206="C28"), "YAMAHA_Non_Mounter", IF(AND(M3206="YAMAHA", R3206="C49"), "YAMAHA_Mounter", M3206)),"")</f>
        <v>YAMAHA_Mounter</v>
      </c>
      <c r="AS3206" s="22">
        <f t="shared" ref="AS3206:AS3269" si="962">IFERROR(IF(OR(G3206="TBA", G3206=""), "", DATEDIF(DATE(B3206, C3206, 1), DATE(F3206, G3206, 1), "M")),"")</f>
        <v>0</v>
      </c>
      <c r="AT3206" s="24" t="str">
        <f t="shared" ref="AT3206:AT3269" si="963">IF(ISNUMBER(AS3206), IF(AS3206&gt;=0, IF(AS3206&lt;=3, "0-3 months", IF(AS3206&lt;=6, "4-6 months", "&gt; 6 months"))), "")</f>
        <v>0-3 months</v>
      </c>
      <c r="AU3206" s="22" t="s">
        <v>3750</v>
      </c>
    </row>
    <row r="3207" spans="1:47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947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945"/>
        <v>8500000</v>
      </c>
      <c r="AA3207" s="13">
        <v>5.4199999999999998E-2</v>
      </c>
      <c r="AB3207" s="21">
        <f t="shared" si="950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1"/>
        <v>10271727.486725664</v>
      </c>
      <c r="AJ3207" s="19">
        <f t="shared" si="952"/>
        <v>1227228.7260761063</v>
      </c>
      <c r="AK3207" s="20">
        <f t="shared" si="958"/>
        <v>0.11947637120066472</v>
      </c>
      <c r="AL3207" s="17"/>
      <c r="AM3207" s="17"/>
      <c r="AN3207" s="17"/>
      <c r="AO3207" s="17"/>
      <c r="AP3207" s="28" t="str">
        <f t="shared" si="959"/>
        <v>202312</v>
      </c>
      <c r="AQ3207" s="28" t="str">
        <f t="shared" si="960"/>
        <v>202312JPY</v>
      </c>
      <c r="AR3207" s="206" t="str">
        <f t="shared" si="961"/>
        <v>YAMAHA_Mounter</v>
      </c>
      <c r="AS3207" s="22">
        <f t="shared" si="962"/>
        <v>1</v>
      </c>
      <c r="AT3207" s="24" t="str">
        <f t="shared" si="963"/>
        <v>0-3 months</v>
      </c>
      <c r="AU3207" s="22" t="s">
        <v>3744</v>
      </c>
    </row>
    <row r="3208" spans="1:47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947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945"/>
        <v>9666667</v>
      </c>
      <c r="AA3208" s="13">
        <v>7.2099999999999997E-2</v>
      </c>
      <c r="AB3208" s="21">
        <f t="shared" si="950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1"/>
        <v>26754147.763010349</v>
      </c>
      <c r="AJ3208" s="19">
        <f t="shared" si="952"/>
        <v>3429137.9965357962</v>
      </c>
      <c r="AK3208" s="20">
        <f t="shared" si="958"/>
        <v>0.12817220069617921</v>
      </c>
      <c r="AL3208" s="17"/>
      <c r="AM3208" s="17"/>
      <c r="AN3208" s="17"/>
      <c r="AO3208" s="17"/>
      <c r="AP3208" s="28" t="str">
        <f t="shared" si="959"/>
        <v>20188</v>
      </c>
      <c r="AQ3208" s="28" t="str">
        <f t="shared" si="960"/>
        <v>20188JPY</v>
      </c>
      <c r="AR3208" s="206" t="str">
        <f t="shared" si="961"/>
        <v>YAMAHA_Mounter</v>
      </c>
      <c r="AS3208" s="22">
        <f t="shared" si="962"/>
        <v>2</v>
      </c>
      <c r="AT3208" s="24" t="str">
        <f t="shared" si="963"/>
        <v>0-3 months</v>
      </c>
      <c r="AU3208" s="22" t="s">
        <v>3744</v>
      </c>
    </row>
    <row r="3209" spans="1:47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947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945"/>
        <v>9666667</v>
      </c>
      <c r="AA3209" s="13">
        <v>7.22E-2</v>
      </c>
      <c r="AB3209" s="21">
        <f t="shared" si="950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1"/>
        <v>29946107.503386207</v>
      </c>
      <c r="AJ3209" s="19">
        <f t="shared" si="952"/>
        <v>3987206.4954923098</v>
      </c>
      <c r="AK3209" s="20">
        <f t="shared" si="958"/>
        <v>0.13314606898547499</v>
      </c>
      <c r="AL3209" s="17"/>
      <c r="AM3209" s="17"/>
      <c r="AN3209" s="17"/>
      <c r="AO3209" s="17"/>
      <c r="AP3209" s="28" t="str">
        <f t="shared" si="959"/>
        <v>20187</v>
      </c>
      <c r="AQ3209" s="28" t="str">
        <f t="shared" si="960"/>
        <v>20187JPY</v>
      </c>
      <c r="AR3209" s="206" t="str">
        <f t="shared" si="961"/>
        <v>YAMAHA_Mounter</v>
      </c>
      <c r="AS3209" s="22">
        <f t="shared" si="962"/>
        <v>1</v>
      </c>
      <c r="AT3209" s="24" t="str">
        <f t="shared" si="963"/>
        <v>0-3 months</v>
      </c>
      <c r="AU3209" s="22" t="s">
        <v>3744</v>
      </c>
    </row>
    <row r="3210" spans="1:47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947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964">IF(X3210="","",X3210*MAX(O3210,N3210))</f>
        <v>9666666</v>
      </c>
      <c r="AA3210" s="13">
        <v>7.22E-2</v>
      </c>
      <c r="AB3210" s="21">
        <f t="shared" si="950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1"/>
        <v>29946107.503386207</v>
      </c>
      <c r="AJ3210" s="19">
        <f t="shared" si="952"/>
        <v>3987206.4954923098</v>
      </c>
      <c r="AK3210" s="20">
        <f t="shared" si="958"/>
        <v>0.13314606898547499</v>
      </c>
      <c r="AL3210" s="17"/>
      <c r="AM3210" s="17"/>
      <c r="AN3210" s="17"/>
      <c r="AO3210" s="17"/>
      <c r="AP3210" s="28" t="str">
        <f t="shared" si="959"/>
        <v>20187</v>
      </c>
      <c r="AQ3210" s="28" t="str">
        <f t="shared" si="960"/>
        <v>20187JPY</v>
      </c>
      <c r="AR3210" s="206" t="str">
        <f t="shared" si="961"/>
        <v>YAMAHA_Mounter</v>
      </c>
      <c r="AS3210" s="22">
        <f t="shared" si="962"/>
        <v>1</v>
      </c>
      <c r="AT3210" s="24" t="str">
        <f t="shared" si="963"/>
        <v>0-3 months</v>
      </c>
      <c r="AU3210" s="22" t="s">
        <v>3744</v>
      </c>
    </row>
    <row r="3211" spans="1:47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947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964"/>
        <v>13225000</v>
      </c>
      <c r="AA3211" s="13">
        <v>5.4199999999999998E-2</v>
      </c>
      <c r="AB3211" s="21">
        <f t="shared" si="950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1"/>
        <v>10271727.486725664</v>
      </c>
      <c r="AJ3211" s="19">
        <f t="shared" si="952"/>
        <v>1227228.7260761063</v>
      </c>
      <c r="AK3211" s="20">
        <f t="shared" si="958"/>
        <v>0.11947637120066472</v>
      </c>
      <c r="AL3211" s="17"/>
      <c r="AM3211" s="17"/>
      <c r="AN3211" s="17"/>
      <c r="AO3211" s="17"/>
      <c r="AP3211" s="28" t="str">
        <f t="shared" si="959"/>
        <v>202312</v>
      </c>
      <c r="AQ3211" s="28" t="str">
        <f t="shared" si="960"/>
        <v>202312JPY</v>
      </c>
      <c r="AR3211" s="206" t="str">
        <f t="shared" si="961"/>
        <v>YAMAHA_Mounter</v>
      </c>
      <c r="AS3211" s="22">
        <f t="shared" si="962"/>
        <v>1</v>
      </c>
      <c r="AT3211" s="24" t="str">
        <f t="shared" si="963"/>
        <v>0-3 months</v>
      </c>
      <c r="AU3211" s="22" t="s">
        <v>3744</v>
      </c>
    </row>
    <row r="3212" spans="1:47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947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964"/>
        <v>13225000</v>
      </c>
      <c r="AA3212" s="13">
        <v>5.4199999999999998E-2</v>
      </c>
      <c r="AB3212" s="21">
        <f t="shared" si="950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1"/>
        <v>10271727.486725664</v>
      </c>
      <c r="AJ3212" s="19">
        <f t="shared" si="952"/>
        <v>1227228.7260761063</v>
      </c>
      <c r="AK3212" s="20">
        <f t="shared" si="958"/>
        <v>0.11947637120066472</v>
      </c>
      <c r="AL3212" s="17"/>
      <c r="AM3212" s="17"/>
      <c r="AN3212" s="17"/>
      <c r="AO3212" s="17"/>
      <c r="AP3212" s="28" t="str">
        <f t="shared" si="959"/>
        <v>202312</v>
      </c>
      <c r="AQ3212" s="28" t="str">
        <f t="shared" si="960"/>
        <v>202312JPY</v>
      </c>
      <c r="AR3212" s="206" t="str">
        <f t="shared" si="961"/>
        <v>YAMAHA_Mounter</v>
      </c>
      <c r="AS3212" s="22">
        <f t="shared" si="962"/>
        <v>1</v>
      </c>
      <c r="AT3212" s="24" t="str">
        <f t="shared" si="963"/>
        <v>0-3 months</v>
      </c>
      <c r="AU3212" s="22" t="s">
        <v>3744</v>
      </c>
    </row>
    <row r="3213" spans="1:47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947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965">IF(W3213="RMB","1.13", "1")</f>
        <v>1</v>
      </c>
      <c r="Z3213" s="18">
        <f t="shared" si="964"/>
        <v>12400000</v>
      </c>
      <c r="AA3213" s="13">
        <v>7.17E-2</v>
      </c>
      <c r="AB3213" s="21">
        <f t="shared" si="950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1"/>
        <v>43684091.636631854</v>
      </c>
      <c r="AJ3213" s="19">
        <f t="shared" si="952"/>
        <v>6483951.8242071122</v>
      </c>
      <c r="AK3213" s="20">
        <f t="shared" si="958"/>
        <v>0.14842821680123736</v>
      </c>
      <c r="AL3213" s="17"/>
      <c r="AM3213" s="17"/>
      <c r="AN3213" s="17"/>
      <c r="AO3213" s="17"/>
      <c r="AP3213" s="28" t="str">
        <f t="shared" si="959"/>
        <v>20214</v>
      </c>
      <c r="AQ3213" s="28" t="str">
        <f t="shared" si="960"/>
        <v>20214JPY</v>
      </c>
      <c r="AR3213" s="206" t="str">
        <f t="shared" si="961"/>
        <v>YAMAHA_Mounter</v>
      </c>
      <c r="AS3213" s="22">
        <f t="shared" si="962"/>
        <v>4</v>
      </c>
      <c r="AT3213" s="24" t="str">
        <f t="shared" si="963"/>
        <v>4-6 months</v>
      </c>
      <c r="AU3213" s="22" t="s">
        <v>3744</v>
      </c>
    </row>
    <row r="3214" spans="1:47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947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965"/>
        <v>1</v>
      </c>
      <c r="Z3214" s="18">
        <f t="shared" si="964"/>
        <v>12400000</v>
      </c>
      <c r="AA3214" s="13">
        <v>7.17E-2</v>
      </c>
      <c r="AB3214" s="21">
        <f t="shared" si="950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1"/>
        <v>43684091.636631854</v>
      </c>
      <c r="AJ3214" s="19">
        <f t="shared" si="952"/>
        <v>6483951.8242071122</v>
      </c>
      <c r="AK3214" s="20">
        <f t="shared" si="958"/>
        <v>0.14842821680123736</v>
      </c>
      <c r="AL3214" s="17"/>
      <c r="AM3214" s="17"/>
      <c r="AN3214" s="17"/>
      <c r="AO3214" s="17"/>
      <c r="AP3214" s="28" t="str">
        <f t="shared" si="959"/>
        <v>20214</v>
      </c>
      <c r="AQ3214" s="28" t="str">
        <f t="shared" si="960"/>
        <v>20214JPY</v>
      </c>
      <c r="AR3214" s="206" t="str">
        <f t="shared" si="961"/>
        <v>YAMAHA_Mounter</v>
      </c>
      <c r="AS3214" s="22">
        <f t="shared" si="962"/>
        <v>4</v>
      </c>
      <c r="AT3214" s="24" t="str">
        <f t="shared" si="963"/>
        <v>4-6 months</v>
      </c>
      <c r="AU3214" s="22" t="s">
        <v>3744</v>
      </c>
    </row>
    <row r="3215" spans="1:47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947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965"/>
        <v>1</v>
      </c>
      <c r="Z3215" s="18">
        <f t="shared" si="964"/>
        <v>8660000</v>
      </c>
      <c r="AA3215" s="13">
        <v>7.17E-2</v>
      </c>
      <c r="AB3215" s="21">
        <f t="shared" si="950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1"/>
        <v>43684091.636631854</v>
      </c>
      <c r="AJ3215" s="19">
        <f t="shared" si="952"/>
        <v>6483951.8242071122</v>
      </c>
      <c r="AK3215" s="20">
        <f t="shared" si="958"/>
        <v>0.14842821680123736</v>
      </c>
      <c r="AL3215" s="17"/>
      <c r="AM3215" s="17"/>
      <c r="AN3215" s="17"/>
      <c r="AO3215" s="17"/>
      <c r="AP3215" s="28" t="str">
        <f t="shared" si="959"/>
        <v>20214</v>
      </c>
      <c r="AQ3215" s="28" t="str">
        <f t="shared" si="960"/>
        <v>20214JPY</v>
      </c>
      <c r="AR3215" s="206" t="str">
        <f t="shared" si="961"/>
        <v>YAMAHA_Mounter</v>
      </c>
      <c r="AS3215" s="22">
        <f t="shared" si="962"/>
        <v>4</v>
      </c>
      <c r="AT3215" s="24" t="str">
        <f t="shared" si="963"/>
        <v>4-6 months</v>
      </c>
      <c r="AU3215" s="22" t="s">
        <v>3744</v>
      </c>
    </row>
    <row r="3216" spans="1:47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947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965"/>
        <v>1</v>
      </c>
      <c r="Z3216" s="18">
        <f t="shared" si="964"/>
        <v>8660000</v>
      </c>
      <c r="AA3216" s="13">
        <v>7.17E-2</v>
      </c>
      <c r="AB3216" s="21">
        <f t="shared" si="950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1"/>
        <v>43684091.636631854</v>
      </c>
      <c r="AJ3216" s="19">
        <f t="shared" si="952"/>
        <v>6483951.8242071122</v>
      </c>
      <c r="AK3216" s="20">
        <f t="shared" si="958"/>
        <v>0.14842821680123736</v>
      </c>
      <c r="AL3216" s="17"/>
      <c r="AM3216" s="17"/>
      <c r="AN3216" s="17"/>
      <c r="AO3216" s="17"/>
      <c r="AP3216" s="28" t="str">
        <f t="shared" si="959"/>
        <v>20214</v>
      </c>
      <c r="AQ3216" s="28" t="str">
        <f t="shared" si="960"/>
        <v>20214JPY</v>
      </c>
      <c r="AR3216" s="206" t="str">
        <f t="shared" si="961"/>
        <v>YAMAHA_Mounter</v>
      </c>
      <c r="AS3216" s="22">
        <f t="shared" si="962"/>
        <v>4</v>
      </c>
      <c r="AT3216" s="24" t="str">
        <f t="shared" si="963"/>
        <v>4-6 months</v>
      </c>
      <c r="AU3216" s="22" t="s">
        <v>3744</v>
      </c>
    </row>
    <row r="3217" spans="1:47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955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947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965"/>
        <v>1</v>
      </c>
      <c r="Z3217" s="18">
        <f t="shared" si="964"/>
        <v>12400000</v>
      </c>
      <c r="AA3217" s="13">
        <v>7.17E-2</v>
      </c>
      <c r="AB3217" s="21">
        <f t="shared" si="950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1"/>
        <v>499582152.5142017</v>
      </c>
      <c r="AJ3217" s="19">
        <f t="shared" si="952"/>
        <v>59520528.679470733</v>
      </c>
      <c r="AK3217" s="20">
        <f t="shared" si="958"/>
        <v>0.11914062257814291</v>
      </c>
      <c r="AL3217" s="17"/>
      <c r="AM3217" s="17"/>
      <c r="AN3217" s="17"/>
      <c r="AO3217" s="17"/>
      <c r="AP3217" s="28" t="str">
        <f t="shared" si="959"/>
        <v>CancelCancel</v>
      </c>
      <c r="AQ3217" s="28" t="str">
        <f t="shared" si="960"/>
        <v>CancelCancelJPY</v>
      </c>
      <c r="AR3217" s="206" t="str">
        <f t="shared" si="961"/>
        <v>YAMAHA_Mounter</v>
      </c>
      <c r="AS3217" s="22" t="str">
        <f t="shared" si="962"/>
        <v/>
      </c>
      <c r="AT3217" s="24" t="str">
        <f t="shared" si="963"/>
        <v/>
      </c>
      <c r="AU3217" s="22" t="s">
        <v>3744</v>
      </c>
    </row>
    <row r="3218" spans="1:47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955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947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965"/>
        <v>1</v>
      </c>
      <c r="Z3218" s="18">
        <f t="shared" si="964"/>
        <v>12400000</v>
      </c>
      <c r="AA3218" s="13">
        <v>7.17E-2</v>
      </c>
      <c r="AB3218" s="21">
        <f t="shared" si="950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1"/>
        <v>499582152.5142017</v>
      </c>
      <c r="AJ3218" s="19">
        <f t="shared" si="952"/>
        <v>59520528.679470733</v>
      </c>
      <c r="AK3218" s="20">
        <f t="shared" si="958"/>
        <v>0.11914062257814291</v>
      </c>
      <c r="AL3218" s="17"/>
      <c r="AM3218" s="17"/>
      <c r="AN3218" s="17"/>
      <c r="AO3218" s="17"/>
      <c r="AP3218" s="28" t="str">
        <f t="shared" si="959"/>
        <v>CancelCancel</v>
      </c>
      <c r="AQ3218" s="28" t="str">
        <f t="shared" si="960"/>
        <v>CancelCancelJPY</v>
      </c>
      <c r="AR3218" s="206" t="str">
        <f t="shared" si="961"/>
        <v>YAMAHA_Mounter</v>
      </c>
      <c r="AS3218" s="22" t="str">
        <f t="shared" si="962"/>
        <v/>
      </c>
      <c r="AT3218" s="24" t="str">
        <f t="shared" si="963"/>
        <v/>
      </c>
      <c r="AU3218" s="22" t="s">
        <v>3744</v>
      </c>
    </row>
    <row r="3219" spans="1:47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955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947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965"/>
        <v>1</v>
      </c>
      <c r="Z3219" s="18">
        <f t="shared" si="964"/>
        <v>12400000</v>
      </c>
      <c r="AA3219" s="13">
        <v>7.17E-2</v>
      </c>
      <c r="AB3219" s="21">
        <f t="shared" si="950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1"/>
        <v>499582152.5142017</v>
      </c>
      <c r="AJ3219" s="19">
        <f t="shared" si="952"/>
        <v>59520528.679470733</v>
      </c>
      <c r="AK3219" s="20">
        <f t="shared" si="958"/>
        <v>0.11914062257814291</v>
      </c>
      <c r="AL3219" s="17"/>
      <c r="AM3219" s="17"/>
      <c r="AN3219" s="17"/>
      <c r="AO3219" s="17"/>
      <c r="AP3219" s="28" t="str">
        <f t="shared" si="959"/>
        <v>CancelCancel</v>
      </c>
      <c r="AQ3219" s="28" t="str">
        <f t="shared" si="960"/>
        <v>CancelCancelJPY</v>
      </c>
      <c r="AR3219" s="206" t="str">
        <f t="shared" si="961"/>
        <v>YAMAHA_Mounter</v>
      </c>
      <c r="AS3219" s="22" t="str">
        <f t="shared" si="962"/>
        <v/>
      </c>
      <c r="AT3219" s="24" t="str">
        <f t="shared" si="963"/>
        <v/>
      </c>
      <c r="AU3219" s="22" t="s">
        <v>3744</v>
      </c>
    </row>
    <row r="3220" spans="1:47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955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947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965"/>
        <v>1</v>
      </c>
      <c r="Z3220" s="18">
        <f t="shared" si="964"/>
        <v>12400000</v>
      </c>
      <c r="AA3220" s="13">
        <v>7.17E-2</v>
      </c>
      <c r="AB3220" s="21">
        <f t="shared" si="950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1"/>
        <v>499582152.5142017</v>
      </c>
      <c r="AJ3220" s="19">
        <f t="shared" si="952"/>
        <v>59520528.679470733</v>
      </c>
      <c r="AK3220" s="20">
        <f t="shared" si="958"/>
        <v>0.11914062257814291</v>
      </c>
      <c r="AL3220" s="17"/>
      <c r="AM3220" s="17"/>
      <c r="AN3220" s="17"/>
      <c r="AO3220" s="17"/>
      <c r="AP3220" s="28" t="str">
        <f t="shared" si="959"/>
        <v>CancelCancel</v>
      </c>
      <c r="AQ3220" s="28" t="str">
        <f t="shared" si="960"/>
        <v>CancelCancelJPY</v>
      </c>
      <c r="AR3220" s="206" t="str">
        <f t="shared" si="961"/>
        <v>YAMAHA_Mounter</v>
      </c>
      <c r="AS3220" s="22" t="str">
        <f t="shared" si="962"/>
        <v/>
      </c>
      <c r="AT3220" s="24" t="str">
        <f t="shared" si="963"/>
        <v/>
      </c>
      <c r="AU3220" s="22" t="s">
        <v>3744</v>
      </c>
    </row>
    <row r="3221" spans="1:47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955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947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965"/>
        <v>1</v>
      </c>
      <c r="Z3221" s="18">
        <f t="shared" si="964"/>
        <v>8518000</v>
      </c>
      <c r="AA3221" s="13">
        <v>7.17E-2</v>
      </c>
      <c r="AB3221" s="21">
        <f t="shared" si="950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1"/>
        <v>499582152.5142017</v>
      </c>
      <c r="AJ3221" s="19">
        <f t="shared" si="952"/>
        <v>59520528.679470733</v>
      </c>
      <c r="AK3221" s="20">
        <f t="shared" si="958"/>
        <v>0.11914062257814291</v>
      </c>
      <c r="AL3221" s="17"/>
      <c r="AM3221" s="17"/>
      <c r="AN3221" s="17"/>
      <c r="AO3221" s="17"/>
      <c r="AP3221" s="28" t="str">
        <f t="shared" si="959"/>
        <v>CancelCancel</v>
      </c>
      <c r="AQ3221" s="28" t="str">
        <f t="shared" si="960"/>
        <v>CancelCancelJPY</v>
      </c>
      <c r="AR3221" s="206" t="str">
        <f t="shared" si="961"/>
        <v>YAMAHA_Mounter</v>
      </c>
      <c r="AS3221" s="22" t="str">
        <f t="shared" si="962"/>
        <v/>
      </c>
      <c r="AT3221" s="24" t="str">
        <f t="shared" si="963"/>
        <v/>
      </c>
      <c r="AU3221" s="22" t="s">
        <v>3744</v>
      </c>
    </row>
    <row r="3222" spans="1:47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955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966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965"/>
        <v>1</v>
      </c>
      <c r="Z3222" s="18">
        <f t="shared" si="964"/>
        <v>8518000</v>
      </c>
      <c r="AA3222" s="13">
        <v>7.17E-2</v>
      </c>
      <c r="AB3222" s="21">
        <f t="shared" si="950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1"/>
        <v>499582152.5142017</v>
      </c>
      <c r="AJ3222" s="19">
        <f t="shared" si="952"/>
        <v>59520528.679470733</v>
      </c>
      <c r="AK3222" s="20">
        <f t="shared" si="958"/>
        <v>0.11914062257814291</v>
      </c>
      <c r="AL3222" s="17"/>
      <c r="AM3222" s="17"/>
      <c r="AN3222" s="17"/>
      <c r="AO3222" s="17"/>
      <c r="AP3222" s="28" t="str">
        <f t="shared" si="959"/>
        <v>CancelCancel</v>
      </c>
      <c r="AQ3222" s="28" t="str">
        <f t="shared" si="960"/>
        <v>CancelCancelJPY</v>
      </c>
      <c r="AR3222" s="206" t="str">
        <f t="shared" si="961"/>
        <v>YAMAHA_Mounter</v>
      </c>
      <c r="AS3222" s="22" t="str">
        <f t="shared" si="962"/>
        <v/>
      </c>
      <c r="AT3222" s="24" t="str">
        <f t="shared" si="963"/>
        <v/>
      </c>
      <c r="AU3222" s="22" t="s">
        <v>3744</v>
      </c>
    </row>
    <row r="3223" spans="1:47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966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965"/>
        <v>1</v>
      </c>
      <c r="Z3223" s="18">
        <f t="shared" si="964"/>
        <v>12600000</v>
      </c>
      <c r="AA3223" s="13">
        <v>7.2800000000000004E-2</v>
      </c>
      <c r="AB3223" s="21">
        <f t="shared" si="950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1"/>
        <v>63006605.696460173</v>
      </c>
      <c r="AJ3223" s="19">
        <f t="shared" si="952"/>
        <v>8897485.660753984</v>
      </c>
      <c r="AK3223" s="20">
        <f t="shared" si="958"/>
        <v>0.141215124388995</v>
      </c>
      <c r="AL3223" s="17"/>
      <c r="AM3223" s="17"/>
      <c r="AN3223" s="17"/>
      <c r="AO3223" s="17"/>
      <c r="AP3223" s="28" t="str">
        <f t="shared" si="959"/>
        <v>20215</v>
      </c>
      <c r="AQ3223" s="28" t="str">
        <f t="shared" si="960"/>
        <v>20215JPY</v>
      </c>
      <c r="AR3223" s="206" t="str">
        <f t="shared" si="961"/>
        <v>YAMAHA_Mounter</v>
      </c>
      <c r="AS3223" s="22">
        <f t="shared" si="962"/>
        <v>1</v>
      </c>
      <c r="AT3223" s="24" t="str">
        <f t="shared" si="963"/>
        <v>0-3 months</v>
      </c>
      <c r="AU3223" s="22" t="s">
        <v>3744</v>
      </c>
    </row>
    <row r="3224" spans="1:47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966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965"/>
        <v>1</v>
      </c>
      <c r="Z3224" s="18">
        <f t="shared" si="964"/>
        <v>12600000</v>
      </c>
      <c r="AA3224" s="13">
        <v>7.2800000000000004E-2</v>
      </c>
      <c r="AB3224" s="21">
        <f t="shared" si="950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1"/>
        <v>63006605.696460173</v>
      </c>
      <c r="AJ3224" s="19">
        <f t="shared" si="952"/>
        <v>8897485.660753984</v>
      </c>
      <c r="AK3224" s="20">
        <f t="shared" si="958"/>
        <v>0.141215124388995</v>
      </c>
      <c r="AL3224" s="17"/>
      <c r="AM3224" s="17"/>
      <c r="AN3224" s="17"/>
      <c r="AO3224" s="17"/>
      <c r="AP3224" s="28" t="str">
        <f t="shared" si="959"/>
        <v>20215</v>
      </c>
      <c r="AQ3224" s="28" t="str">
        <f t="shared" si="960"/>
        <v>20215JPY</v>
      </c>
      <c r="AR3224" s="206" t="str">
        <f t="shared" si="961"/>
        <v>YAMAHA_Mounter</v>
      </c>
      <c r="AS3224" s="22">
        <f t="shared" si="962"/>
        <v>1</v>
      </c>
      <c r="AT3224" s="24" t="str">
        <f t="shared" si="963"/>
        <v>0-3 months</v>
      </c>
      <c r="AU3224" s="22" t="s">
        <v>3744</v>
      </c>
    </row>
    <row r="3225" spans="1:47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966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965"/>
        <v>1</v>
      </c>
      <c r="Z3225" s="18">
        <f t="shared" si="964"/>
        <v>9408000</v>
      </c>
      <c r="AA3225" s="13">
        <v>7.2800000000000004E-2</v>
      </c>
      <c r="AB3225" s="21">
        <f t="shared" si="950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1"/>
        <v>63006605.696460173</v>
      </c>
      <c r="AJ3225" s="19">
        <f t="shared" si="952"/>
        <v>8897485.660753984</v>
      </c>
      <c r="AK3225" s="20">
        <f t="shared" si="958"/>
        <v>0.141215124388995</v>
      </c>
      <c r="AL3225" s="17"/>
      <c r="AM3225" s="17"/>
      <c r="AN3225" s="17"/>
      <c r="AO3225" s="17"/>
      <c r="AP3225" s="28" t="str">
        <f t="shared" si="959"/>
        <v>20215</v>
      </c>
      <c r="AQ3225" s="28" t="str">
        <f t="shared" si="960"/>
        <v>20215JPY</v>
      </c>
      <c r="AR3225" s="206" t="str">
        <f t="shared" si="961"/>
        <v>YAMAHA_Mounter</v>
      </c>
      <c r="AS3225" s="22">
        <f t="shared" si="962"/>
        <v>1</v>
      </c>
      <c r="AT3225" s="24" t="str">
        <f t="shared" si="963"/>
        <v>0-3 months</v>
      </c>
      <c r="AU3225" s="22" t="s">
        <v>3744</v>
      </c>
    </row>
    <row r="3226" spans="1:47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966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965"/>
        <v>1</v>
      </c>
      <c r="Z3226" s="18">
        <f t="shared" si="964"/>
        <v>15220000</v>
      </c>
      <c r="AA3226" s="13">
        <v>5.8700000000000002E-2</v>
      </c>
      <c r="AB3226" s="21">
        <f t="shared" si="950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1"/>
        <v>36480247.665929198</v>
      </c>
      <c r="AJ3226" s="19">
        <f t="shared" si="952"/>
        <v>5330996.6372757526</v>
      </c>
      <c r="AK3226" s="20">
        <f t="shared" si="958"/>
        <v>0.14613378412599562</v>
      </c>
      <c r="AL3226" s="17"/>
      <c r="AM3226" s="17"/>
      <c r="AN3226" s="17"/>
      <c r="AO3226" s="17" t="s">
        <v>2044</v>
      </c>
      <c r="AP3226" s="28" t="str">
        <f t="shared" si="959"/>
        <v>20227</v>
      </c>
      <c r="AQ3226" s="28" t="str">
        <f t="shared" si="960"/>
        <v>20227JPY</v>
      </c>
      <c r="AR3226" s="206" t="str">
        <f t="shared" si="961"/>
        <v>YAMAHA_Mounter</v>
      </c>
      <c r="AS3226" s="22">
        <f t="shared" si="962"/>
        <v>15</v>
      </c>
      <c r="AT3226" s="24" t="str">
        <f t="shared" si="963"/>
        <v>&gt; 6 months</v>
      </c>
      <c r="AU3226" s="22" t="s">
        <v>3744</v>
      </c>
    </row>
    <row r="3227" spans="1:47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955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966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965"/>
        <v>1</v>
      </c>
      <c r="Z3227" s="18">
        <f t="shared" si="964"/>
        <v>12600000</v>
      </c>
      <c r="AA3227" s="13">
        <v>6.25E-2</v>
      </c>
      <c r="AB3227" s="21">
        <f t="shared" si="950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1"/>
        <v>499582152.5142017</v>
      </c>
      <c r="AJ3227" s="19">
        <f t="shared" si="952"/>
        <v>59520528.679470733</v>
      </c>
      <c r="AK3227" s="20">
        <f t="shared" si="958"/>
        <v>0.11914062257814291</v>
      </c>
      <c r="AL3227" s="17"/>
      <c r="AM3227" s="17"/>
      <c r="AN3227" s="17"/>
      <c r="AO3227" s="17"/>
      <c r="AP3227" s="28" t="str">
        <f t="shared" si="959"/>
        <v>CancelCANCEL</v>
      </c>
      <c r="AQ3227" s="28" t="str">
        <f t="shared" si="960"/>
        <v>CancelCANCELJPY</v>
      </c>
      <c r="AR3227" s="206" t="str">
        <f t="shared" si="961"/>
        <v>YAMAHA_Mounter</v>
      </c>
      <c r="AS3227" s="22" t="str">
        <f t="shared" si="962"/>
        <v/>
      </c>
      <c r="AT3227" s="24" t="str">
        <f t="shared" si="963"/>
        <v/>
      </c>
      <c r="AU3227" s="22" t="s">
        <v>3240</v>
      </c>
    </row>
    <row r="3228" spans="1:47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955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966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965"/>
        <v>1</v>
      </c>
      <c r="Z3228" s="18">
        <f t="shared" si="964"/>
        <v>8958000</v>
      </c>
      <c r="AA3228" s="13">
        <v>6.25E-2</v>
      </c>
      <c r="AB3228" s="21">
        <f t="shared" si="950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1"/>
        <v>499582152.5142017</v>
      </c>
      <c r="AJ3228" s="19">
        <f t="shared" si="952"/>
        <v>59520528.679470733</v>
      </c>
      <c r="AK3228" s="20">
        <f t="shared" si="958"/>
        <v>0.11914062257814291</v>
      </c>
      <c r="AL3228" s="17"/>
      <c r="AM3228" s="17"/>
      <c r="AN3228" s="17"/>
      <c r="AO3228" s="17"/>
      <c r="AP3228" s="28" t="str">
        <f t="shared" si="959"/>
        <v>CancelCANCEL</v>
      </c>
      <c r="AQ3228" s="28" t="str">
        <f t="shared" si="960"/>
        <v>CancelCANCELJPY</v>
      </c>
      <c r="AR3228" s="206" t="str">
        <f t="shared" si="961"/>
        <v>YAMAHA_Mounter</v>
      </c>
      <c r="AS3228" s="22" t="str">
        <f t="shared" si="962"/>
        <v/>
      </c>
      <c r="AT3228" s="24" t="str">
        <f t="shared" si="963"/>
        <v/>
      </c>
      <c r="AU3228" s="22" t="s">
        <v>3240</v>
      </c>
    </row>
    <row r="3229" spans="1:47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966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965"/>
        <v>1</v>
      </c>
      <c r="Z3229" s="18">
        <v>13000000</v>
      </c>
      <c r="AA3229" s="13">
        <v>5.3400000000000003E-2</v>
      </c>
      <c r="AB3229" s="21">
        <f t="shared" si="950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1"/>
        <v>5219988.5752212387</v>
      </c>
      <c r="AJ3229" s="19">
        <f t="shared" si="952"/>
        <v>631627.0013460177</v>
      </c>
      <c r="AK3229" s="20">
        <f t="shared" si="958"/>
        <v>0.12100160608478869</v>
      </c>
      <c r="AL3229" s="17"/>
      <c r="AM3229" s="17"/>
      <c r="AN3229" s="17"/>
      <c r="AO3229" s="17"/>
      <c r="AP3229" s="28" t="str">
        <f t="shared" si="959"/>
        <v>202310</v>
      </c>
      <c r="AQ3229" s="28" t="str">
        <f t="shared" si="960"/>
        <v>202310JPY</v>
      </c>
      <c r="AR3229" s="206" t="str">
        <f t="shared" si="961"/>
        <v>YAMAHA_Mounter</v>
      </c>
      <c r="AS3229" s="22">
        <f t="shared" si="962"/>
        <v>1</v>
      </c>
      <c r="AT3229" s="24" t="str">
        <f t="shared" si="963"/>
        <v>0-3 months</v>
      </c>
      <c r="AU3229" s="22" t="s">
        <v>3240</v>
      </c>
    </row>
    <row r="3230" spans="1:47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966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965"/>
        <v>1.13</v>
      </c>
      <c r="Z3230" s="18">
        <f t="shared" ref="Z3230:Z3293" si="967">IF(X3230="","",X3230*MAX(O3230,N3230))</f>
        <v>460000</v>
      </c>
      <c r="AA3230" s="13">
        <v>1.105</v>
      </c>
      <c r="AB3230" s="21">
        <f t="shared" si="950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1"/>
        <v>13640480.497522123</v>
      </c>
      <c r="AJ3230" s="19">
        <f t="shared" si="952"/>
        <v>1928605.8020906283</v>
      </c>
      <c r="AK3230" s="20">
        <f t="shared" si="958"/>
        <v>0.1413884065477731</v>
      </c>
      <c r="AL3230" s="17"/>
      <c r="AM3230" s="17"/>
      <c r="AN3230" s="17"/>
      <c r="AO3230" s="17"/>
      <c r="AP3230" s="28" t="str">
        <f t="shared" si="959"/>
        <v>20236</v>
      </c>
      <c r="AQ3230" s="28" t="str">
        <f t="shared" si="960"/>
        <v>20236RMB</v>
      </c>
      <c r="AR3230" s="206" t="str">
        <f t="shared" si="961"/>
        <v>YAMAHA_Mounter</v>
      </c>
      <c r="AS3230" s="22">
        <f t="shared" si="962"/>
        <v>1</v>
      </c>
      <c r="AT3230" s="24" t="str">
        <f t="shared" si="963"/>
        <v>0-3 months</v>
      </c>
      <c r="AU3230" s="22" t="s">
        <v>3750</v>
      </c>
    </row>
    <row r="3231" spans="1:47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966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965"/>
        <v>1</v>
      </c>
      <c r="Z3231" s="18">
        <f t="shared" si="967"/>
        <v>13600000</v>
      </c>
      <c r="AA3231" s="13">
        <v>5.3100000000000001E-2</v>
      </c>
      <c r="AB3231" s="21">
        <f t="shared" si="950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1"/>
        <v>21241742.157380536</v>
      </c>
      <c r="AJ3231" s="19">
        <f t="shared" si="952"/>
        <v>2987081.1613773629</v>
      </c>
      <c r="AK3231" s="20">
        <f t="shared" si="958"/>
        <v>0.14062317201884914</v>
      </c>
      <c r="AL3231" s="17"/>
      <c r="AM3231" s="17"/>
      <c r="AN3231" s="17"/>
      <c r="AO3231" s="17"/>
      <c r="AP3231" s="28" t="str">
        <f t="shared" si="959"/>
        <v>20243</v>
      </c>
      <c r="AQ3231" s="28" t="str">
        <f t="shared" si="960"/>
        <v>20243JPY</v>
      </c>
      <c r="AR3231" s="206" t="str">
        <f t="shared" si="961"/>
        <v>YAMAHA_Mounter</v>
      </c>
      <c r="AS3231" s="22">
        <f t="shared" si="962"/>
        <v>36</v>
      </c>
      <c r="AT3231" s="24" t="str">
        <f t="shared" si="963"/>
        <v>&gt; 6 months</v>
      </c>
      <c r="AU3231" s="22" t="s">
        <v>3744</v>
      </c>
    </row>
    <row r="3232" spans="1:47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966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967"/>
        <v>965000</v>
      </c>
      <c r="AA3232" s="13">
        <v>1.23</v>
      </c>
      <c r="AB3232" s="21">
        <f t="shared" si="950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1"/>
        <v>24398045.86045352</v>
      </c>
      <c r="AJ3232" s="19">
        <f t="shared" si="952"/>
        <v>3478417.4064663448</v>
      </c>
      <c r="AK3232" s="20">
        <f t="shared" si="958"/>
        <v>0.14256950849102498</v>
      </c>
      <c r="AL3232" s="17"/>
      <c r="AM3232" s="17"/>
      <c r="AN3232" s="17"/>
      <c r="AO3232" s="17" t="s">
        <v>221</v>
      </c>
      <c r="AP3232" s="28" t="str">
        <f t="shared" si="959"/>
        <v>20186</v>
      </c>
      <c r="AQ3232" s="28" t="str">
        <f t="shared" si="960"/>
        <v>20186RMB</v>
      </c>
      <c r="AR3232" s="206" t="str">
        <f t="shared" si="961"/>
        <v>YAMAHA_Mounter</v>
      </c>
      <c r="AS3232" s="22">
        <f t="shared" si="962"/>
        <v>2</v>
      </c>
      <c r="AT3232" s="24" t="str">
        <f t="shared" si="963"/>
        <v>0-3 months</v>
      </c>
      <c r="AU3232" s="22" t="s">
        <v>3240</v>
      </c>
    </row>
    <row r="3233" spans="1:47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966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967"/>
        <v>1000000</v>
      </c>
      <c r="AA3233" s="13">
        <v>1.095</v>
      </c>
      <c r="AB3233" s="21">
        <f t="shared" si="950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1"/>
        <v>33477255.428389374</v>
      </c>
      <c r="AJ3233" s="19">
        <f t="shared" si="952"/>
        <v>4578663.362915583</v>
      </c>
      <c r="AK3233" s="20">
        <f t="shared" si="958"/>
        <v>0.13676937682988152</v>
      </c>
      <c r="AL3233" s="17"/>
      <c r="AM3233" s="17"/>
      <c r="AN3233" s="17"/>
      <c r="AO3233" s="17"/>
      <c r="AP3233" s="28" t="str">
        <f t="shared" si="959"/>
        <v>20204</v>
      </c>
      <c r="AQ3233" s="28" t="str">
        <f t="shared" si="960"/>
        <v>20204RMB</v>
      </c>
      <c r="AR3233" s="206" t="str">
        <f t="shared" si="961"/>
        <v>YAMAHA_Mounter</v>
      </c>
      <c r="AS3233" s="22">
        <f t="shared" si="962"/>
        <v>6</v>
      </c>
      <c r="AT3233" s="24" t="str">
        <f t="shared" si="963"/>
        <v>4-6 months</v>
      </c>
      <c r="AU3233" s="22" t="s">
        <v>3743</v>
      </c>
    </row>
    <row r="3234" spans="1:47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966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967"/>
        <v>800000</v>
      </c>
      <c r="AA3234" s="13">
        <v>1.095</v>
      </c>
      <c r="AB3234" s="21">
        <f t="shared" si="950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1"/>
        <v>33477255.428389374</v>
      </c>
      <c r="AJ3234" s="19">
        <f t="shared" si="952"/>
        <v>4578663.362915583</v>
      </c>
      <c r="AK3234" s="20">
        <f t="shared" si="958"/>
        <v>0.13676937682988152</v>
      </c>
      <c r="AL3234" s="17"/>
      <c r="AM3234" s="17"/>
      <c r="AN3234" s="17"/>
      <c r="AO3234" s="17"/>
      <c r="AP3234" s="28" t="str">
        <f t="shared" si="959"/>
        <v>20204</v>
      </c>
      <c r="AQ3234" s="28" t="str">
        <f t="shared" si="960"/>
        <v>20204RMB</v>
      </c>
      <c r="AR3234" s="206" t="str">
        <f t="shared" si="961"/>
        <v>YAMAHA_Mounter</v>
      </c>
      <c r="AS3234" s="22">
        <f t="shared" si="962"/>
        <v>6</v>
      </c>
      <c r="AT3234" s="24" t="str">
        <f t="shared" si="963"/>
        <v>4-6 months</v>
      </c>
      <c r="AU3234" s="22" t="s">
        <v>3743</v>
      </c>
    </row>
    <row r="3235" spans="1:47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966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967"/>
        <v>8367850</v>
      </c>
      <c r="AA3235" s="13">
        <v>7.2999999999999995E-2</v>
      </c>
      <c r="AB3235" s="21">
        <f t="shared" si="950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1"/>
        <v>23168285.927433632</v>
      </c>
      <c r="AJ3235" s="19">
        <f t="shared" si="952"/>
        <v>2764878.916878053</v>
      </c>
      <c r="AK3235" s="20">
        <f t="shared" si="958"/>
        <v>0.11933895004309111</v>
      </c>
      <c r="AL3235" s="17"/>
      <c r="AM3235" s="17"/>
      <c r="AN3235" s="17"/>
      <c r="AO3235" s="17"/>
      <c r="AP3235" s="28" t="str">
        <f t="shared" si="959"/>
        <v>20203</v>
      </c>
      <c r="AQ3235" s="28" t="str">
        <f t="shared" si="960"/>
        <v>20203JPY</v>
      </c>
      <c r="AR3235" s="206" t="str">
        <f t="shared" si="961"/>
        <v>YAMAHA_Mounter</v>
      </c>
      <c r="AS3235" s="22">
        <f t="shared" si="962"/>
        <v>2</v>
      </c>
      <c r="AT3235" s="24" t="str">
        <f t="shared" si="963"/>
        <v>0-3 months</v>
      </c>
      <c r="AU3235" s="22" t="s">
        <v>3744</v>
      </c>
    </row>
    <row r="3236" spans="1:47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966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967"/>
        <v>8367850</v>
      </c>
      <c r="AA3236" s="13">
        <v>7.2999999999999995E-2</v>
      </c>
      <c r="AB3236" s="21">
        <f t="shared" si="950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1"/>
        <v>23168285.927433632</v>
      </c>
      <c r="AJ3236" s="19">
        <f t="shared" si="952"/>
        <v>2764878.916878053</v>
      </c>
      <c r="AK3236" s="20">
        <f t="shared" si="958"/>
        <v>0.11933895004309111</v>
      </c>
      <c r="AL3236" s="17"/>
      <c r="AM3236" s="17"/>
      <c r="AN3236" s="17"/>
      <c r="AO3236" s="17"/>
      <c r="AP3236" s="28" t="str">
        <f t="shared" si="959"/>
        <v>20203</v>
      </c>
      <c r="AQ3236" s="28" t="str">
        <f t="shared" si="960"/>
        <v>20203JPY</v>
      </c>
      <c r="AR3236" s="206" t="str">
        <f t="shared" si="961"/>
        <v>YAMAHA_Mounter</v>
      </c>
      <c r="AS3236" s="22">
        <f t="shared" si="962"/>
        <v>2</v>
      </c>
      <c r="AT3236" s="24" t="str">
        <f t="shared" si="963"/>
        <v>0-3 months</v>
      </c>
      <c r="AU3236" s="22" t="s">
        <v>3744</v>
      </c>
    </row>
    <row r="3237" spans="1:47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966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968">IF(W3237="RMB","1.13", "1")</f>
        <v>1</v>
      </c>
      <c r="Z3237" s="18">
        <f t="shared" si="967"/>
        <v>13000000</v>
      </c>
      <c r="AA3237" s="13">
        <v>7.17E-2</v>
      </c>
      <c r="AB3237" s="21">
        <f t="shared" si="950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1"/>
        <v>43684091.636631854</v>
      </c>
      <c r="AJ3237" s="19">
        <f t="shared" si="952"/>
        <v>6483951.8242071122</v>
      </c>
      <c r="AK3237" s="20">
        <f t="shared" si="958"/>
        <v>0.14842821680123736</v>
      </c>
      <c r="AL3237" s="17"/>
      <c r="AM3237" s="17"/>
      <c r="AN3237" s="17"/>
      <c r="AO3237" s="17"/>
      <c r="AP3237" s="28" t="str">
        <f t="shared" si="959"/>
        <v>20214</v>
      </c>
      <c r="AQ3237" s="28" t="str">
        <f t="shared" si="960"/>
        <v>20214JPY</v>
      </c>
      <c r="AR3237" s="206" t="str">
        <f t="shared" si="961"/>
        <v>YAMAHA_Mounter</v>
      </c>
      <c r="AS3237" s="22">
        <f t="shared" si="962"/>
        <v>3</v>
      </c>
      <c r="AT3237" s="24" t="str">
        <f t="shared" si="963"/>
        <v>0-3 months</v>
      </c>
      <c r="AU3237" s="22" t="s">
        <v>3744</v>
      </c>
    </row>
    <row r="3238" spans="1:47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966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968"/>
        <v>1</v>
      </c>
      <c r="Z3238" s="18">
        <f t="shared" si="967"/>
        <v>7907000</v>
      </c>
      <c r="AA3238" s="13">
        <v>7.17E-2</v>
      </c>
      <c r="AB3238" s="21">
        <f t="shared" si="950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1"/>
        <v>43684091.636631854</v>
      </c>
      <c r="AJ3238" s="19">
        <f t="shared" si="952"/>
        <v>6483951.8242071122</v>
      </c>
      <c r="AK3238" s="20">
        <f t="shared" si="958"/>
        <v>0.14842821680123736</v>
      </c>
      <c r="AL3238" s="17"/>
      <c r="AM3238" s="17"/>
      <c r="AN3238" s="17"/>
      <c r="AO3238" s="17"/>
      <c r="AP3238" s="28" t="str">
        <f t="shared" si="959"/>
        <v>20214</v>
      </c>
      <c r="AQ3238" s="28" t="str">
        <f t="shared" si="960"/>
        <v>20214JPY</v>
      </c>
      <c r="AR3238" s="206" t="str">
        <f t="shared" si="961"/>
        <v>YAMAHA_Mounter</v>
      </c>
      <c r="AS3238" s="22">
        <f t="shared" si="962"/>
        <v>3</v>
      </c>
      <c r="AT3238" s="24" t="str">
        <f t="shared" si="963"/>
        <v>0-3 months</v>
      </c>
      <c r="AU3238" s="22" t="s">
        <v>3744</v>
      </c>
    </row>
    <row r="3239" spans="1:47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966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968"/>
        <v>1</v>
      </c>
      <c r="Z3239" s="18">
        <f t="shared" si="967"/>
        <v>15000000</v>
      </c>
      <c r="AA3239" s="13">
        <v>5.8700000000000002E-2</v>
      </c>
      <c r="AB3239" s="21">
        <f t="shared" si="950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1"/>
        <v>36480247.665929198</v>
      </c>
      <c r="AJ3239" s="19">
        <f t="shared" si="952"/>
        <v>5330996.6372757526</v>
      </c>
      <c r="AK3239" s="20">
        <f t="shared" si="958"/>
        <v>0.14613378412599562</v>
      </c>
      <c r="AL3239" s="17"/>
      <c r="AM3239" s="17"/>
      <c r="AN3239" s="17"/>
      <c r="AO3239" s="17"/>
      <c r="AP3239" s="28" t="str">
        <f t="shared" si="959"/>
        <v>20227</v>
      </c>
      <c r="AQ3239" s="28" t="str">
        <f t="shared" si="960"/>
        <v>20227JPY</v>
      </c>
      <c r="AR3239" s="206" t="str">
        <f t="shared" si="961"/>
        <v>YAMAHA_Mounter</v>
      </c>
      <c r="AS3239" s="22">
        <f t="shared" si="962"/>
        <v>7</v>
      </c>
      <c r="AT3239" s="24" t="str">
        <f t="shared" si="963"/>
        <v>&gt; 6 months</v>
      </c>
      <c r="AU3239" s="22" t="s">
        <v>3744</v>
      </c>
    </row>
    <row r="3240" spans="1:47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966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968"/>
        <v>1</v>
      </c>
      <c r="Z3240" s="18">
        <f t="shared" si="967"/>
        <v>9500000</v>
      </c>
      <c r="AA3240" s="13">
        <v>5.8700000000000002E-2</v>
      </c>
      <c r="AB3240" s="21">
        <f t="shared" si="950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1"/>
        <v>36480247.665929198</v>
      </c>
      <c r="AJ3240" s="19">
        <f t="shared" si="952"/>
        <v>5330996.6372757526</v>
      </c>
      <c r="AK3240" s="20">
        <f t="shared" si="958"/>
        <v>0.14613378412599562</v>
      </c>
      <c r="AL3240" s="17"/>
      <c r="AM3240" s="17"/>
      <c r="AN3240" s="17"/>
      <c r="AO3240" s="17"/>
      <c r="AP3240" s="28" t="str">
        <f t="shared" si="959"/>
        <v>20227</v>
      </c>
      <c r="AQ3240" s="28" t="str">
        <f t="shared" si="960"/>
        <v>20227JPY</v>
      </c>
      <c r="AR3240" s="206" t="str">
        <f t="shared" si="961"/>
        <v>YAMAHA_Mounter</v>
      </c>
      <c r="AS3240" s="22">
        <f t="shared" si="962"/>
        <v>7</v>
      </c>
      <c r="AT3240" s="24" t="str">
        <f t="shared" si="963"/>
        <v>&gt; 6 months</v>
      </c>
      <c r="AU3240" s="22" t="s">
        <v>3744</v>
      </c>
    </row>
    <row r="3241" spans="1:47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966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968"/>
        <v>1</v>
      </c>
      <c r="Z3241" s="18">
        <f t="shared" si="967"/>
        <v>6800000</v>
      </c>
      <c r="AA3241" s="13">
        <v>7.5700000000000003E-2</v>
      </c>
      <c r="AB3241" s="21">
        <f t="shared" si="950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1"/>
        <v>31097187.02948761</v>
      </c>
      <c r="AJ3241" s="19">
        <f t="shared" si="952"/>
        <v>3892353.6644401965</v>
      </c>
      <c r="AK3241" s="20">
        <f t="shared" si="958"/>
        <v>0.12516738767237401</v>
      </c>
      <c r="AL3241" s="17"/>
      <c r="AM3241" s="17"/>
      <c r="AN3241" s="17"/>
      <c r="AO3241" s="17"/>
      <c r="AP3241" s="28" t="str">
        <f t="shared" si="959"/>
        <v>20212</v>
      </c>
      <c r="AQ3241" s="28" t="str">
        <f t="shared" si="960"/>
        <v>20212JPY</v>
      </c>
      <c r="AR3241" s="206" t="str">
        <f t="shared" si="961"/>
        <v>YAMAHA_Mounter</v>
      </c>
      <c r="AS3241" s="22">
        <f t="shared" si="962"/>
        <v>1</v>
      </c>
      <c r="AT3241" s="24" t="str">
        <f t="shared" si="963"/>
        <v>0-3 months</v>
      </c>
      <c r="AU3241" s="22" t="s">
        <v>3744</v>
      </c>
    </row>
    <row r="3242" spans="1:47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966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968"/>
        <v>1.13</v>
      </c>
      <c r="Z3242" s="18">
        <f t="shared" si="967"/>
        <v>430000</v>
      </c>
      <c r="AA3242" s="13">
        <v>1.1000000000000001</v>
      </c>
      <c r="AB3242" s="21">
        <f t="shared" si="950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1"/>
        <v>22717528.991150443</v>
      </c>
      <c r="AJ3242" s="19">
        <f t="shared" si="952"/>
        <v>3947747.192555753</v>
      </c>
      <c r="AK3242" s="20">
        <f t="shared" si="958"/>
        <v>0.1737753782153679</v>
      </c>
      <c r="AL3242" s="17"/>
      <c r="AM3242" s="17"/>
      <c r="AN3242" s="17"/>
      <c r="AO3242" s="17"/>
      <c r="AP3242" s="28" t="str">
        <f t="shared" si="959"/>
        <v>202210</v>
      </c>
      <c r="AQ3242" s="28" t="str">
        <f t="shared" si="960"/>
        <v>202210RMB</v>
      </c>
      <c r="AR3242" s="206" t="str">
        <f t="shared" si="961"/>
        <v>YAMAHA_Mounter</v>
      </c>
      <c r="AS3242" s="22">
        <f t="shared" si="962"/>
        <v>0</v>
      </c>
      <c r="AT3242" s="24" t="str">
        <f t="shared" si="963"/>
        <v>0-3 months</v>
      </c>
      <c r="AU3242" s="22" t="s">
        <v>3750</v>
      </c>
    </row>
    <row r="3243" spans="1:47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966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967"/>
        <v>850000</v>
      </c>
      <c r="AA3243" s="13">
        <v>1.1100000000000001</v>
      </c>
      <c r="AB3243" s="21">
        <f t="shared" si="950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1"/>
        <v>23168285.927433632</v>
      </c>
      <c r="AJ3243" s="19">
        <f t="shared" si="952"/>
        <v>2764878.916878053</v>
      </c>
      <c r="AK3243" s="20">
        <f t="shared" si="958"/>
        <v>0.11933895004309111</v>
      </c>
      <c r="AL3243" s="17"/>
      <c r="AM3243" s="17"/>
      <c r="AN3243" s="17"/>
      <c r="AO3243" s="17"/>
      <c r="AP3243" s="28" t="str">
        <f t="shared" si="959"/>
        <v>20203</v>
      </c>
      <c r="AQ3243" s="28" t="str">
        <f t="shared" si="960"/>
        <v>20203RMB</v>
      </c>
      <c r="AR3243" s="206" t="str">
        <f t="shared" si="961"/>
        <v>YAMAHA_Mounter</v>
      </c>
      <c r="AS3243" s="22">
        <f t="shared" si="962"/>
        <v>2</v>
      </c>
      <c r="AT3243" s="24" t="str">
        <f t="shared" si="963"/>
        <v>0-3 months</v>
      </c>
      <c r="AU3243" s="22" t="s">
        <v>3743</v>
      </c>
    </row>
    <row r="3244" spans="1:47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966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967"/>
        <v>850000</v>
      </c>
      <c r="AA3244" s="13">
        <v>1.1100000000000001</v>
      </c>
      <c r="AB3244" s="21">
        <f t="shared" si="950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1"/>
        <v>23168285.927433632</v>
      </c>
      <c r="AJ3244" s="19">
        <f t="shared" si="952"/>
        <v>2764878.916878053</v>
      </c>
      <c r="AK3244" s="20">
        <f t="shared" si="958"/>
        <v>0.11933895004309111</v>
      </c>
      <c r="AL3244" s="17"/>
      <c r="AM3244" s="17"/>
      <c r="AN3244" s="17"/>
      <c r="AO3244" s="17"/>
      <c r="AP3244" s="28" t="str">
        <f t="shared" si="959"/>
        <v>20203</v>
      </c>
      <c r="AQ3244" s="28" t="str">
        <f t="shared" si="960"/>
        <v>20203RMB</v>
      </c>
      <c r="AR3244" s="206" t="str">
        <f t="shared" si="961"/>
        <v>YAMAHA_Mounter</v>
      </c>
      <c r="AS3244" s="22">
        <f t="shared" si="962"/>
        <v>2</v>
      </c>
      <c r="AT3244" s="24" t="str">
        <f t="shared" si="963"/>
        <v>0-3 months</v>
      </c>
      <c r="AU3244" s="22" t="s">
        <v>3743</v>
      </c>
    </row>
    <row r="3245" spans="1:47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966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967"/>
        <v>875000</v>
      </c>
      <c r="AA3245" s="13">
        <v>1.18</v>
      </c>
      <c r="AB3245" s="21">
        <f t="shared" si="950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1"/>
        <v>43684091.636631854</v>
      </c>
      <c r="AJ3245" s="19">
        <f t="shared" si="952"/>
        <v>6483951.8242071122</v>
      </c>
      <c r="AK3245" s="20">
        <f t="shared" si="958"/>
        <v>0.14842821680123736</v>
      </c>
      <c r="AL3245" s="17"/>
      <c r="AM3245" s="17"/>
      <c r="AN3245" s="17"/>
      <c r="AO3245" s="17"/>
      <c r="AP3245" s="28" t="str">
        <f t="shared" si="959"/>
        <v>20214</v>
      </c>
      <c r="AQ3245" s="28" t="str">
        <f t="shared" si="960"/>
        <v>20214RMB</v>
      </c>
      <c r="AR3245" s="206" t="str">
        <f t="shared" si="961"/>
        <v>YAMAHA_Mounter</v>
      </c>
      <c r="AS3245" s="22">
        <f t="shared" si="962"/>
        <v>3</v>
      </c>
      <c r="AT3245" s="24" t="str">
        <f t="shared" si="963"/>
        <v>0-3 months</v>
      </c>
      <c r="AU3245" s="22" t="s">
        <v>3743</v>
      </c>
    </row>
    <row r="3246" spans="1:47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966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967"/>
        <v>875000</v>
      </c>
      <c r="AA3246" s="13">
        <v>1.18</v>
      </c>
      <c r="AB3246" s="21">
        <f t="shared" si="950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1"/>
        <v>43684091.636631854</v>
      </c>
      <c r="AJ3246" s="19">
        <f t="shared" si="952"/>
        <v>6483951.8242071122</v>
      </c>
      <c r="AK3246" s="20">
        <f t="shared" si="958"/>
        <v>0.14842821680123736</v>
      </c>
      <c r="AL3246" s="17"/>
      <c r="AM3246" s="17"/>
      <c r="AN3246" s="17"/>
      <c r="AO3246" s="17"/>
      <c r="AP3246" s="28" t="str">
        <f t="shared" si="959"/>
        <v>20214</v>
      </c>
      <c r="AQ3246" s="28" t="str">
        <f t="shared" si="960"/>
        <v>20214RMB</v>
      </c>
      <c r="AR3246" s="206" t="str">
        <f t="shared" si="961"/>
        <v>YAMAHA_Mounter</v>
      </c>
      <c r="AS3246" s="22">
        <f t="shared" si="962"/>
        <v>3</v>
      </c>
      <c r="AT3246" s="24" t="str">
        <f t="shared" si="963"/>
        <v>0-3 months</v>
      </c>
      <c r="AU3246" s="22" t="s">
        <v>3743</v>
      </c>
    </row>
    <row r="3247" spans="1:47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966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967"/>
        <v>875000</v>
      </c>
      <c r="AA3247" s="13">
        <v>1.18</v>
      </c>
      <c r="AB3247" s="21">
        <f t="shared" si="950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1"/>
        <v>43684091.636631854</v>
      </c>
      <c r="AJ3247" s="19">
        <f t="shared" si="952"/>
        <v>6483951.8242071122</v>
      </c>
      <c r="AK3247" s="20">
        <f t="shared" si="958"/>
        <v>0.14842821680123736</v>
      </c>
      <c r="AL3247" s="17"/>
      <c r="AM3247" s="17"/>
      <c r="AN3247" s="17"/>
      <c r="AO3247" s="17"/>
      <c r="AP3247" s="28" t="str">
        <f t="shared" si="959"/>
        <v>20214</v>
      </c>
      <c r="AQ3247" s="28" t="str">
        <f t="shared" si="960"/>
        <v>20214RMB</v>
      </c>
      <c r="AR3247" s="206" t="str">
        <f t="shared" si="961"/>
        <v>YAMAHA_Mounter</v>
      </c>
      <c r="AS3247" s="22">
        <f t="shared" si="962"/>
        <v>3</v>
      </c>
      <c r="AT3247" s="24" t="str">
        <f t="shared" si="963"/>
        <v>0-3 months</v>
      </c>
      <c r="AU3247" s="22" t="s">
        <v>3743</v>
      </c>
    </row>
    <row r="3248" spans="1:47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966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967"/>
        <v>875000</v>
      </c>
      <c r="AA3248" s="13">
        <v>1.18</v>
      </c>
      <c r="AB3248" s="21">
        <f t="shared" si="950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1"/>
        <v>43684091.636631854</v>
      </c>
      <c r="AJ3248" s="19">
        <f t="shared" si="952"/>
        <v>6483951.8242071122</v>
      </c>
      <c r="AK3248" s="20">
        <f t="shared" si="958"/>
        <v>0.14842821680123736</v>
      </c>
      <c r="AL3248" s="17"/>
      <c r="AM3248" s="17"/>
      <c r="AN3248" s="17"/>
      <c r="AO3248" s="17"/>
      <c r="AP3248" s="28" t="str">
        <f t="shared" si="959"/>
        <v>20214</v>
      </c>
      <c r="AQ3248" s="28" t="str">
        <f t="shared" si="960"/>
        <v>20214RMB</v>
      </c>
      <c r="AR3248" s="206" t="str">
        <f t="shared" si="961"/>
        <v>YAMAHA_Mounter</v>
      </c>
      <c r="AS3248" s="22">
        <f t="shared" si="962"/>
        <v>3</v>
      </c>
      <c r="AT3248" s="24" t="str">
        <f t="shared" si="963"/>
        <v>0-3 months</v>
      </c>
      <c r="AU3248" s="22" t="s">
        <v>3743</v>
      </c>
    </row>
    <row r="3249" spans="1:47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966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967"/>
        <v>528000</v>
      </c>
      <c r="AA3249" s="13">
        <v>1.095</v>
      </c>
      <c r="AB3249" s="21">
        <f t="shared" si="950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1"/>
        <v>23168285.927433632</v>
      </c>
      <c r="AJ3249" s="19">
        <f t="shared" si="952"/>
        <v>2764878.916878053</v>
      </c>
      <c r="AK3249" s="20">
        <f t="shared" si="958"/>
        <v>0.11933895004309111</v>
      </c>
      <c r="AL3249" s="17"/>
      <c r="AM3249" s="17"/>
      <c r="AN3249" s="17"/>
      <c r="AO3249" s="17"/>
      <c r="AP3249" s="28" t="str">
        <f t="shared" si="959"/>
        <v>20203</v>
      </c>
      <c r="AQ3249" s="28" t="str">
        <f t="shared" si="960"/>
        <v>20203RMB</v>
      </c>
      <c r="AR3249" s="206" t="str">
        <f t="shared" si="961"/>
        <v>YAMAHA_Mounter</v>
      </c>
      <c r="AS3249" s="22">
        <f t="shared" si="962"/>
        <v>1</v>
      </c>
      <c r="AT3249" s="24" t="str">
        <f t="shared" si="963"/>
        <v>0-3 months</v>
      </c>
      <c r="AU3249" s="22" t="s">
        <v>3240</v>
      </c>
    </row>
    <row r="3250" spans="1:47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966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967"/>
        <v>800000</v>
      </c>
      <c r="AA3250" s="13">
        <v>1.095</v>
      </c>
      <c r="AB3250" s="21">
        <f t="shared" si="950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1"/>
        <v>23168285.927433632</v>
      </c>
      <c r="AJ3250" s="19">
        <f t="shared" si="952"/>
        <v>2764878.916878053</v>
      </c>
      <c r="AK3250" s="20">
        <f t="shared" si="958"/>
        <v>0.11933895004309111</v>
      </c>
      <c r="AL3250" s="17"/>
      <c r="AM3250" s="17"/>
      <c r="AN3250" s="17"/>
      <c r="AO3250" s="17"/>
      <c r="AP3250" s="28" t="str">
        <f t="shared" si="959"/>
        <v>20203</v>
      </c>
      <c r="AQ3250" s="28" t="str">
        <f t="shared" si="960"/>
        <v>20203RMB</v>
      </c>
      <c r="AR3250" s="206" t="str">
        <f t="shared" si="961"/>
        <v>YAMAHA_Mounter</v>
      </c>
      <c r="AS3250" s="22">
        <f t="shared" si="962"/>
        <v>1</v>
      </c>
      <c r="AT3250" s="24" t="str">
        <f t="shared" si="963"/>
        <v>0-3 months</v>
      </c>
      <c r="AU3250" s="22" t="s">
        <v>3240</v>
      </c>
    </row>
    <row r="3251" spans="1:47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966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967"/>
        <v>13980000</v>
      </c>
      <c r="AA3251" s="13">
        <v>5.5399999999999998E-2</v>
      </c>
      <c r="AB3251" s="21">
        <f t="shared" si="950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1"/>
        <v>22717528.991150443</v>
      </c>
      <c r="AJ3251" s="19">
        <f t="shared" si="952"/>
        <v>3947747.192555753</v>
      </c>
      <c r="AK3251" s="20">
        <f t="shared" si="958"/>
        <v>0.1737753782153679</v>
      </c>
      <c r="AL3251" s="17"/>
      <c r="AM3251" s="17"/>
      <c r="AN3251" s="17"/>
      <c r="AO3251" s="17"/>
      <c r="AP3251" s="28" t="str">
        <f t="shared" si="959"/>
        <v>202210</v>
      </c>
      <c r="AQ3251" s="28" t="str">
        <f t="shared" si="960"/>
        <v>202210JPY</v>
      </c>
      <c r="AR3251" s="206" t="str">
        <f t="shared" si="961"/>
        <v>YAMAHA_Mounter</v>
      </c>
      <c r="AS3251" s="22">
        <f t="shared" si="962"/>
        <v>4</v>
      </c>
      <c r="AT3251" s="24" t="str">
        <f t="shared" si="963"/>
        <v>4-6 months</v>
      </c>
      <c r="AU3251" s="22" t="s">
        <v>3744</v>
      </c>
    </row>
    <row r="3252" spans="1:47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966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967"/>
        <v>771000</v>
      </c>
      <c r="AA3252" s="13">
        <v>1.1599999999999999</v>
      </c>
      <c r="AB3252" s="21">
        <f t="shared" si="950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1"/>
        <v>21045012.884955753</v>
      </c>
      <c r="AJ3252" s="19">
        <f t="shared" si="952"/>
        <v>2650260.9603327443</v>
      </c>
      <c r="AK3252" s="20">
        <f t="shared" si="958"/>
        <v>0.12593296924172048</v>
      </c>
      <c r="AL3252" s="17"/>
      <c r="AM3252" s="17"/>
      <c r="AN3252" s="17"/>
      <c r="AO3252" s="17"/>
      <c r="AP3252" s="28" t="str">
        <f t="shared" si="959"/>
        <v>20232</v>
      </c>
      <c r="AQ3252" s="28" t="str">
        <f t="shared" si="960"/>
        <v>20232RMB</v>
      </c>
      <c r="AR3252" s="206" t="str">
        <f t="shared" si="961"/>
        <v>YAMAHA_Mounter</v>
      </c>
      <c r="AS3252" s="22">
        <f t="shared" si="962"/>
        <v>0</v>
      </c>
      <c r="AT3252" s="24" t="str">
        <f t="shared" si="963"/>
        <v>0-3 months</v>
      </c>
      <c r="AU3252" s="22" t="s">
        <v>3240</v>
      </c>
    </row>
    <row r="3253" spans="1:47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955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966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967"/>
        <v>7668000</v>
      </c>
      <c r="AA3253" s="22">
        <v>5.1799999999999999E-2</v>
      </c>
      <c r="AB3253" s="21">
        <f t="shared" si="950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1"/>
        <v>499582152.5142017</v>
      </c>
      <c r="AJ3253" s="27">
        <f t="shared" si="952"/>
        <v>59520528.679470733</v>
      </c>
      <c r="AK3253" s="28">
        <f t="shared" si="958"/>
        <v>0.11914062257814291</v>
      </c>
      <c r="AL3253" s="24"/>
      <c r="AM3253" s="24"/>
      <c r="AN3253" s="24"/>
      <c r="AO3253" s="24"/>
      <c r="AP3253" s="28" t="str">
        <f t="shared" si="959"/>
        <v>CancelCancel</v>
      </c>
      <c r="AQ3253" s="28" t="str">
        <f t="shared" si="960"/>
        <v>CancelCancelJPY</v>
      </c>
      <c r="AR3253" s="206" t="str">
        <f t="shared" si="961"/>
        <v>YAMAHA_Mounter</v>
      </c>
      <c r="AS3253" s="22" t="str">
        <f t="shared" si="962"/>
        <v/>
      </c>
      <c r="AT3253" s="24" t="str">
        <f t="shared" si="963"/>
        <v/>
      </c>
      <c r="AU3253" s="22" t="s">
        <v>3744</v>
      </c>
    </row>
    <row r="3254" spans="1:47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966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967"/>
        <v>16250000</v>
      </c>
      <c r="AA3254" s="13">
        <v>7.0699999999999999E-2</v>
      </c>
      <c r="AB3254" s="21">
        <f t="shared" si="950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1"/>
        <v>10785027.603448275</v>
      </c>
      <c r="AJ3254" s="19">
        <f t="shared" si="952"/>
        <v>1540894.1297982759</v>
      </c>
      <c r="AK3254" s="20">
        <f t="shared" si="958"/>
        <v>0.1428734525728621</v>
      </c>
      <c r="AL3254" s="17"/>
      <c r="AM3254" s="17"/>
      <c r="AN3254" s="17"/>
      <c r="AO3254" s="17"/>
      <c r="AP3254" s="28" t="str">
        <f t="shared" si="959"/>
        <v>201811</v>
      </c>
      <c r="AQ3254" s="28" t="str">
        <f t="shared" si="960"/>
        <v>201811JPY</v>
      </c>
      <c r="AR3254" s="206" t="str">
        <f t="shared" si="961"/>
        <v>YAMAHA_Mounter</v>
      </c>
      <c r="AS3254" s="22">
        <f t="shared" si="962"/>
        <v>1</v>
      </c>
      <c r="AT3254" s="24" t="str">
        <f t="shared" si="963"/>
        <v>0-3 months</v>
      </c>
      <c r="AU3254" s="22" t="s">
        <v>3744</v>
      </c>
    </row>
    <row r="3255" spans="1:47" s="12" customFormat="1">
      <c r="A3255" s="33" t="str">
        <f t="shared" si="953"/>
        <v>cancel</v>
      </c>
      <c r="B3255" s="152"/>
      <c r="C3255" s="152" t="s">
        <v>185</v>
      </c>
      <c r="D3255" s="33" t="str">
        <f t="shared" si="954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955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966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967"/>
        <v>14700000</v>
      </c>
      <c r="AA3255" s="13">
        <v>7.2900000000000006E-2</v>
      </c>
      <c r="AB3255" s="21">
        <f t="shared" si="950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1"/>
        <v>499582152.5142017</v>
      </c>
      <c r="AJ3255" s="19">
        <f t="shared" si="952"/>
        <v>59520528.679470733</v>
      </c>
      <c r="AK3255" s="20">
        <f t="shared" si="958"/>
        <v>0.11914062257814291</v>
      </c>
      <c r="AL3255" s="17"/>
      <c r="AM3255" s="17"/>
      <c r="AN3255" s="17"/>
      <c r="AO3255" s="17"/>
      <c r="AP3255" s="28" t="str">
        <f t="shared" si="959"/>
        <v>CancelCancel</v>
      </c>
      <c r="AQ3255" s="28" t="str">
        <f t="shared" si="960"/>
        <v>CancelCancelJPY</v>
      </c>
      <c r="AR3255" s="206" t="str">
        <f t="shared" si="961"/>
        <v>YAMAHA_Mounter</v>
      </c>
      <c r="AS3255" s="22" t="str">
        <f t="shared" si="962"/>
        <v/>
      </c>
      <c r="AT3255" s="24" t="str">
        <f t="shared" si="963"/>
        <v/>
      </c>
      <c r="AU3255" s="22" t="s">
        <v>3744</v>
      </c>
    </row>
    <row r="3256" spans="1:47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966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967"/>
        <v>14000000</v>
      </c>
      <c r="AA3256" s="13">
        <v>7.5700000000000003E-2</v>
      </c>
      <c r="AB3256" s="21">
        <f t="shared" si="950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1"/>
        <v>37969334.083628319</v>
      </c>
      <c r="AJ3256" s="19">
        <f t="shared" si="952"/>
        <v>5097226.4551657084</v>
      </c>
      <c r="AK3256" s="20">
        <f t="shared" si="958"/>
        <v>0.13424587441904964</v>
      </c>
      <c r="AL3256" s="17"/>
      <c r="AM3256" s="17"/>
      <c r="AN3256" s="17"/>
      <c r="AO3256" s="17"/>
      <c r="AP3256" s="28" t="str">
        <f t="shared" si="959"/>
        <v>20208</v>
      </c>
      <c r="AQ3256" s="28" t="str">
        <f t="shared" si="960"/>
        <v>20208JPY</v>
      </c>
      <c r="AR3256" s="206" t="str">
        <f t="shared" si="961"/>
        <v>YAMAHA_Mounter</v>
      </c>
      <c r="AS3256" s="22">
        <f t="shared" si="962"/>
        <v>1</v>
      </c>
      <c r="AT3256" s="24" t="str">
        <f t="shared" si="963"/>
        <v>0-3 months</v>
      </c>
      <c r="AU3256" s="22" t="s">
        <v>3744</v>
      </c>
    </row>
    <row r="3257" spans="1:47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966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967"/>
        <v>14000000</v>
      </c>
      <c r="AA3257" s="13">
        <v>7.5700000000000003E-2</v>
      </c>
      <c r="AB3257" s="21">
        <f t="shared" si="950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1"/>
        <v>37969334.083628319</v>
      </c>
      <c r="AJ3257" s="19">
        <f t="shared" si="952"/>
        <v>5097226.4551657084</v>
      </c>
      <c r="AK3257" s="20">
        <f t="shared" si="958"/>
        <v>0.13424587441904964</v>
      </c>
      <c r="AL3257" s="17"/>
      <c r="AM3257" s="17"/>
      <c r="AN3257" s="17"/>
      <c r="AO3257" s="17"/>
      <c r="AP3257" s="28" t="str">
        <f t="shared" si="959"/>
        <v>20208</v>
      </c>
      <c r="AQ3257" s="28" t="str">
        <f t="shared" si="960"/>
        <v>20208JPY</v>
      </c>
      <c r="AR3257" s="206" t="str">
        <f t="shared" si="961"/>
        <v>YAMAHA_Mounter</v>
      </c>
      <c r="AS3257" s="22">
        <f t="shared" si="962"/>
        <v>1</v>
      </c>
      <c r="AT3257" s="24" t="str">
        <f t="shared" si="963"/>
        <v>0-3 months</v>
      </c>
      <c r="AU3257" s="22" t="s">
        <v>3744</v>
      </c>
    </row>
    <row r="3258" spans="1:47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966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967"/>
        <v>14000000</v>
      </c>
      <c r="AA3258" s="13">
        <v>7.5700000000000003E-2</v>
      </c>
      <c r="AB3258" s="21">
        <f t="shared" si="950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1"/>
        <v>37969334.083628319</v>
      </c>
      <c r="AJ3258" s="19">
        <f t="shared" si="952"/>
        <v>5097226.4551657084</v>
      </c>
      <c r="AK3258" s="20">
        <f t="shared" si="958"/>
        <v>0.13424587441904964</v>
      </c>
      <c r="AL3258" s="17"/>
      <c r="AM3258" s="17"/>
      <c r="AN3258" s="17"/>
      <c r="AO3258" s="17"/>
      <c r="AP3258" s="28" t="str">
        <f t="shared" si="959"/>
        <v>20208</v>
      </c>
      <c r="AQ3258" s="28" t="str">
        <f t="shared" si="960"/>
        <v>20208JPY</v>
      </c>
      <c r="AR3258" s="206" t="str">
        <f t="shared" si="961"/>
        <v>YAMAHA_Mounter</v>
      </c>
      <c r="AS3258" s="22">
        <f t="shared" si="962"/>
        <v>1</v>
      </c>
      <c r="AT3258" s="24" t="str">
        <f t="shared" si="963"/>
        <v>0-3 months</v>
      </c>
      <c r="AU3258" s="22" t="s">
        <v>3744</v>
      </c>
    </row>
    <row r="3259" spans="1:47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966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967"/>
        <v>14000000</v>
      </c>
      <c r="AA3259" s="13">
        <v>7.5700000000000003E-2</v>
      </c>
      <c r="AB3259" s="21">
        <f t="shared" si="950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1"/>
        <v>37969334.083628319</v>
      </c>
      <c r="AJ3259" s="19">
        <f t="shared" si="952"/>
        <v>5097226.4551657084</v>
      </c>
      <c r="AK3259" s="20">
        <f t="shared" si="958"/>
        <v>0.13424587441904964</v>
      </c>
      <c r="AL3259" s="17"/>
      <c r="AM3259" s="17"/>
      <c r="AN3259" s="17"/>
      <c r="AO3259" s="17"/>
      <c r="AP3259" s="28" t="str">
        <f t="shared" si="959"/>
        <v>20208</v>
      </c>
      <c r="AQ3259" s="28" t="str">
        <f t="shared" si="960"/>
        <v>20208JPY</v>
      </c>
      <c r="AR3259" s="206" t="str">
        <f t="shared" si="961"/>
        <v>YAMAHA_Mounter</v>
      </c>
      <c r="AS3259" s="22">
        <f t="shared" si="962"/>
        <v>1</v>
      </c>
      <c r="AT3259" s="24" t="str">
        <f t="shared" si="963"/>
        <v>0-3 months</v>
      </c>
      <c r="AU3259" s="22" t="s">
        <v>3744</v>
      </c>
    </row>
    <row r="3260" spans="1:47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966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967"/>
        <v>24000000</v>
      </c>
      <c r="AA3260" s="13">
        <v>7.5700000000000003E-2</v>
      </c>
      <c r="AB3260" s="21">
        <f t="shared" ref="AB3260:AB3323" si="969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1"/>
        <v>37969334.083628319</v>
      </c>
      <c r="AJ3260" s="19">
        <f t="shared" si="952"/>
        <v>5097226.4551657084</v>
      </c>
      <c r="AK3260" s="20">
        <f t="shared" si="958"/>
        <v>0.13424587441904964</v>
      </c>
      <c r="AL3260" s="17"/>
      <c r="AM3260" s="17"/>
      <c r="AN3260" s="17"/>
      <c r="AO3260" s="17"/>
      <c r="AP3260" s="28" t="str">
        <f t="shared" si="959"/>
        <v>20208</v>
      </c>
      <c r="AQ3260" s="28" t="str">
        <f t="shared" si="960"/>
        <v>20208JPY</v>
      </c>
      <c r="AR3260" s="206" t="str">
        <f t="shared" si="961"/>
        <v>YAMAHA_Mounter</v>
      </c>
      <c r="AS3260" s="22">
        <f t="shared" si="962"/>
        <v>1</v>
      </c>
      <c r="AT3260" s="24" t="str">
        <f t="shared" si="963"/>
        <v>0-3 months</v>
      </c>
      <c r="AU3260" s="22" t="s">
        <v>3744</v>
      </c>
    </row>
    <row r="3261" spans="1:47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966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970">IF(W3261="RMB","1.13", "1")</f>
        <v>1.13</v>
      </c>
      <c r="Z3261" s="18">
        <f t="shared" si="967"/>
        <v>900000</v>
      </c>
      <c r="AA3261" s="13">
        <v>1.1299999999999999</v>
      </c>
      <c r="AB3261" s="21">
        <f t="shared" si="969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1"/>
        <v>33543315.897345133</v>
      </c>
      <c r="AJ3261" s="19">
        <f t="shared" si="952"/>
        <v>4706169.3252984071</v>
      </c>
      <c r="AK3261" s="20">
        <f t="shared" si="958"/>
        <v>0.14030125523967318</v>
      </c>
      <c r="AL3261" s="17"/>
      <c r="AM3261" s="17"/>
      <c r="AN3261" s="17"/>
      <c r="AO3261" s="17"/>
      <c r="AP3261" s="28" t="str">
        <f t="shared" si="959"/>
        <v>20233</v>
      </c>
      <c r="AQ3261" s="28" t="str">
        <f t="shared" si="960"/>
        <v>20233RMB</v>
      </c>
      <c r="AR3261" s="206" t="str">
        <f t="shared" si="961"/>
        <v>YAMAHA_Mounter</v>
      </c>
      <c r="AS3261" s="22">
        <f t="shared" si="962"/>
        <v>2</v>
      </c>
      <c r="AT3261" s="24" t="str">
        <f t="shared" si="963"/>
        <v>0-3 months</v>
      </c>
      <c r="AU3261" s="22" t="s">
        <v>3750</v>
      </c>
    </row>
    <row r="3262" spans="1:47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966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970"/>
        <v>1</v>
      </c>
      <c r="Z3262" s="18">
        <f t="shared" si="967"/>
        <v>14000000</v>
      </c>
      <c r="AA3262" s="13">
        <v>7.4499999999999997E-2</v>
      </c>
      <c r="AB3262" s="21">
        <f t="shared" si="969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1"/>
        <v>57778307.282035396</v>
      </c>
      <c r="AJ3262" s="19">
        <f t="shared" si="952"/>
        <v>7259860.7225420559</v>
      </c>
      <c r="AK3262" s="20">
        <f t="shared" si="958"/>
        <v>0.12565028406083667</v>
      </c>
      <c r="AL3262" s="17"/>
      <c r="AM3262" s="17"/>
      <c r="AN3262" s="17"/>
      <c r="AO3262" s="17"/>
      <c r="AP3262" s="28" t="str">
        <f t="shared" si="959"/>
        <v>20213</v>
      </c>
      <c r="AQ3262" s="28" t="str">
        <f t="shared" si="960"/>
        <v>20213JPY</v>
      </c>
      <c r="AR3262" s="206" t="str">
        <f t="shared" si="961"/>
        <v>YAMAHA_Mounter</v>
      </c>
      <c r="AS3262" s="22">
        <f t="shared" si="962"/>
        <v>1</v>
      </c>
      <c r="AT3262" s="24" t="str">
        <f t="shared" si="963"/>
        <v>0-3 months</v>
      </c>
      <c r="AU3262" s="22" t="s">
        <v>3744</v>
      </c>
    </row>
    <row r="3263" spans="1:47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966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970"/>
        <v>1</v>
      </c>
      <c r="Z3263" s="18">
        <f t="shared" si="967"/>
        <v>10000000</v>
      </c>
      <c r="AA3263" s="13">
        <v>7.4499999999999997E-2</v>
      </c>
      <c r="AB3263" s="21">
        <f t="shared" si="969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1"/>
        <v>57778307.282035396</v>
      </c>
      <c r="AJ3263" s="19">
        <f t="shared" si="952"/>
        <v>7259860.7225420559</v>
      </c>
      <c r="AK3263" s="20">
        <f t="shared" si="958"/>
        <v>0.12565028406083667</v>
      </c>
      <c r="AL3263" s="17"/>
      <c r="AM3263" s="17"/>
      <c r="AN3263" s="17"/>
      <c r="AO3263" s="17"/>
      <c r="AP3263" s="28" t="str">
        <f t="shared" si="959"/>
        <v>20213</v>
      </c>
      <c r="AQ3263" s="28" t="str">
        <f t="shared" si="960"/>
        <v>20213JPY</v>
      </c>
      <c r="AR3263" s="206" t="str">
        <f t="shared" si="961"/>
        <v>YAMAHA_Mounter</v>
      </c>
      <c r="AS3263" s="22">
        <f t="shared" si="962"/>
        <v>1</v>
      </c>
      <c r="AT3263" s="24" t="str">
        <f t="shared" si="963"/>
        <v>0-3 months</v>
      </c>
      <c r="AU3263" s="22" t="s">
        <v>3744</v>
      </c>
    </row>
    <row r="3264" spans="1:47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966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970"/>
        <v>1</v>
      </c>
      <c r="Z3264" s="18">
        <f t="shared" si="967"/>
        <v>11000000</v>
      </c>
      <c r="AA3264" s="13">
        <v>7.17E-2</v>
      </c>
      <c r="AB3264" s="21">
        <f t="shared" si="969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1"/>
        <v>43684091.636631854</v>
      </c>
      <c r="AJ3264" s="19">
        <f t="shared" si="952"/>
        <v>6483951.8242071122</v>
      </c>
      <c r="AK3264" s="20">
        <f t="shared" si="958"/>
        <v>0.14842821680123736</v>
      </c>
      <c r="AL3264" s="17"/>
      <c r="AM3264" s="17"/>
      <c r="AN3264" s="17"/>
      <c r="AO3264" s="17"/>
      <c r="AP3264" s="28" t="str">
        <f t="shared" si="959"/>
        <v>20214</v>
      </c>
      <c r="AQ3264" s="28" t="str">
        <f t="shared" si="960"/>
        <v>20214JPY</v>
      </c>
      <c r="AR3264" s="206" t="str">
        <f t="shared" si="961"/>
        <v>YAMAHA_Mounter</v>
      </c>
      <c r="AS3264" s="22">
        <f t="shared" si="962"/>
        <v>2</v>
      </c>
      <c r="AT3264" s="24" t="str">
        <f t="shared" si="963"/>
        <v>0-3 months</v>
      </c>
      <c r="AU3264" s="22" t="s">
        <v>3744</v>
      </c>
    </row>
    <row r="3265" spans="1:47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966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970"/>
        <v>1</v>
      </c>
      <c r="Z3265" s="18">
        <f t="shared" si="967"/>
        <v>7350000</v>
      </c>
      <c r="AA3265" s="13">
        <v>7.17E-2</v>
      </c>
      <c r="AB3265" s="21">
        <f t="shared" si="969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1"/>
        <v>43684091.636631854</v>
      </c>
      <c r="AJ3265" s="19">
        <f t="shared" si="952"/>
        <v>6483951.8242071122</v>
      </c>
      <c r="AK3265" s="20">
        <f t="shared" si="958"/>
        <v>0.14842821680123736</v>
      </c>
      <c r="AL3265" s="17"/>
      <c r="AM3265" s="17"/>
      <c r="AN3265" s="17"/>
      <c r="AO3265" s="17"/>
      <c r="AP3265" s="28" t="str">
        <f t="shared" si="959"/>
        <v>20214</v>
      </c>
      <c r="AQ3265" s="28" t="str">
        <f t="shared" si="960"/>
        <v>20214JPY</v>
      </c>
      <c r="AR3265" s="206" t="str">
        <f t="shared" si="961"/>
        <v>YAMAHA_Mounter</v>
      </c>
      <c r="AS3265" s="22">
        <f t="shared" si="962"/>
        <v>2</v>
      </c>
      <c r="AT3265" s="24" t="str">
        <f t="shared" si="963"/>
        <v>0-3 months</v>
      </c>
      <c r="AU3265" s="22" t="s">
        <v>3744</v>
      </c>
    </row>
    <row r="3266" spans="1:47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966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970"/>
        <v>1</v>
      </c>
      <c r="Z3266" s="18">
        <f t="shared" si="967"/>
        <v>11000000</v>
      </c>
      <c r="AA3266" s="13">
        <v>7.2400000000000006E-2</v>
      </c>
      <c r="AB3266" s="21">
        <f t="shared" si="969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ref="AI3266:AI3329" si="971">IF(P3266="C66 SERVICE","",SUMIFS(AB:AB,F:F,F3266,G:G,G3266,E:E,E3266))</f>
        <v>47458373.787610628</v>
      </c>
      <c r="AJ3266" s="19">
        <f t="shared" ref="AJ3266:AJ3329" si="972">IF(P3266="C66 SERVICE","",SUMIFS(AC:AC,F:F,F3266,G:G,G3266,E:E,E3266))</f>
        <v>7436880.1411522133</v>
      </c>
      <c r="AK3266" s="20">
        <f t="shared" si="958"/>
        <v>0.15670322321692506</v>
      </c>
      <c r="AL3266" s="17"/>
      <c r="AM3266" s="17"/>
      <c r="AN3266" s="17"/>
      <c r="AO3266" s="17"/>
      <c r="AP3266" s="28" t="str">
        <f t="shared" si="959"/>
        <v>20218</v>
      </c>
      <c r="AQ3266" s="28" t="str">
        <f t="shared" si="960"/>
        <v>20218JPY</v>
      </c>
      <c r="AR3266" s="206" t="str">
        <f t="shared" si="961"/>
        <v>YAMAHA_Mounter</v>
      </c>
      <c r="AS3266" s="22">
        <f t="shared" si="962"/>
        <v>4</v>
      </c>
      <c r="AT3266" s="24" t="str">
        <f t="shared" si="963"/>
        <v>4-6 months</v>
      </c>
      <c r="AU3266" s="22" t="s">
        <v>3744</v>
      </c>
    </row>
    <row r="3267" spans="1:47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966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970"/>
        <v>1</v>
      </c>
      <c r="Z3267" s="18">
        <f t="shared" si="967"/>
        <v>11000000</v>
      </c>
      <c r="AA3267" s="13">
        <v>7.2300000000000003E-2</v>
      </c>
      <c r="AB3267" s="21">
        <f t="shared" si="969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71"/>
        <v>10844605.840707963</v>
      </c>
      <c r="AJ3267" s="19">
        <f t="shared" si="972"/>
        <v>1523130.9860707966</v>
      </c>
      <c r="AK3267" s="20">
        <f t="shared" si="958"/>
        <v>0.14045056209911663</v>
      </c>
      <c r="AL3267" s="17"/>
      <c r="AM3267" s="17"/>
      <c r="AN3267" s="17"/>
      <c r="AO3267" s="17"/>
      <c r="AP3267" s="28" t="str">
        <f t="shared" si="959"/>
        <v>20219</v>
      </c>
      <c r="AQ3267" s="28" t="str">
        <f t="shared" si="960"/>
        <v>20219JPY</v>
      </c>
      <c r="AR3267" s="206" t="str">
        <f t="shared" si="961"/>
        <v>YAMAHA_Mounter</v>
      </c>
      <c r="AS3267" s="22">
        <f t="shared" si="962"/>
        <v>5</v>
      </c>
      <c r="AT3267" s="24" t="str">
        <f t="shared" si="963"/>
        <v>4-6 months</v>
      </c>
      <c r="AU3267" s="22" t="s">
        <v>3744</v>
      </c>
    </row>
    <row r="3268" spans="1:47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966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967"/>
        <v>750000</v>
      </c>
      <c r="AA3268" s="13">
        <v>1.1499999999999999</v>
      </c>
      <c r="AB3268" s="21">
        <f t="shared" si="969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71"/>
        <v>26492741.106427077</v>
      </c>
      <c r="AJ3268" s="19">
        <f t="shared" si="972"/>
        <v>3348032.1325698122</v>
      </c>
      <c r="AK3268" s="20">
        <f t="shared" si="958"/>
        <v>0.12637545201985867</v>
      </c>
      <c r="AL3268" s="17"/>
      <c r="AM3268" s="17"/>
      <c r="AN3268" s="17"/>
      <c r="AO3268" s="17"/>
      <c r="AP3268" s="28" t="str">
        <f t="shared" si="959"/>
        <v>20189</v>
      </c>
      <c r="AQ3268" s="28" t="str">
        <f t="shared" si="960"/>
        <v>20189RMB</v>
      </c>
      <c r="AR3268" s="206" t="str">
        <f t="shared" si="961"/>
        <v>YAMAHA_Mounter</v>
      </c>
      <c r="AS3268" s="22">
        <f t="shared" si="962"/>
        <v>1</v>
      </c>
      <c r="AT3268" s="24" t="str">
        <f t="shared" si="963"/>
        <v>0-3 months</v>
      </c>
      <c r="AU3268" s="22" t="s">
        <v>3240</v>
      </c>
    </row>
    <row r="3269" spans="1:47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966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967"/>
        <v>520000</v>
      </c>
      <c r="AA3269" s="13">
        <v>1.1499999999999999</v>
      </c>
      <c r="AB3269" s="21">
        <f t="shared" si="969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71"/>
        <v>26492741.106427077</v>
      </c>
      <c r="AJ3269" s="19">
        <f t="shared" si="972"/>
        <v>3348032.1325698122</v>
      </c>
      <c r="AK3269" s="20">
        <f t="shared" si="958"/>
        <v>0.12637545201985867</v>
      </c>
      <c r="AL3269" s="17"/>
      <c r="AM3269" s="17"/>
      <c r="AN3269" s="17"/>
      <c r="AO3269" s="17"/>
      <c r="AP3269" s="28" t="str">
        <f t="shared" si="959"/>
        <v>20189</v>
      </c>
      <c r="AQ3269" s="28" t="str">
        <f t="shared" si="960"/>
        <v>20189RMB</v>
      </c>
      <c r="AR3269" s="206" t="str">
        <f t="shared" si="961"/>
        <v>YAMAHA_Mounter</v>
      </c>
      <c r="AS3269" s="22">
        <f t="shared" si="962"/>
        <v>1</v>
      </c>
      <c r="AT3269" s="24" t="str">
        <f t="shared" si="963"/>
        <v>0-3 months</v>
      </c>
      <c r="AU3269" s="22" t="s">
        <v>3240</v>
      </c>
    </row>
    <row r="3270" spans="1:47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966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967"/>
        <v>7350000</v>
      </c>
      <c r="AA3270" s="13">
        <v>7.51E-2</v>
      </c>
      <c r="AB3270" s="21">
        <f t="shared" si="969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si="971"/>
        <v>29288201.603076916</v>
      </c>
      <c r="AJ3270" s="19">
        <f t="shared" si="972"/>
        <v>3870159.1769246152</v>
      </c>
      <c r="AK3270" s="20">
        <f t="shared" ref="AK3270:AK3333" si="978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79">IF(F3270="","",F3270&amp;G3270)</f>
        <v>20184</v>
      </c>
      <c r="AQ3270" s="28" t="str">
        <f t="shared" ref="AQ3270:AQ3333" si="980">IF(W3270="","",F3270&amp;G3270&amp;W3270)</f>
        <v>20184JPY</v>
      </c>
      <c r="AR3270" s="206" t="str">
        <f t="shared" ref="AR3270:AR3333" si="981">IFERROR(IF(AND(M3270="YAMAHA", R3270="C28"), "YAMAHA_Non_Mounter", IF(AND(M3270="YAMAHA", R3270="C49"), "YAMAHA_Mounter", M3270)),"")</f>
        <v>YAMAHA_Mounter</v>
      </c>
      <c r="AS3270" s="22">
        <f t="shared" ref="AS3270:AS3333" si="982">IFERROR(IF(OR(G3270="TBA", G3270=""), "", DATEDIF(DATE(B3270, C3270, 1), DATE(F3270, G3270, 1), "M")),"")</f>
        <v>1</v>
      </c>
      <c r="AT3270" s="24" t="str">
        <f t="shared" ref="AT3270:AT3333" si="983">IF(ISNUMBER(AS3270), IF(AS3270&gt;=0, IF(AS3270&lt;=3, "0-3 months", IF(AS3270&lt;=6, "4-6 months", "&gt; 6 months"))), "")</f>
        <v>0-3 months</v>
      </c>
      <c r="AU3270" s="22" t="s">
        <v>3744</v>
      </c>
    </row>
    <row r="3271" spans="1:47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966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984">IF(W3271="RMB","1.13", "1")</f>
        <v>1.13</v>
      </c>
      <c r="Z3271" s="18">
        <f t="shared" si="967"/>
        <v>832000</v>
      </c>
      <c r="AA3271" s="13">
        <v>1.1950000000000001</v>
      </c>
      <c r="AB3271" s="21">
        <f t="shared" si="969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1"/>
        <v>63006605.696460173</v>
      </c>
      <c r="AJ3271" s="19">
        <f t="shared" si="972"/>
        <v>8897485.660753984</v>
      </c>
      <c r="AK3271" s="20">
        <f t="shared" si="978"/>
        <v>0.141215124388995</v>
      </c>
      <c r="AL3271" s="17"/>
      <c r="AM3271" s="17"/>
      <c r="AN3271" s="17"/>
      <c r="AO3271" s="17"/>
      <c r="AP3271" s="28" t="str">
        <f t="shared" si="979"/>
        <v>20215</v>
      </c>
      <c r="AQ3271" s="28" t="str">
        <f t="shared" si="980"/>
        <v>20215RMB</v>
      </c>
      <c r="AR3271" s="206" t="str">
        <f t="shared" si="981"/>
        <v>YAMAHA_Mounter</v>
      </c>
      <c r="AS3271" s="22">
        <f t="shared" si="982"/>
        <v>1</v>
      </c>
      <c r="AT3271" s="24" t="str">
        <f t="shared" si="983"/>
        <v>0-3 months</v>
      </c>
      <c r="AU3271" s="22" t="s">
        <v>3750</v>
      </c>
    </row>
    <row r="3272" spans="1:47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966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984"/>
        <v>1.13</v>
      </c>
      <c r="Z3272" s="18">
        <f t="shared" si="967"/>
        <v>590000</v>
      </c>
      <c r="AA3272" s="13">
        <v>1.1950000000000001</v>
      </c>
      <c r="AB3272" s="21">
        <f t="shared" si="969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1"/>
        <v>63006605.696460173</v>
      </c>
      <c r="AJ3272" s="19">
        <f t="shared" si="972"/>
        <v>8897485.660753984</v>
      </c>
      <c r="AK3272" s="20">
        <f t="shared" si="978"/>
        <v>0.141215124388995</v>
      </c>
      <c r="AL3272" s="17"/>
      <c r="AM3272" s="17"/>
      <c r="AN3272" s="17"/>
      <c r="AO3272" s="17"/>
      <c r="AP3272" s="28" t="str">
        <f t="shared" si="979"/>
        <v>20215</v>
      </c>
      <c r="AQ3272" s="28" t="str">
        <f t="shared" si="980"/>
        <v>20215RMB</v>
      </c>
      <c r="AR3272" s="206" t="str">
        <f t="shared" si="981"/>
        <v>YAMAHA_Mounter</v>
      </c>
      <c r="AS3272" s="22">
        <f t="shared" si="982"/>
        <v>1</v>
      </c>
      <c r="AT3272" s="24" t="str">
        <f t="shared" si="983"/>
        <v>0-3 months</v>
      </c>
      <c r="AU3272" s="22" t="s">
        <v>3750</v>
      </c>
    </row>
    <row r="3273" spans="1:47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966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984"/>
        <v>1</v>
      </c>
      <c r="Z3273" s="18">
        <f t="shared" si="967"/>
        <v>12300000</v>
      </c>
      <c r="AA3273" s="13">
        <v>6.2799999999999995E-2</v>
      </c>
      <c r="AB3273" s="21">
        <f t="shared" si="969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1"/>
        <v>44014086.982070789</v>
      </c>
      <c r="AJ3273" s="19">
        <f t="shared" si="972"/>
        <v>6419974.0221889298</v>
      </c>
      <c r="AK3273" s="20">
        <f t="shared" si="978"/>
        <v>0.14586180158193709</v>
      </c>
      <c r="AL3273" s="17"/>
      <c r="AM3273" s="17"/>
      <c r="AN3273" s="17"/>
      <c r="AO3273" s="17"/>
      <c r="AP3273" s="28" t="str">
        <f t="shared" si="979"/>
        <v>20225</v>
      </c>
      <c r="AQ3273" s="28" t="str">
        <f t="shared" si="980"/>
        <v>20225JPY</v>
      </c>
      <c r="AR3273" s="206" t="str">
        <f t="shared" si="981"/>
        <v>YAMAHA_Mounter</v>
      </c>
      <c r="AS3273" s="22">
        <f t="shared" si="982"/>
        <v>13</v>
      </c>
      <c r="AT3273" s="24" t="str">
        <f t="shared" si="983"/>
        <v>&gt; 6 months</v>
      </c>
      <c r="AU3273" s="22" t="s">
        <v>3744</v>
      </c>
    </row>
    <row r="3274" spans="1:47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966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984"/>
        <v>1</v>
      </c>
      <c r="Z3274" s="18">
        <f t="shared" si="967"/>
        <v>12300000</v>
      </c>
      <c r="AA3274" s="13">
        <v>6.2799999999999995E-2</v>
      </c>
      <c r="AB3274" s="21">
        <f t="shared" si="969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1"/>
        <v>44014086.982070789</v>
      </c>
      <c r="AJ3274" s="19">
        <f t="shared" si="972"/>
        <v>6419974.0221889298</v>
      </c>
      <c r="AK3274" s="20">
        <f t="shared" si="978"/>
        <v>0.14586180158193709</v>
      </c>
      <c r="AL3274" s="17"/>
      <c r="AM3274" s="17"/>
      <c r="AN3274" s="17"/>
      <c r="AO3274" s="17"/>
      <c r="AP3274" s="28" t="str">
        <f t="shared" si="979"/>
        <v>20225</v>
      </c>
      <c r="AQ3274" s="28" t="str">
        <f t="shared" si="980"/>
        <v>20225JPY</v>
      </c>
      <c r="AR3274" s="206" t="str">
        <f t="shared" si="981"/>
        <v>YAMAHA_Mounter</v>
      </c>
      <c r="AS3274" s="22">
        <f t="shared" si="982"/>
        <v>13</v>
      </c>
      <c r="AT3274" s="24" t="str">
        <f t="shared" si="983"/>
        <v>&gt; 6 months</v>
      </c>
      <c r="AU3274" s="22" t="s">
        <v>3744</v>
      </c>
    </row>
    <row r="3275" spans="1:47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966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984"/>
        <v>1</v>
      </c>
      <c r="Z3275" s="18">
        <f t="shared" si="967"/>
        <v>13900000</v>
      </c>
      <c r="AA3275" s="13">
        <v>5.96E-2</v>
      </c>
      <c r="AB3275" s="21">
        <f t="shared" si="969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1"/>
        <v>35073581.838938057</v>
      </c>
      <c r="AJ3275" s="19">
        <f t="shared" si="972"/>
        <v>5034113.9728989396</v>
      </c>
      <c r="AK3275" s="20">
        <f t="shared" si="978"/>
        <v>0.14353007902118958</v>
      </c>
      <c r="AL3275" s="17"/>
      <c r="AM3275" s="17"/>
      <c r="AN3275" s="17"/>
      <c r="AO3275" s="17"/>
      <c r="AP3275" s="28" t="str">
        <f t="shared" si="979"/>
        <v>20228</v>
      </c>
      <c r="AQ3275" s="28" t="str">
        <f t="shared" si="980"/>
        <v>20228JPY</v>
      </c>
      <c r="AR3275" s="206" t="str">
        <f t="shared" si="981"/>
        <v>YAMAHA_Mounter</v>
      </c>
      <c r="AS3275" s="22">
        <f t="shared" si="982"/>
        <v>4</v>
      </c>
      <c r="AT3275" s="24" t="str">
        <f t="shared" si="983"/>
        <v>4-6 months</v>
      </c>
      <c r="AU3275" s="22" t="s">
        <v>3745</v>
      </c>
    </row>
    <row r="3276" spans="1:47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966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984"/>
        <v>1</v>
      </c>
      <c r="Z3276" s="18">
        <f t="shared" si="967"/>
        <v>9978000</v>
      </c>
      <c r="AA3276" s="13">
        <v>5.96E-2</v>
      </c>
      <c r="AB3276" s="21">
        <f t="shared" si="969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1"/>
        <v>35073581.838938057</v>
      </c>
      <c r="AJ3276" s="19">
        <f t="shared" si="972"/>
        <v>5034113.9728989396</v>
      </c>
      <c r="AK3276" s="20">
        <f t="shared" si="978"/>
        <v>0.14353007902118958</v>
      </c>
      <c r="AL3276" s="17"/>
      <c r="AM3276" s="17"/>
      <c r="AN3276" s="17"/>
      <c r="AO3276" s="17"/>
      <c r="AP3276" s="28" t="str">
        <f t="shared" si="979"/>
        <v>20228</v>
      </c>
      <c r="AQ3276" s="28" t="str">
        <f t="shared" si="980"/>
        <v>20228JPY</v>
      </c>
      <c r="AR3276" s="206" t="str">
        <f t="shared" si="981"/>
        <v>YAMAHA_Mounter</v>
      </c>
      <c r="AS3276" s="22">
        <f t="shared" si="982"/>
        <v>4</v>
      </c>
      <c r="AT3276" s="24" t="str">
        <f t="shared" si="983"/>
        <v>4-6 months</v>
      </c>
      <c r="AU3276" s="22" t="s">
        <v>3745</v>
      </c>
    </row>
    <row r="3277" spans="1:47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975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966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967"/>
        <v>7668000</v>
      </c>
      <c r="AA3277" s="22">
        <v>5.1799999999999999E-2</v>
      </c>
      <c r="AB3277" s="21">
        <f t="shared" si="969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1"/>
        <v>499582152.5142017</v>
      </c>
      <c r="AJ3277" s="27">
        <f t="shared" si="972"/>
        <v>59520528.679470733</v>
      </c>
      <c r="AK3277" s="28">
        <f t="shared" si="978"/>
        <v>0.11914062257814291</v>
      </c>
      <c r="AL3277" s="24"/>
      <c r="AM3277" s="24"/>
      <c r="AN3277" s="24"/>
      <c r="AO3277" s="24"/>
      <c r="AP3277" s="28" t="str">
        <f t="shared" si="979"/>
        <v>CancelCancel</v>
      </c>
      <c r="AQ3277" s="28" t="str">
        <f t="shared" si="980"/>
        <v>CancelCancelJPY</v>
      </c>
      <c r="AR3277" s="206" t="str">
        <f t="shared" si="981"/>
        <v>YAMAHA_Mounter</v>
      </c>
      <c r="AS3277" s="22" t="str">
        <f t="shared" si="982"/>
        <v/>
      </c>
      <c r="AT3277" s="24" t="str">
        <f t="shared" si="983"/>
        <v/>
      </c>
      <c r="AU3277" s="22" t="s">
        <v>3744</v>
      </c>
    </row>
    <row r="3278" spans="1:47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975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966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967"/>
        <v>420000</v>
      </c>
      <c r="AA3278" s="22">
        <v>1.073</v>
      </c>
      <c r="AB3278" s="197">
        <f t="shared" si="969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1"/>
        <v>499582152.5142017</v>
      </c>
      <c r="AJ3278" s="200">
        <f t="shared" si="972"/>
        <v>59520528.679470733</v>
      </c>
      <c r="AK3278" s="201">
        <f t="shared" si="978"/>
        <v>0.11914062257814291</v>
      </c>
      <c r="AL3278" s="22"/>
      <c r="AM3278" s="22"/>
      <c r="AN3278" s="22"/>
      <c r="AO3278" s="22"/>
      <c r="AP3278" s="28" t="str">
        <f t="shared" si="979"/>
        <v>CancelCancel</v>
      </c>
      <c r="AQ3278" s="28" t="str">
        <f t="shared" si="980"/>
        <v>CancelCancelRMB</v>
      </c>
      <c r="AR3278" s="206" t="str">
        <f t="shared" si="981"/>
        <v>YAMAHA_Mounter</v>
      </c>
      <c r="AS3278" s="22" t="str">
        <f t="shared" si="982"/>
        <v/>
      </c>
      <c r="AT3278" s="24" t="str">
        <f t="shared" si="983"/>
        <v/>
      </c>
      <c r="AU3278" s="22" t="s">
        <v>3240</v>
      </c>
    </row>
    <row r="3279" spans="1:47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966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967"/>
        <v>575200</v>
      </c>
      <c r="AA3279" s="13">
        <v>1.095</v>
      </c>
      <c r="AB3279" s="21">
        <f t="shared" si="969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1"/>
        <v>35384300.169380538</v>
      </c>
      <c r="AJ3279" s="19">
        <f t="shared" si="972"/>
        <v>5044538.8896988509</v>
      </c>
      <c r="AK3279" s="20">
        <f t="shared" si="978"/>
        <v>0.14256432557804533</v>
      </c>
      <c r="AL3279" s="17"/>
      <c r="AM3279" s="17"/>
      <c r="AN3279" s="17"/>
      <c r="AO3279" s="17"/>
      <c r="AP3279" s="28" t="str">
        <f t="shared" si="979"/>
        <v>20207</v>
      </c>
      <c r="AQ3279" s="28" t="str">
        <f t="shared" si="980"/>
        <v>20207RMB</v>
      </c>
      <c r="AR3279" s="206" t="str">
        <f t="shared" si="981"/>
        <v>YAMAHA_Mounter</v>
      </c>
      <c r="AS3279" s="22">
        <f t="shared" si="982"/>
        <v>0</v>
      </c>
      <c r="AT3279" s="24" t="str">
        <f t="shared" si="983"/>
        <v>0-3 months</v>
      </c>
      <c r="AU3279" s="22" t="s">
        <v>3743</v>
      </c>
    </row>
    <row r="3280" spans="1:47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966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967"/>
        <v>773800</v>
      </c>
      <c r="AA3280" s="13">
        <v>1.1299999999999999</v>
      </c>
      <c r="AB3280" s="21">
        <f t="shared" si="969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1"/>
        <v>47907808.356810622</v>
      </c>
      <c r="AJ3280" s="19">
        <f t="shared" si="972"/>
        <v>6027384.8806384448</v>
      </c>
      <c r="AK3280" s="20">
        <f t="shared" si="978"/>
        <v>0.12581216063459488</v>
      </c>
      <c r="AL3280" s="17"/>
      <c r="AM3280" s="17"/>
      <c r="AN3280" s="17"/>
      <c r="AO3280" s="17"/>
      <c r="AP3280" s="28" t="str">
        <f t="shared" si="979"/>
        <v>20209</v>
      </c>
      <c r="AQ3280" s="28" t="str">
        <f t="shared" si="980"/>
        <v>20209RMB</v>
      </c>
      <c r="AR3280" s="206" t="str">
        <f t="shared" si="981"/>
        <v>YAMAHA_Mounter</v>
      </c>
      <c r="AS3280" s="22">
        <f t="shared" si="982"/>
        <v>1</v>
      </c>
      <c r="AT3280" s="24" t="str">
        <f t="shared" si="983"/>
        <v>0-3 months</v>
      </c>
      <c r="AU3280" s="22" t="s">
        <v>3240</v>
      </c>
    </row>
    <row r="3281" spans="1:47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966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967"/>
        <v>966000</v>
      </c>
      <c r="AA3281" s="13">
        <v>1.1299999999999999</v>
      </c>
      <c r="AB3281" s="21">
        <f t="shared" si="969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1"/>
        <v>47907808.356810622</v>
      </c>
      <c r="AJ3281" s="19">
        <f t="shared" si="972"/>
        <v>6027384.8806384448</v>
      </c>
      <c r="AK3281" s="20">
        <f t="shared" si="978"/>
        <v>0.12581216063459488</v>
      </c>
      <c r="AL3281" s="17"/>
      <c r="AM3281" s="17"/>
      <c r="AN3281" s="17"/>
      <c r="AO3281" s="17"/>
      <c r="AP3281" s="28" t="str">
        <f t="shared" si="979"/>
        <v>20209</v>
      </c>
      <c r="AQ3281" s="28" t="str">
        <f t="shared" si="980"/>
        <v>20209RMB</v>
      </c>
      <c r="AR3281" s="206" t="str">
        <f t="shared" si="981"/>
        <v>YAMAHA_Mounter</v>
      </c>
      <c r="AS3281" s="22">
        <f t="shared" si="982"/>
        <v>1</v>
      </c>
      <c r="AT3281" s="24" t="str">
        <f t="shared" si="983"/>
        <v>0-3 months</v>
      </c>
      <c r="AU3281" s="22" t="s">
        <v>3240</v>
      </c>
    </row>
    <row r="3282" spans="1:47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966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967"/>
        <v>260200</v>
      </c>
      <c r="AA3282" s="13">
        <v>1.1299999999999999</v>
      </c>
      <c r="AB3282" s="21">
        <f t="shared" si="969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1"/>
        <v>47907808.356810622</v>
      </c>
      <c r="AJ3282" s="19">
        <f t="shared" si="972"/>
        <v>6027384.8806384448</v>
      </c>
      <c r="AK3282" s="20">
        <f t="shared" si="978"/>
        <v>0.12581216063459488</v>
      </c>
      <c r="AL3282" s="17"/>
      <c r="AM3282" s="17"/>
      <c r="AN3282" s="17"/>
      <c r="AO3282" s="17"/>
      <c r="AP3282" s="28" t="str">
        <f t="shared" si="979"/>
        <v>20209</v>
      </c>
      <c r="AQ3282" s="28" t="str">
        <f t="shared" si="980"/>
        <v>20209RMB</v>
      </c>
      <c r="AR3282" s="206" t="str">
        <f t="shared" si="981"/>
        <v>LOCAL SUPPLIER</v>
      </c>
      <c r="AS3282" s="22">
        <f t="shared" si="982"/>
        <v>1</v>
      </c>
      <c r="AT3282" s="24" t="str">
        <f t="shared" si="983"/>
        <v>0-3 months</v>
      </c>
      <c r="AU3282" s="22" t="s">
        <v>3240</v>
      </c>
    </row>
    <row r="3283" spans="1:47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966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967"/>
        <v>670000</v>
      </c>
      <c r="AA3283" s="13">
        <v>1.095</v>
      </c>
      <c r="AB3283" s="21">
        <f t="shared" si="969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1"/>
        <v>28065694.408805311</v>
      </c>
      <c r="AJ3283" s="19">
        <f t="shared" si="972"/>
        <v>4157433.2906989697</v>
      </c>
      <c r="AK3283" s="20">
        <f t="shared" si="978"/>
        <v>0.14813220831602228</v>
      </c>
      <c r="AL3283" s="17"/>
      <c r="AM3283" s="17"/>
      <c r="AN3283" s="17"/>
      <c r="AO3283" s="17"/>
      <c r="AP3283" s="28" t="str">
        <f t="shared" si="979"/>
        <v>20205</v>
      </c>
      <c r="AQ3283" s="28" t="str">
        <f t="shared" si="980"/>
        <v>20205RMB</v>
      </c>
      <c r="AR3283" s="206" t="str">
        <f t="shared" si="981"/>
        <v>YAMAHA_Mounter</v>
      </c>
      <c r="AS3283" s="22">
        <f t="shared" si="982"/>
        <v>1</v>
      </c>
      <c r="AT3283" s="24" t="str">
        <f t="shared" si="983"/>
        <v>0-3 months</v>
      </c>
      <c r="AU3283" s="22" t="s">
        <v>3240</v>
      </c>
    </row>
    <row r="3284" spans="1:47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966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985">IF(W3284="RMB","1.13", "1")</f>
        <v>1.13</v>
      </c>
      <c r="Z3284" s="18">
        <f t="shared" si="967"/>
        <v>1150000</v>
      </c>
      <c r="AA3284" s="13">
        <v>1.105</v>
      </c>
      <c r="AB3284" s="21">
        <f t="shared" si="969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1"/>
        <v>13640480.497522123</v>
      </c>
      <c r="AJ3284" s="19">
        <f t="shared" si="972"/>
        <v>1928605.8020906283</v>
      </c>
      <c r="AK3284" s="20">
        <f t="shared" si="978"/>
        <v>0.1413884065477731</v>
      </c>
      <c r="AL3284" s="17"/>
      <c r="AM3284" s="17"/>
      <c r="AN3284" s="17"/>
      <c r="AO3284" s="17"/>
      <c r="AP3284" s="28" t="str">
        <f t="shared" si="979"/>
        <v>20236</v>
      </c>
      <c r="AQ3284" s="28" t="str">
        <f t="shared" si="980"/>
        <v>20236RMB</v>
      </c>
      <c r="AR3284" s="206" t="str">
        <f t="shared" si="981"/>
        <v>YAMAHA_Mounter</v>
      </c>
      <c r="AS3284" s="22">
        <f t="shared" si="982"/>
        <v>4</v>
      </c>
      <c r="AT3284" s="24" t="str">
        <f t="shared" si="983"/>
        <v>4-6 months</v>
      </c>
      <c r="AU3284" s="22" t="s">
        <v>3240</v>
      </c>
    </row>
    <row r="3285" spans="1:47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966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985"/>
        <v>1</v>
      </c>
      <c r="Z3285" s="18">
        <f t="shared" si="967"/>
        <v>13220000</v>
      </c>
      <c r="AA3285" s="13">
        <v>6.2799999999999995E-2</v>
      </c>
      <c r="AB3285" s="21">
        <f t="shared" si="969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1"/>
        <v>44014086.982070789</v>
      </c>
      <c r="AJ3285" s="19">
        <f t="shared" si="972"/>
        <v>6419974.0221889298</v>
      </c>
      <c r="AK3285" s="20">
        <f t="shared" si="978"/>
        <v>0.14586180158193709</v>
      </c>
      <c r="AL3285" s="17"/>
      <c r="AM3285" s="17"/>
      <c r="AN3285" s="17"/>
      <c r="AO3285" s="17"/>
      <c r="AP3285" s="28" t="str">
        <f t="shared" si="979"/>
        <v>20225</v>
      </c>
      <c r="AQ3285" s="28" t="str">
        <f t="shared" si="980"/>
        <v>20225JPY</v>
      </c>
      <c r="AR3285" s="206" t="str">
        <f t="shared" si="981"/>
        <v>YAMAHA_Mounter</v>
      </c>
      <c r="AS3285" s="22">
        <f t="shared" si="982"/>
        <v>5</v>
      </c>
      <c r="AT3285" s="24" t="str">
        <f t="shared" si="983"/>
        <v>4-6 months</v>
      </c>
      <c r="AU3285" s="22" t="s">
        <v>3744</v>
      </c>
    </row>
    <row r="3286" spans="1:47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986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985"/>
        <v>1</v>
      </c>
      <c r="Z3286" s="18">
        <f t="shared" si="967"/>
        <v>13220000</v>
      </c>
      <c r="AA3286" s="13">
        <v>6.2799999999999995E-2</v>
      </c>
      <c r="AB3286" s="21">
        <f t="shared" si="969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1"/>
        <v>44014086.982070789</v>
      </c>
      <c r="AJ3286" s="19">
        <f t="shared" si="972"/>
        <v>6419974.0221889298</v>
      </c>
      <c r="AK3286" s="20">
        <f t="shared" si="978"/>
        <v>0.14586180158193709</v>
      </c>
      <c r="AL3286" s="17"/>
      <c r="AM3286" s="17"/>
      <c r="AN3286" s="17"/>
      <c r="AO3286" s="17"/>
      <c r="AP3286" s="28" t="str">
        <f t="shared" si="979"/>
        <v>20225</v>
      </c>
      <c r="AQ3286" s="28" t="str">
        <f t="shared" si="980"/>
        <v>20225JPY</v>
      </c>
      <c r="AR3286" s="206" t="str">
        <f t="shared" si="981"/>
        <v>YAMAHA_Mounter</v>
      </c>
      <c r="AS3286" s="22">
        <f t="shared" si="982"/>
        <v>5</v>
      </c>
      <c r="AT3286" s="24" t="str">
        <f t="shared" si="983"/>
        <v>4-6 months</v>
      </c>
      <c r="AU3286" s="22" t="s">
        <v>3744</v>
      </c>
    </row>
    <row r="3287" spans="1:47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986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985"/>
        <v>1</v>
      </c>
      <c r="Z3287" s="18">
        <f t="shared" si="967"/>
        <v>13220000</v>
      </c>
      <c r="AA3287" s="13">
        <v>6.2799999999999995E-2</v>
      </c>
      <c r="AB3287" s="21">
        <f t="shared" si="969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1"/>
        <v>44014086.982070789</v>
      </c>
      <c r="AJ3287" s="19">
        <f t="shared" si="972"/>
        <v>6419974.0221889298</v>
      </c>
      <c r="AK3287" s="20">
        <f t="shared" si="978"/>
        <v>0.14586180158193709</v>
      </c>
      <c r="AL3287" s="17"/>
      <c r="AM3287" s="17"/>
      <c r="AN3287" s="17"/>
      <c r="AO3287" s="17"/>
      <c r="AP3287" s="28" t="str">
        <f t="shared" si="979"/>
        <v>20225</v>
      </c>
      <c r="AQ3287" s="28" t="str">
        <f t="shared" si="980"/>
        <v>20225JPY</v>
      </c>
      <c r="AR3287" s="206" t="str">
        <f t="shared" si="981"/>
        <v>YAMAHA_Mounter</v>
      </c>
      <c r="AS3287" s="22">
        <f t="shared" si="982"/>
        <v>5</v>
      </c>
      <c r="AT3287" s="24" t="str">
        <f t="shared" si="983"/>
        <v>4-6 months</v>
      </c>
      <c r="AU3287" s="22" t="s">
        <v>3744</v>
      </c>
    </row>
    <row r="3288" spans="1:47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986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985"/>
        <v>1</v>
      </c>
      <c r="Z3288" s="18">
        <f t="shared" si="967"/>
        <v>13220000</v>
      </c>
      <c r="AA3288" s="13">
        <v>6.2799999999999995E-2</v>
      </c>
      <c r="AB3288" s="21">
        <f t="shared" si="969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1"/>
        <v>44014086.982070789</v>
      </c>
      <c r="AJ3288" s="19">
        <f t="shared" si="972"/>
        <v>6419974.0221889298</v>
      </c>
      <c r="AK3288" s="20">
        <f t="shared" si="978"/>
        <v>0.14586180158193709</v>
      </c>
      <c r="AL3288" s="17"/>
      <c r="AM3288" s="17"/>
      <c r="AN3288" s="17"/>
      <c r="AO3288" s="17"/>
      <c r="AP3288" s="28" t="str">
        <f t="shared" si="979"/>
        <v>20225</v>
      </c>
      <c r="AQ3288" s="28" t="str">
        <f t="shared" si="980"/>
        <v>20225JPY</v>
      </c>
      <c r="AR3288" s="206" t="str">
        <f t="shared" si="981"/>
        <v>YAMAHA_Mounter</v>
      </c>
      <c r="AS3288" s="22">
        <f t="shared" si="982"/>
        <v>5</v>
      </c>
      <c r="AT3288" s="24" t="str">
        <f t="shared" si="983"/>
        <v>4-6 months</v>
      </c>
      <c r="AU3288" s="22" t="s">
        <v>3744</v>
      </c>
    </row>
    <row r="3289" spans="1:47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986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985"/>
        <v>1.13</v>
      </c>
      <c r="Z3289" s="18">
        <f t="shared" si="967"/>
        <v>776666</v>
      </c>
      <c r="AA3289" s="13">
        <v>1.1599999999999999</v>
      </c>
      <c r="AB3289" s="21">
        <f t="shared" si="969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1"/>
        <v>21045012.884955753</v>
      </c>
      <c r="AJ3289" s="19">
        <f t="shared" si="972"/>
        <v>2650260.9603327443</v>
      </c>
      <c r="AK3289" s="20">
        <f t="shared" si="978"/>
        <v>0.12593296924172048</v>
      </c>
      <c r="AL3289" s="17"/>
      <c r="AM3289" s="17"/>
      <c r="AN3289" s="17"/>
      <c r="AO3289" s="17" t="s">
        <v>2411</v>
      </c>
      <c r="AP3289" s="28" t="str">
        <f t="shared" si="979"/>
        <v>20232</v>
      </c>
      <c r="AQ3289" s="28" t="str">
        <f t="shared" si="980"/>
        <v>20232RMB</v>
      </c>
      <c r="AR3289" s="206" t="str">
        <f t="shared" si="981"/>
        <v>YAMAHA_Mounter</v>
      </c>
      <c r="AS3289" s="22">
        <f t="shared" si="982"/>
        <v>1</v>
      </c>
      <c r="AT3289" s="24" t="str">
        <f t="shared" si="983"/>
        <v>0-3 months</v>
      </c>
      <c r="AU3289" s="22" t="s">
        <v>3750</v>
      </c>
    </row>
    <row r="3290" spans="1:47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986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985"/>
        <v>1.13</v>
      </c>
      <c r="Z3290" s="18">
        <f t="shared" si="967"/>
        <v>776666</v>
      </c>
      <c r="AA3290" s="13">
        <v>1.1599999999999999</v>
      </c>
      <c r="AB3290" s="21">
        <f t="shared" si="969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1"/>
        <v>21045012.884955753</v>
      </c>
      <c r="AJ3290" s="19">
        <f t="shared" si="972"/>
        <v>2650260.9603327443</v>
      </c>
      <c r="AK3290" s="20">
        <f t="shared" si="978"/>
        <v>0.12593296924172048</v>
      </c>
      <c r="AL3290" s="17"/>
      <c r="AM3290" s="17"/>
      <c r="AN3290" s="17"/>
      <c r="AO3290" s="17" t="s">
        <v>2411</v>
      </c>
      <c r="AP3290" s="28" t="str">
        <f t="shared" si="979"/>
        <v>20232</v>
      </c>
      <c r="AQ3290" s="28" t="str">
        <f t="shared" si="980"/>
        <v>20232RMB</v>
      </c>
      <c r="AR3290" s="206" t="str">
        <f t="shared" si="981"/>
        <v>YAMAHA_Mounter</v>
      </c>
      <c r="AS3290" s="22">
        <f t="shared" si="982"/>
        <v>1</v>
      </c>
      <c r="AT3290" s="24" t="str">
        <f t="shared" si="983"/>
        <v>0-3 months</v>
      </c>
      <c r="AU3290" s="22" t="s">
        <v>3750</v>
      </c>
    </row>
    <row r="3291" spans="1:47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986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985"/>
        <v>1.13</v>
      </c>
      <c r="Z3291" s="18">
        <f t="shared" si="967"/>
        <v>776666</v>
      </c>
      <c r="AA3291" s="13">
        <v>1.1599999999999999</v>
      </c>
      <c r="AB3291" s="21">
        <f t="shared" si="969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1"/>
        <v>21045012.884955753</v>
      </c>
      <c r="AJ3291" s="19">
        <f t="shared" si="972"/>
        <v>2650260.9603327443</v>
      </c>
      <c r="AK3291" s="20">
        <f t="shared" si="978"/>
        <v>0.12593296924172048</v>
      </c>
      <c r="AL3291" s="17"/>
      <c r="AM3291" s="17"/>
      <c r="AN3291" s="17"/>
      <c r="AO3291" s="17" t="s">
        <v>2411</v>
      </c>
      <c r="AP3291" s="28" t="str">
        <f t="shared" si="979"/>
        <v>20232</v>
      </c>
      <c r="AQ3291" s="28" t="str">
        <f t="shared" si="980"/>
        <v>20232RMB</v>
      </c>
      <c r="AR3291" s="206" t="str">
        <f t="shared" si="981"/>
        <v>YAMAHA_Mounter</v>
      </c>
      <c r="AS3291" s="22">
        <f t="shared" si="982"/>
        <v>1</v>
      </c>
      <c r="AT3291" s="24" t="str">
        <f t="shared" si="983"/>
        <v>0-3 months</v>
      </c>
      <c r="AU3291" s="22" t="s">
        <v>3750</v>
      </c>
    </row>
    <row r="3292" spans="1:47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986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985"/>
        <v>1.13</v>
      </c>
      <c r="Z3292" s="18">
        <f t="shared" si="967"/>
        <v>906000</v>
      </c>
      <c r="AA3292" s="13">
        <v>1.2</v>
      </c>
      <c r="AB3292" s="21">
        <f t="shared" si="969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1"/>
        <v>47458373.787610628</v>
      </c>
      <c r="AJ3292" s="19">
        <f t="shared" si="972"/>
        <v>7436880.1411522133</v>
      </c>
      <c r="AK3292" s="20">
        <f t="shared" si="978"/>
        <v>0.15670322321692506</v>
      </c>
      <c r="AL3292" s="17"/>
      <c r="AM3292" s="17"/>
      <c r="AN3292" s="17"/>
      <c r="AO3292" s="17"/>
      <c r="AP3292" s="28" t="str">
        <f t="shared" si="979"/>
        <v>20218</v>
      </c>
      <c r="AQ3292" s="28" t="str">
        <f t="shared" si="980"/>
        <v>20218RMB</v>
      </c>
      <c r="AR3292" s="206" t="str">
        <f t="shared" si="981"/>
        <v>YAMAHA_Mounter</v>
      </c>
      <c r="AS3292" s="22">
        <f t="shared" si="982"/>
        <v>4</v>
      </c>
      <c r="AT3292" s="24" t="str">
        <f t="shared" si="983"/>
        <v>4-6 months</v>
      </c>
      <c r="AU3292" s="22" t="s">
        <v>3750</v>
      </c>
    </row>
    <row r="3293" spans="1:47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986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985"/>
        <v>1.13</v>
      </c>
      <c r="Z3293" s="18">
        <f t="shared" si="967"/>
        <v>400000</v>
      </c>
      <c r="AA3293" s="13">
        <v>1.1299999999999999</v>
      </c>
      <c r="AB3293" s="21">
        <f t="shared" si="969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1"/>
        <v>47907808.356810622</v>
      </c>
      <c r="AJ3293" s="19">
        <f t="shared" si="972"/>
        <v>6027384.8806384448</v>
      </c>
      <c r="AK3293" s="20">
        <f t="shared" si="978"/>
        <v>0.12581216063459488</v>
      </c>
      <c r="AL3293" s="17"/>
      <c r="AM3293" s="17"/>
      <c r="AN3293" s="17"/>
      <c r="AO3293" s="17"/>
      <c r="AP3293" s="28" t="str">
        <f t="shared" si="979"/>
        <v>20209</v>
      </c>
      <c r="AQ3293" s="28" t="str">
        <f t="shared" si="980"/>
        <v>20209RMB</v>
      </c>
      <c r="AR3293" s="206" t="str">
        <f t="shared" si="981"/>
        <v>SHIMADZU</v>
      </c>
      <c r="AS3293" s="22">
        <f t="shared" si="982"/>
        <v>2</v>
      </c>
      <c r="AT3293" s="24" t="str">
        <f t="shared" si="983"/>
        <v>0-3 months</v>
      </c>
      <c r="AU3293" s="22" t="s">
        <v>3743</v>
      </c>
    </row>
    <row r="3294" spans="1:47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986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985"/>
        <v>1.13</v>
      </c>
      <c r="Z3294" s="18">
        <f t="shared" ref="Z3294:Z3357" si="987">IF(X3294="","",X3294*MAX(O3294,N3294))</f>
        <v>1400000</v>
      </c>
      <c r="AA3294" s="13">
        <v>1.1299999999999999</v>
      </c>
      <c r="AB3294" s="21">
        <f t="shared" si="969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1"/>
        <v>47907808.356810622</v>
      </c>
      <c r="AJ3294" s="19">
        <f t="shared" si="972"/>
        <v>6027384.8806384448</v>
      </c>
      <c r="AK3294" s="20">
        <f t="shared" si="978"/>
        <v>0.12581216063459488</v>
      </c>
      <c r="AL3294" s="17"/>
      <c r="AM3294" s="17"/>
      <c r="AN3294" s="17"/>
      <c r="AO3294" s="17"/>
      <c r="AP3294" s="28" t="str">
        <f t="shared" si="979"/>
        <v>20209</v>
      </c>
      <c r="AQ3294" s="28" t="str">
        <f t="shared" si="980"/>
        <v>20209RMB</v>
      </c>
      <c r="AR3294" s="206" t="str">
        <f t="shared" si="981"/>
        <v>SHIMADZU</v>
      </c>
      <c r="AS3294" s="22">
        <f t="shared" si="982"/>
        <v>2</v>
      </c>
      <c r="AT3294" s="24" t="str">
        <f t="shared" si="983"/>
        <v>0-3 months</v>
      </c>
      <c r="AU3294" s="22" t="s">
        <v>3743</v>
      </c>
    </row>
    <row r="3295" spans="1:47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986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987"/>
        <v>1050000</v>
      </c>
      <c r="AA3295" s="13">
        <v>1.095</v>
      </c>
      <c r="AB3295" s="21">
        <f t="shared" si="969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1"/>
        <v>28065694.408805311</v>
      </c>
      <c r="AJ3295" s="19">
        <f t="shared" si="972"/>
        <v>4157433.2906989697</v>
      </c>
      <c r="AK3295" s="20">
        <f t="shared" si="978"/>
        <v>0.14813220831602228</v>
      </c>
      <c r="AL3295" s="17"/>
      <c r="AM3295" s="17"/>
      <c r="AN3295" s="17"/>
      <c r="AO3295" s="17" t="s">
        <v>1286</v>
      </c>
      <c r="AP3295" s="28" t="str">
        <f t="shared" si="979"/>
        <v>20205</v>
      </c>
      <c r="AQ3295" s="28" t="str">
        <f t="shared" si="980"/>
        <v>20205RMB</v>
      </c>
      <c r="AR3295" s="206" t="str">
        <f t="shared" si="981"/>
        <v>YAMAHA_Mounter</v>
      </c>
      <c r="AS3295" s="22">
        <f t="shared" si="982"/>
        <v>1</v>
      </c>
      <c r="AT3295" s="24" t="str">
        <f t="shared" si="983"/>
        <v>0-3 months</v>
      </c>
      <c r="AU3295" s="22" t="s">
        <v>3743</v>
      </c>
    </row>
    <row r="3296" spans="1:47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986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987"/>
        <v>700000</v>
      </c>
      <c r="AA3296" s="13">
        <v>1.095</v>
      </c>
      <c r="AB3296" s="21">
        <f t="shared" si="969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1"/>
        <v>28065694.408805311</v>
      </c>
      <c r="AJ3296" s="19">
        <f t="shared" si="972"/>
        <v>4157433.2906989697</v>
      </c>
      <c r="AK3296" s="20">
        <f t="shared" si="978"/>
        <v>0.14813220831602228</v>
      </c>
      <c r="AL3296" s="17"/>
      <c r="AM3296" s="17"/>
      <c r="AN3296" s="17"/>
      <c r="AO3296" s="17" t="s">
        <v>1286</v>
      </c>
      <c r="AP3296" s="28" t="str">
        <f t="shared" si="979"/>
        <v>20205</v>
      </c>
      <c r="AQ3296" s="28" t="str">
        <f t="shared" si="980"/>
        <v>20205RMB</v>
      </c>
      <c r="AR3296" s="206" t="str">
        <f t="shared" si="981"/>
        <v>YAMAHA_Mounter</v>
      </c>
      <c r="AS3296" s="22">
        <f t="shared" si="982"/>
        <v>1</v>
      </c>
      <c r="AT3296" s="24" t="str">
        <f t="shared" si="983"/>
        <v>0-3 months</v>
      </c>
      <c r="AU3296" s="22" t="s">
        <v>3743</v>
      </c>
    </row>
    <row r="3297" spans="1:47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986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987"/>
        <v>14000000</v>
      </c>
      <c r="AA3297" s="13">
        <v>7.4899999999999994E-2</v>
      </c>
      <c r="AB3297" s="21">
        <f t="shared" si="969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1"/>
        <v>47907808.356810622</v>
      </c>
      <c r="AJ3297" s="19">
        <f t="shared" si="972"/>
        <v>6027384.8806384448</v>
      </c>
      <c r="AK3297" s="20">
        <f t="shared" si="978"/>
        <v>0.12581216063459488</v>
      </c>
      <c r="AL3297" s="17"/>
      <c r="AM3297" s="17"/>
      <c r="AN3297" s="17"/>
      <c r="AO3297" s="17"/>
      <c r="AP3297" s="28" t="str">
        <f t="shared" si="979"/>
        <v>20209</v>
      </c>
      <c r="AQ3297" s="28" t="str">
        <f t="shared" si="980"/>
        <v>20209JPY</v>
      </c>
      <c r="AR3297" s="206" t="str">
        <f t="shared" si="981"/>
        <v>YAMAHA_Mounter</v>
      </c>
      <c r="AS3297" s="22">
        <f t="shared" si="982"/>
        <v>2</v>
      </c>
      <c r="AT3297" s="24" t="str">
        <f t="shared" si="983"/>
        <v>0-3 months</v>
      </c>
      <c r="AU3297" s="22" t="s">
        <v>3745</v>
      </c>
    </row>
    <row r="3298" spans="1:47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986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987"/>
        <v>10000000</v>
      </c>
      <c r="AA3298" s="13">
        <v>7.4899999999999994E-2</v>
      </c>
      <c r="AB3298" s="21">
        <f t="shared" si="969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1"/>
        <v>47907808.356810622</v>
      </c>
      <c r="AJ3298" s="19">
        <f t="shared" si="972"/>
        <v>6027384.8806384448</v>
      </c>
      <c r="AK3298" s="20">
        <f t="shared" si="978"/>
        <v>0.12581216063459488</v>
      </c>
      <c r="AL3298" s="17"/>
      <c r="AM3298" s="17"/>
      <c r="AN3298" s="17"/>
      <c r="AO3298" s="17"/>
      <c r="AP3298" s="28" t="str">
        <f t="shared" si="979"/>
        <v>20209</v>
      </c>
      <c r="AQ3298" s="28" t="str">
        <f t="shared" si="980"/>
        <v>20209JPY</v>
      </c>
      <c r="AR3298" s="206" t="str">
        <f t="shared" si="981"/>
        <v>YAMAHA_Mounter</v>
      </c>
      <c r="AS3298" s="22">
        <f t="shared" si="982"/>
        <v>2</v>
      </c>
      <c r="AT3298" s="24" t="str">
        <f t="shared" si="983"/>
        <v>0-3 months</v>
      </c>
      <c r="AU3298" s="22" t="s">
        <v>3745</v>
      </c>
    </row>
    <row r="3299" spans="1:47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986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987"/>
        <v>12545000</v>
      </c>
      <c r="AA3299" s="13">
        <v>7.4899999999999994E-2</v>
      </c>
      <c r="AB3299" s="21">
        <f t="shared" si="969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1"/>
        <v>47907808.356810622</v>
      </c>
      <c r="AJ3299" s="19">
        <f t="shared" si="972"/>
        <v>6027384.8806384448</v>
      </c>
      <c r="AK3299" s="20">
        <f t="shared" si="978"/>
        <v>0.12581216063459488</v>
      </c>
      <c r="AL3299" s="17"/>
      <c r="AM3299" s="17"/>
      <c r="AN3299" s="17"/>
      <c r="AO3299" s="17"/>
      <c r="AP3299" s="28" t="str">
        <f t="shared" si="979"/>
        <v>20209</v>
      </c>
      <c r="AQ3299" s="28" t="str">
        <f t="shared" si="980"/>
        <v>20209JPY</v>
      </c>
      <c r="AR3299" s="206" t="str">
        <f t="shared" si="981"/>
        <v>YAMAHA_Mounter</v>
      </c>
      <c r="AS3299" s="22">
        <f t="shared" si="982"/>
        <v>1</v>
      </c>
      <c r="AT3299" s="24" t="str">
        <f t="shared" si="983"/>
        <v>0-3 months</v>
      </c>
      <c r="AU3299" s="22" t="s">
        <v>3744</v>
      </c>
    </row>
    <row r="3300" spans="1:47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986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987"/>
        <v>12000000</v>
      </c>
      <c r="AA3300" s="13">
        <v>7.5700000000000003E-2</v>
      </c>
      <c r="AB3300" s="21">
        <f t="shared" si="969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1"/>
        <v>31097187.02948761</v>
      </c>
      <c r="AJ3300" s="19">
        <f t="shared" si="972"/>
        <v>3892353.6644401965</v>
      </c>
      <c r="AK3300" s="20">
        <f t="shared" si="978"/>
        <v>0.12516738767237401</v>
      </c>
      <c r="AL3300" s="17"/>
      <c r="AM3300" s="17"/>
      <c r="AN3300" s="17"/>
      <c r="AO3300" s="17"/>
      <c r="AP3300" s="28" t="str">
        <f t="shared" si="979"/>
        <v>20212</v>
      </c>
      <c r="AQ3300" s="28" t="str">
        <f t="shared" si="980"/>
        <v>20212JPY</v>
      </c>
      <c r="AR3300" s="206" t="str">
        <f t="shared" si="981"/>
        <v>YAMAHA_Mounter</v>
      </c>
      <c r="AS3300" s="22">
        <f t="shared" si="982"/>
        <v>3</v>
      </c>
      <c r="AT3300" s="24" t="str">
        <f t="shared" si="983"/>
        <v>0-3 months</v>
      </c>
      <c r="AU3300" s="22" t="s">
        <v>3744</v>
      </c>
    </row>
    <row r="3301" spans="1:47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986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987"/>
        <v>12660000</v>
      </c>
      <c r="AA3301" s="22">
        <v>5.4100000000000002E-2</v>
      </c>
      <c r="AB3301" s="21">
        <f t="shared" si="969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1"/>
        <v>10524262.405309737</v>
      </c>
      <c r="AJ3301" s="27">
        <f t="shared" si="972"/>
        <v>1479050.9527127435</v>
      </c>
      <c r="AK3301" s="28">
        <f t="shared" si="978"/>
        <v>0.14053725532028996</v>
      </c>
      <c r="AL3301" s="24"/>
      <c r="AM3301" s="24"/>
      <c r="AN3301" s="24"/>
      <c r="AO3301" s="24"/>
      <c r="AP3301" s="28" t="str">
        <f t="shared" si="979"/>
        <v>20242</v>
      </c>
      <c r="AQ3301" s="28" t="str">
        <f t="shared" si="980"/>
        <v>20242JPY</v>
      </c>
      <c r="AR3301" s="206" t="str">
        <f t="shared" si="981"/>
        <v>YAMAHA_Mounter</v>
      </c>
      <c r="AS3301" s="22">
        <f t="shared" si="982"/>
        <v>1</v>
      </c>
      <c r="AT3301" s="24" t="str">
        <f t="shared" si="983"/>
        <v>0-3 months</v>
      </c>
      <c r="AU3301" s="22" t="s">
        <v>3744</v>
      </c>
    </row>
    <row r="3302" spans="1:47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986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987"/>
        <v>735998</v>
      </c>
      <c r="AA3302" s="22">
        <v>1.08</v>
      </c>
      <c r="AB3302" s="197">
        <f t="shared" si="969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1"/>
        <v>25354039.366920356</v>
      </c>
      <c r="AJ3302" s="200">
        <f t="shared" si="972"/>
        <v>3028631.2816309328</v>
      </c>
      <c r="AK3302" s="201">
        <f t="shared" si="978"/>
        <v>0.11945360018579192</v>
      </c>
      <c r="AL3302" s="24"/>
      <c r="AM3302" s="24"/>
      <c r="AN3302" s="24"/>
      <c r="AO3302" s="24"/>
      <c r="AP3302" s="105" t="str">
        <f t="shared" si="979"/>
        <v>20248</v>
      </c>
      <c r="AQ3302" s="28" t="str">
        <f t="shared" si="980"/>
        <v>20248RMB</v>
      </c>
      <c r="AR3302" s="206" t="str">
        <f t="shared" si="981"/>
        <v>YAMAHA_Mounter</v>
      </c>
      <c r="AS3302" s="22">
        <f t="shared" si="982"/>
        <v>2</v>
      </c>
      <c r="AT3302" s="24" t="str">
        <f t="shared" si="983"/>
        <v>0-3 months</v>
      </c>
      <c r="AU3302" s="22" t="s">
        <v>3240</v>
      </c>
    </row>
    <row r="3303" spans="1:47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986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987"/>
        <v>982000</v>
      </c>
      <c r="AA3303" s="13">
        <v>1.135</v>
      </c>
      <c r="AB3303" s="21">
        <f t="shared" si="969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1"/>
        <v>28011162.254106201</v>
      </c>
      <c r="AJ3303" s="19">
        <f t="shared" si="972"/>
        <v>3401347.1124888416</v>
      </c>
      <c r="AK3303" s="20">
        <f t="shared" si="978"/>
        <v>0.12142827497242578</v>
      </c>
      <c r="AL3303" s="17"/>
      <c r="AM3303" s="17"/>
      <c r="AN3303" s="17"/>
      <c r="AO3303" s="17"/>
      <c r="AP3303" s="28" t="str">
        <f t="shared" si="979"/>
        <v>202010</v>
      </c>
      <c r="AQ3303" s="28" t="str">
        <f t="shared" si="980"/>
        <v>202010RMB</v>
      </c>
      <c r="AR3303" s="206" t="str">
        <f t="shared" si="981"/>
        <v>YAMAHA_Mounter</v>
      </c>
      <c r="AS3303" s="22">
        <f t="shared" si="982"/>
        <v>1</v>
      </c>
      <c r="AT3303" s="24" t="str">
        <f t="shared" si="983"/>
        <v>0-3 months</v>
      </c>
      <c r="AU3303" s="22" t="s">
        <v>3743</v>
      </c>
    </row>
    <row r="3304" spans="1:47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986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987"/>
        <v>15000000</v>
      </c>
      <c r="AA3304" s="13">
        <v>7.2300000000000003E-2</v>
      </c>
      <c r="AB3304" s="21">
        <f t="shared" si="969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1"/>
        <v>32843736.557277881</v>
      </c>
      <c r="AJ3304" s="19">
        <f t="shared" si="972"/>
        <v>3921470.6822663117</v>
      </c>
      <c r="AK3304" s="20">
        <f t="shared" si="978"/>
        <v>0.11939782416131177</v>
      </c>
      <c r="AL3304" s="17"/>
      <c r="AM3304" s="17"/>
      <c r="AN3304" s="17"/>
      <c r="AO3304" s="17"/>
      <c r="AP3304" s="28" t="str">
        <f t="shared" si="979"/>
        <v>20194</v>
      </c>
      <c r="AQ3304" s="28" t="str">
        <f t="shared" si="980"/>
        <v>20194JPY</v>
      </c>
      <c r="AR3304" s="206" t="str">
        <f t="shared" si="981"/>
        <v>YAMAHA_Mounter</v>
      </c>
      <c r="AS3304" s="22">
        <f t="shared" si="982"/>
        <v>1</v>
      </c>
      <c r="AT3304" s="24" t="str">
        <f t="shared" si="983"/>
        <v>0-3 months</v>
      </c>
      <c r="AU3304" s="22" t="s">
        <v>3744</v>
      </c>
    </row>
    <row r="3305" spans="1:47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986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987"/>
        <v>12000000</v>
      </c>
      <c r="AA3305" s="13">
        <v>7.2300000000000003E-2</v>
      </c>
      <c r="AB3305" s="21">
        <f t="shared" si="969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1"/>
        <v>32843736.557277881</v>
      </c>
      <c r="AJ3305" s="19">
        <f t="shared" si="972"/>
        <v>3921470.6822663117</v>
      </c>
      <c r="AK3305" s="20">
        <f t="shared" si="978"/>
        <v>0.11939782416131177</v>
      </c>
      <c r="AL3305" s="17"/>
      <c r="AM3305" s="17"/>
      <c r="AN3305" s="17"/>
      <c r="AO3305" s="17"/>
      <c r="AP3305" s="28" t="str">
        <f t="shared" si="979"/>
        <v>20194</v>
      </c>
      <c r="AQ3305" s="28" t="str">
        <f t="shared" si="980"/>
        <v>20194JPY</v>
      </c>
      <c r="AR3305" s="206" t="str">
        <f t="shared" si="981"/>
        <v>YAMAHA_Mounter</v>
      </c>
      <c r="AS3305" s="22">
        <f t="shared" si="982"/>
        <v>1</v>
      </c>
      <c r="AT3305" s="24" t="str">
        <f t="shared" si="983"/>
        <v>0-3 months</v>
      </c>
      <c r="AU3305" s="22" t="s">
        <v>3744</v>
      </c>
    </row>
    <row r="3306" spans="1:47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986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987"/>
        <v>15000000</v>
      </c>
      <c r="AA3306" s="13">
        <v>7.2900000000000006E-2</v>
      </c>
      <c r="AB3306" s="21">
        <f t="shared" si="969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1"/>
        <v>27318180.088495575</v>
      </c>
      <c r="AJ3306" s="19">
        <f t="shared" si="972"/>
        <v>3014099.212353982</v>
      </c>
      <c r="AK3306" s="20">
        <f t="shared" si="978"/>
        <v>0.11033308963444827</v>
      </c>
      <c r="AL3306" s="17"/>
      <c r="AM3306" s="17"/>
      <c r="AN3306" s="17"/>
      <c r="AO3306" s="17"/>
      <c r="AP3306" s="28" t="str">
        <f t="shared" si="979"/>
        <v>201912</v>
      </c>
      <c r="AQ3306" s="28" t="str">
        <f t="shared" si="980"/>
        <v>201912JPY</v>
      </c>
      <c r="AR3306" s="206" t="str">
        <f t="shared" si="981"/>
        <v>YAMAHA_Mounter</v>
      </c>
      <c r="AS3306" s="22">
        <f t="shared" si="982"/>
        <v>2</v>
      </c>
      <c r="AT3306" s="24" t="str">
        <f t="shared" si="983"/>
        <v>0-3 months</v>
      </c>
      <c r="AU3306" s="22" t="s">
        <v>3744</v>
      </c>
    </row>
    <row r="3307" spans="1:47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986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987"/>
        <v>15000000</v>
      </c>
      <c r="AA3307" s="13">
        <v>7.2900000000000006E-2</v>
      </c>
      <c r="AB3307" s="21">
        <f t="shared" si="969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1"/>
        <v>27318180.088495575</v>
      </c>
      <c r="AJ3307" s="19">
        <f t="shared" si="972"/>
        <v>3014099.212353982</v>
      </c>
      <c r="AK3307" s="20">
        <f t="shared" si="978"/>
        <v>0.11033308963444827</v>
      </c>
      <c r="AL3307" s="17"/>
      <c r="AM3307" s="17"/>
      <c r="AN3307" s="17"/>
      <c r="AO3307" s="17"/>
      <c r="AP3307" s="28" t="str">
        <f t="shared" si="979"/>
        <v>201912</v>
      </c>
      <c r="AQ3307" s="28" t="str">
        <f t="shared" si="980"/>
        <v>201912JPY</v>
      </c>
      <c r="AR3307" s="206" t="str">
        <f t="shared" si="981"/>
        <v>YAMAHA_Mounter</v>
      </c>
      <c r="AS3307" s="22">
        <f t="shared" si="982"/>
        <v>2</v>
      </c>
      <c r="AT3307" s="24" t="str">
        <f t="shared" si="983"/>
        <v>0-3 months</v>
      </c>
      <c r="AU3307" s="22" t="s">
        <v>3744</v>
      </c>
    </row>
    <row r="3308" spans="1:47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986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987"/>
        <v>12000000</v>
      </c>
      <c r="AA3308" s="13">
        <v>7.2900000000000006E-2</v>
      </c>
      <c r="AB3308" s="21">
        <f t="shared" si="969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1"/>
        <v>27318180.088495575</v>
      </c>
      <c r="AJ3308" s="19">
        <f t="shared" si="972"/>
        <v>3014099.212353982</v>
      </c>
      <c r="AK3308" s="20">
        <f t="shared" si="978"/>
        <v>0.11033308963444827</v>
      </c>
      <c r="AL3308" s="17"/>
      <c r="AM3308" s="17"/>
      <c r="AN3308" s="17"/>
      <c r="AO3308" s="17"/>
      <c r="AP3308" s="28" t="str">
        <f t="shared" si="979"/>
        <v>201912</v>
      </c>
      <c r="AQ3308" s="28" t="str">
        <f t="shared" si="980"/>
        <v>201912JPY</v>
      </c>
      <c r="AR3308" s="206" t="str">
        <f t="shared" si="981"/>
        <v>YAMAHA_Mounter</v>
      </c>
      <c r="AS3308" s="22">
        <f t="shared" si="982"/>
        <v>2</v>
      </c>
      <c r="AT3308" s="24" t="str">
        <f t="shared" si="983"/>
        <v>0-3 months</v>
      </c>
      <c r="AU3308" s="22" t="s">
        <v>3744</v>
      </c>
    </row>
    <row r="3309" spans="1:47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986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987"/>
        <v>12000000</v>
      </c>
      <c r="AA3309" s="13">
        <v>7.2900000000000006E-2</v>
      </c>
      <c r="AB3309" s="21">
        <f t="shared" si="969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1"/>
        <v>27318180.088495575</v>
      </c>
      <c r="AJ3309" s="19">
        <f t="shared" si="972"/>
        <v>3014099.212353982</v>
      </c>
      <c r="AK3309" s="20">
        <f t="shared" si="978"/>
        <v>0.11033308963444827</v>
      </c>
      <c r="AL3309" s="17"/>
      <c r="AM3309" s="17"/>
      <c r="AN3309" s="17"/>
      <c r="AO3309" s="17"/>
      <c r="AP3309" s="28" t="str">
        <f t="shared" si="979"/>
        <v>201912</v>
      </c>
      <c r="AQ3309" s="28" t="str">
        <f t="shared" si="980"/>
        <v>201912JPY</v>
      </c>
      <c r="AR3309" s="206" t="str">
        <f t="shared" si="981"/>
        <v>YAMAHA_Mounter</v>
      </c>
      <c r="AS3309" s="22">
        <f t="shared" si="982"/>
        <v>2</v>
      </c>
      <c r="AT3309" s="24" t="str">
        <f t="shared" si="983"/>
        <v>0-3 months</v>
      </c>
      <c r="AU3309" s="22" t="s">
        <v>3744</v>
      </c>
    </row>
    <row r="3310" spans="1:47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986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987"/>
        <v>15000000</v>
      </c>
      <c r="AA3310" s="13">
        <v>7.5700000000000003E-2</v>
      </c>
      <c r="AB3310" s="21">
        <f t="shared" si="969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1"/>
        <v>37969334.083628319</v>
      </c>
      <c r="AJ3310" s="19">
        <f t="shared" si="972"/>
        <v>5097226.4551657084</v>
      </c>
      <c r="AK3310" s="20">
        <f t="shared" si="978"/>
        <v>0.13424587441904964</v>
      </c>
      <c r="AL3310" s="17"/>
      <c r="AM3310" s="17"/>
      <c r="AN3310" s="17"/>
      <c r="AO3310" s="17"/>
      <c r="AP3310" s="28" t="str">
        <f t="shared" si="979"/>
        <v>20208</v>
      </c>
      <c r="AQ3310" s="28" t="str">
        <f t="shared" si="980"/>
        <v>20208JPY</v>
      </c>
      <c r="AR3310" s="206" t="str">
        <f t="shared" si="981"/>
        <v>YAMAHA_Mounter</v>
      </c>
      <c r="AS3310" s="22">
        <f t="shared" si="982"/>
        <v>10</v>
      </c>
      <c r="AT3310" s="24" t="str">
        <f t="shared" si="983"/>
        <v>&gt; 6 months</v>
      </c>
      <c r="AU3310" s="22" t="s">
        <v>3744</v>
      </c>
    </row>
    <row r="3311" spans="1:47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986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987"/>
        <v>12000000</v>
      </c>
      <c r="AA3311" s="13">
        <v>7.5700000000000003E-2</v>
      </c>
      <c r="AB3311" s="21">
        <f t="shared" si="969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1"/>
        <v>37969334.083628319</v>
      </c>
      <c r="AJ3311" s="19">
        <f t="shared" si="972"/>
        <v>5097226.4551657084</v>
      </c>
      <c r="AK3311" s="20">
        <f t="shared" si="978"/>
        <v>0.13424587441904964</v>
      </c>
      <c r="AL3311" s="17"/>
      <c r="AM3311" s="17"/>
      <c r="AN3311" s="17"/>
      <c r="AO3311" s="17"/>
      <c r="AP3311" s="28" t="str">
        <f t="shared" si="979"/>
        <v>20208</v>
      </c>
      <c r="AQ3311" s="28" t="str">
        <f t="shared" si="980"/>
        <v>20208JPY</v>
      </c>
      <c r="AR3311" s="206" t="str">
        <f t="shared" si="981"/>
        <v>YAMAHA_Mounter</v>
      </c>
      <c r="AS3311" s="22">
        <f t="shared" si="982"/>
        <v>10</v>
      </c>
      <c r="AT3311" s="24" t="str">
        <f t="shared" si="983"/>
        <v>&gt; 6 months</v>
      </c>
      <c r="AU3311" s="22" t="s">
        <v>3744</v>
      </c>
    </row>
    <row r="3312" spans="1:47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986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988">IF(W3312="RMB","1.13", "1")</f>
        <v>1</v>
      </c>
      <c r="Z3312" s="18">
        <f t="shared" si="987"/>
        <v>14500000</v>
      </c>
      <c r="AA3312" s="13">
        <v>6.54E-2</v>
      </c>
      <c r="AB3312" s="21">
        <f t="shared" si="969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1"/>
        <v>46600814.041769907</v>
      </c>
      <c r="AJ3312" s="19">
        <f t="shared" si="972"/>
        <v>5956366.3435927071</v>
      </c>
      <c r="AK3312" s="20">
        <f t="shared" si="978"/>
        <v>0.1278167874546958</v>
      </c>
      <c r="AL3312" s="17"/>
      <c r="AM3312" s="17"/>
      <c r="AN3312" s="17"/>
      <c r="AO3312" s="17"/>
      <c r="AP3312" s="28" t="str">
        <f t="shared" si="979"/>
        <v>20224</v>
      </c>
      <c r="AQ3312" s="28" t="str">
        <f t="shared" si="980"/>
        <v>20224JPY</v>
      </c>
      <c r="AR3312" s="206" t="str">
        <f t="shared" si="981"/>
        <v>YAMAHA_Mounter</v>
      </c>
      <c r="AS3312" s="22">
        <f t="shared" si="982"/>
        <v>4</v>
      </c>
      <c r="AT3312" s="24" t="str">
        <f t="shared" si="983"/>
        <v>4-6 months</v>
      </c>
      <c r="AU3312" s="22" t="s">
        <v>3744</v>
      </c>
    </row>
    <row r="3313" spans="1:47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986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988"/>
        <v>1</v>
      </c>
      <c r="Z3313" s="18">
        <f t="shared" si="987"/>
        <v>14500000</v>
      </c>
      <c r="AA3313" s="13">
        <v>6.54E-2</v>
      </c>
      <c r="AB3313" s="21">
        <f t="shared" si="969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1"/>
        <v>46600814.041769907</v>
      </c>
      <c r="AJ3313" s="19">
        <f t="shared" si="972"/>
        <v>5956366.3435927071</v>
      </c>
      <c r="AK3313" s="20">
        <f t="shared" si="978"/>
        <v>0.1278167874546958</v>
      </c>
      <c r="AL3313" s="17"/>
      <c r="AM3313" s="17"/>
      <c r="AN3313" s="17"/>
      <c r="AO3313" s="17"/>
      <c r="AP3313" s="28" t="str">
        <f t="shared" si="979"/>
        <v>20224</v>
      </c>
      <c r="AQ3313" s="28" t="str">
        <f t="shared" si="980"/>
        <v>20224JPY</v>
      </c>
      <c r="AR3313" s="206" t="str">
        <f t="shared" si="981"/>
        <v>YAMAHA_Mounter</v>
      </c>
      <c r="AS3313" s="22">
        <f t="shared" si="982"/>
        <v>4</v>
      </c>
      <c r="AT3313" s="24" t="str">
        <f t="shared" si="983"/>
        <v>4-6 months</v>
      </c>
      <c r="AU3313" s="22" t="s">
        <v>3744</v>
      </c>
    </row>
    <row r="3314" spans="1:47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986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988"/>
        <v>1</v>
      </c>
      <c r="Z3314" s="18">
        <f t="shared" si="987"/>
        <v>11000000</v>
      </c>
      <c r="AA3314" s="13">
        <v>6.54E-2</v>
      </c>
      <c r="AB3314" s="21">
        <f t="shared" si="969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1"/>
        <v>46600814.041769907</v>
      </c>
      <c r="AJ3314" s="19">
        <f t="shared" si="972"/>
        <v>5956366.3435927071</v>
      </c>
      <c r="AK3314" s="20">
        <f t="shared" si="978"/>
        <v>0.1278167874546958</v>
      </c>
      <c r="AL3314" s="17"/>
      <c r="AM3314" s="17"/>
      <c r="AN3314" s="17"/>
      <c r="AO3314" s="17"/>
      <c r="AP3314" s="28" t="str">
        <f t="shared" si="979"/>
        <v>20224</v>
      </c>
      <c r="AQ3314" s="28" t="str">
        <f t="shared" si="980"/>
        <v>20224JPY</v>
      </c>
      <c r="AR3314" s="206" t="str">
        <f t="shared" si="981"/>
        <v>YAMAHA_Mounter</v>
      </c>
      <c r="AS3314" s="22">
        <f t="shared" si="982"/>
        <v>4</v>
      </c>
      <c r="AT3314" s="24" t="str">
        <f t="shared" si="983"/>
        <v>4-6 months</v>
      </c>
      <c r="AU3314" s="22" t="s">
        <v>3744</v>
      </c>
    </row>
    <row r="3315" spans="1:47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986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988"/>
        <v>1</v>
      </c>
      <c r="Z3315" s="18">
        <f t="shared" si="987"/>
        <v>11000000</v>
      </c>
      <c r="AA3315" s="13">
        <v>6.54E-2</v>
      </c>
      <c r="AB3315" s="21">
        <f t="shared" si="969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1"/>
        <v>46600814.041769907</v>
      </c>
      <c r="AJ3315" s="19">
        <f t="shared" si="972"/>
        <v>5956366.3435927071</v>
      </c>
      <c r="AK3315" s="20">
        <f t="shared" si="978"/>
        <v>0.1278167874546958</v>
      </c>
      <c r="AL3315" s="17"/>
      <c r="AM3315" s="17"/>
      <c r="AN3315" s="17"/>
      <c r="AO3315" s="17"/>
      <c r="AP3315" s="28" t="str">
        <f t="shared" si="979"/>
        <v>20224</v>
      </c>
      <c r="AQ3315" s="28" t="str">
        <f t="shared" si="980"/>
        <v>20224JPY</v>
      </c>
      <c r="AR3315" s="206" t="str">
        <f t="shared" si="981"/>
        <v>YAMAHA_Mounter</v>
      </c>
      <c r="AS3315" s="22">
        <f t="shared" si="982"/>
        <v>4</v>
      </c>
      <c r="AT3315" s="24" t="str">
        <f t="shared" si="983"/>
        <v>4-6 months</v>
      </c>
      <c r="AU3315" s="22" t="s">
        <v>3744</v>
      </c>
    </row>
    <row r="3316" spans="1:47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986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988"/>
        <v>1</v>
      </c>
      <c r="Z3316" s="18">
        <f t="shared" si="987"/>
        <v>14500000</v>
      </c>
      <c r="AA3316" s="13">
        <v>5.7799999999999997E-2</v>
      </c>
      <c r="AB3316" s="21">
        <f t="shared" si="969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1"/>
        <v>15948576.102654871</v>
      </c>
      <c r="AJ3316" s="19">
        <f t="shared" si="972"/>
        <v>2739848.7004853105</v>
      </c>
      <c r="AK3316" s="20">
        <f t="shared" si="978"/>
        <v>0.17179268436567344</v>
      </c>
      <c r="AL3316" s="17"/>
      <c r="AM3316" s="17"/>
      <c r="AN3316" s="17"/>
      <c r="AO3316" s="17"/>
      <c r="AP3316" s="28" t="str">
        <f t="shared" si="979"/>
        <v>20229</v>
      </c>
      <c r="AQ3316" s="28" t="str">
        <f t="shared" si="980"/>
        <v>20229JPY</v>
      </c>
      <c r="AR3316" s="206" t="str">
        <f t="shared" si="981"/>
        <v>YAMAHA_Mounter</v>
      </c>
      <c r="AS3316" s="22">
        <f t="shared" si="982"/>
        <v>9</v>
      </c>
      <c r="AT3316" s="24" t="str">
        <f t="shared" si="983"/>
        <v>&gt; 6 months</v>
      </c>
      <c r="AU3316" s="22" t="s">
        <v>3744</v>
      </c>
    </row>
    <row r="3317" spans="1:47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986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988"/>
        <v>1</v>
      </c>
      <c r="Z3317" s="18">
        <f t="shared" si="987"/>
        <v>14500000</v>
      </c>
      <c r="AA3317" s="13">
        <v>5.7799999999999997E-2</v>
      </c>
      <c r="AB3317" s="21">
        <f t="shared" si="969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1"/>
        <v>15948576.102654871</v>
      </c>
      <c r="AJ3317" s="19">
        <f t="shared" si="972"/>
        <v>2739848.7004853105</v>
      </c>
      <c r="AK3317" s="20">
        <f t="shared" si="978"/>
        <v>0.17179268436567344</v>
      </c>
      <c r="AL3317" s="17"/>
      <c r="AM3317" s="17"/>
      <c r="AN3317" s="17"/>
      <c r="AO3317" s="17"/>
      <c r="AP3317" s="28" t="str">
        <f t="shared" si="979"/>
        <v>20229</v>
      </c>
      <c r="AQ3317" s="28" t="str">
        <f t="shared" si="980"/>
        <v>20229JPY</v>
      </c>
      <c r="AR3317" s="206" t="str">
        <f t="shared" si="981"/>
        <v>YAMAHA_Mounter</v>
      </c>
      <c r="AS3317" s="22">
        <f t="shared" si="982"/>
        <v>9</v>
      </c>
      <c r="AT3317" s="24" t="str">
        <f t="shared" si="983"/>
        <v>&gt; 6 months</v>
      </c>
      <c r="AU3317" s="22" t="s">
        <v>3744</v>
      </c>
    </row>
    <row r="3318" spans="1:47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986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988"/>
        <v>1</v>
      </c>
      <c r="Z3318" s="18">
        <f t="shared" si="987"/>
        <v>11000000</v>
      </c>
      <c r="AA3318" s="13">
        <v>5.7799999999999997E-2</v>
      </c>
      <c r="AB3318" s="21">
        <f t="shared" si="969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1"/>
        <v>15948576.102654871</v>
      </c>
      <c r="AJ3318" s="19">
        <f t="shared" si="972"/>
        <v>2739848.7004853105</v>
      </c>
      <c r="AK3318" s="20">
        <f t="shared" si="978"/>
        <v>0.17179268436567344</v>
      </c>
      <c r="AL3318" s="17"/>
      <c r="AM3318" s="17"/>
      <c r="AN3318" s="17"/>
      <c r="AO3318" s="17"/>
      <c r="AP3318" s="28" t="str">
        <f t="shared" si="979"/>
        <v>20229</v>
      </c>
      <c r="AQ3318" s="28" t="str">
        <f t="shared" si="980"/>
        <v>20229JPY</v>
      </c>
      <c r="AR3318" s="206" t="str">
        <f t="shared" si="981"/>
        <v>YAMAHA_Mounter</v>
      </c>
      <c r="AS3318" s="22">
        <f t="shared" si="982"/>
        <v>9</v>
      </c>
      <c r="AT3318" s="24" t="str">
        <f t="shared" si="983"/>
        <v>&gt; 6 months</v>
      </c>
      <c r="AU3318" s="22" t="s">
        <v>3744</v>
      </c>
    </row>
    <row r="3319" spans="1:47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986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988"/>
        <v>1</v>
      </c>
      <c r="Z3319" s="18">
        <f t="shared" si="987"/>
        <v>11000000</v>
      </c>
      <c r="AA3319" s="13">
        <v>5.7799999999999997E-2</v>
      </c>
      <c r="AB3319" s="21">
        <f t="shared" si="969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1"/>
        <v>15948576.102654871</v>
      </c>
      <c r="AJ3319" s="19">
        <f t="shared" si="972"/>
        <v>2739848.7004853105</v>
      </c>
      <c r="AK3319" s="20">
        <f t="shared" si="978"/>
        <v>0.17179268436567344</v>
      </c>
      <c r="AL3319" s="17"/>
      <c r="AM3319" s="17"/>
      <c r="AN3319" s="17"/>
      <c r="AO3319" s="17"/>
      <c r="AP3319" s="28" t="str">
        <f t="shared" si="979"/>
        <v>20229</v>
      </c>
      <c r="AQ3319" s="28" t="str">
        <f t="shared" si="980"/>
        <v>20229JPY</v>
      </c>
      <c r="AR3319" s="206" t="str">
        <f t="shared" si="981"/>
        <v>YAMAHA_Mounter</v>
      </c>
      <c r="AS3319" s="22">
        <f t="shared" si="982"/>
        <v>9</v>
      </c>
      <c r="AT3319" s="24" t="str">
        <f t="shared" si="983"/>
        <v>&gt; 6 months</v>
      </c>
      <c r="AU3319" s="22" t="s">
        <v>3744</v>
      </c>
    </row>
    <row r="3320" spans="1:47" s="12" customFormat="1">
      <c r="A3320" s="33" t="str">
        <f t="shared" si="973"/>
        <v>cancel</v>
      </c>
      <c r="B3320" s="152"/>
      <c r="C3320" s="152" t="s">
        <v>185</v>
      </c>
      <c r="D3320" s="33" t="str">
        <f t="shared" si="974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975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986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987"/>
        <v>15000000</v>
      </c>
      <c r="AA3320" s="13">
        <v>7.5200000000000003E-2</v>
      </c>
      <c r="AB3320" s="21">
        <f t="shared" si="969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1"/>
        <v>499582152.5142017</v>
      </c>
      <c r="AJ3320" s="19">
        <f t="shared" si="972"/>
        <v>59520528.679470733</v>
      </c>
      <c r="AK3320" s="20">
        <f t="shared" si="978"/>
        <v>0.11914062257814291</v>
      </c>
      <c r="AL3320" s="17"/>
      <c r="AM3320" s="17"/>
      <c r="AN3320" s="17"/>
      <c r="AO3320" s="17"/>
      <c r="AP3320" s="28" t="str">
        <f t="shared" si="979"/>
        <v>CancelCancel</v>
      </c>
      <c r="AQ3320" s="28" t="str">
        <f t="shared" si="980"/>
        <v>CancelCancelJPY</v>
      </c>
      <c r="AR3320" s="206" t="str">
        <f t="shared" si="981"/>
        <v>YAMAHA_Mounter</v>
      </c>
      <c r="AS3320" s="22" t="str">
        <f t="shared" si="982"/>
        <v/>
      </c>
      <c r="AT3320" s="24" t="str">
        <f t="shared" si="983"/>
        <v/>
      </c>
      <c r="AU3320" s="22" t="s">
        <v>3744</v>
      </c>
    </row>
    <row r="3321" spans="1:47" s="12" customFormat="1">
      <c r="A3321" s="33" t="str">
        <f t="shared" si="973"/>
        <v>cancel</v>
      </c>
      <c r="B3321" s="152"/>
      <c r="C3321" s="152" t="s">
        <v>185</v>
      </c>
      <c r="D3321" s="33" t="str">
        <f t="shared" si="974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975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986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987"/>
        <v>15000000</v>
      </c>
      <c r="AA3321" s="13">
        <v>7.3999999999999996E-2</v>
      </c>
      <c r="AB3321" s="21">
        <f t="shared" si="969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1"/>
        <v>499582152.5142017</v>
      </c>
      <c r="AJ3321" s="19">
        <f t="shared" si="972"/>
        <v>59520528.679470733</v>
      </c>
      <c r="AK3321" s="20">
        <f t="shared" si="978"/>
        <v>0.11914062257814291</v>
      </c>
      <c r="AL3321" s="17"/>
      <c r="AM3321" s="17"/>
      <c r="AN3321" s="17"/>
      <c r="AO3321" s="17"/>
      <c r="AP3321" s="28" t="str">
        <f t="shared" si="979"/>
        <v>CancelCancel</v>
      </c>
      <c r="AQ3321" s="28" t="str">
        <f t="shared" si="980"/>
        <v>CancelCancelJPY</v>
      </c>
      <c r="AR3321" s="206" t="str">
        <f t="shared" si="981"/>
        <v>YAMAHA_Mounter</v>
      </c>
      <c r="AS3321" s="22" t="str">
        <f t="shared" si="982"/>
        <v/>
      </c>
      <c r="AT3321" s="24" t="str">
        <f t="shared" si="983"/>
        <v/>
      </c>
      <c r="AU3321" s="22" t="s">
        <v>3744</v>
      </c>
    </row>
    <row r="3322" spans="1:47" s="12" customFormat="1">
      <c r="A3322" s="33" t="str">
        <f t="shared" si="973"/>
        <v>cancel</v>
      </c>
      <c r="B3322" s="152"/>
      <c r="C3322" s="152" t="s">
        <v>185</v>
      </c>
      <c r="D3322" s="33" t="str">
        <f t="shared" si="974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975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986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987"/>
        <v>15000000</v>
      </c>
      <c r="AA3322" s="13">
        <v>7.3999999999999996E-2</v>
      </c>
      <c r="AB3322" s="21">
        <f t="shared" si="969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1"/>
        <v>499582152.5142017</v>
      </c>
      <c r="AJ3322" s="19">
        <f t="shared" si="972"/>
        <v>59520528.679470733</v>
      </c>
      <c r="AK3322" s="20">
        <f t="shared" si="978"/>
        <v>0.11914062257814291</v>
      </c>
      <c r="AL3322" s="17"/>
      <c r="AM3322" s="17"/>
      <c r="AN3322" s="17"/>
      <c r="AO3322" s="17"/>
      <c r="AP3322" s="28" t="str">
        <f t="shared" si="979"/>
        <v>CancelCancel</v>
      </c>
      <c r="AQ3322" s="28" t="str">
        <f t="shared" si="980"/>
        <v>CancelCancelJPY</v>
      </c>
      <c r="AR3322" s="206" t="str">
        <f t="shared" si="981"/>
        <v>YAMAHA_Mounter</v>
      </c>
      <c r="AS3322" s="22" t="str">
        <f t="shared" si="982"/>
        <v/>
      </c>
      <c r="AT3322" s="24" t="str">
        <f t="shared" si="983"/>
        <v/>
      </c>
      <c r="AU3322" s="22" t="s">
        <v>3744</v>
      </c>
    </row>
    <row r="3323" spans="1:47" s="12" customFormat="1">
      <c r="A3323" s="33" t="str">
        <f t="shared" si="973"/>
        <v>cancel</v>
      </c>
      <c r="B3323" s="152"/>
      <c r="C3323" s="152" t="s">
        <v>185</v>
      </c>
      <c r="D3323" s="33" t="str">
        <f t="shared" si="974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975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986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987"/>
        <v>12000000</v>
      </c>
      <c r="AA3323" s="13">
        <v>7.3999999999999996E-2</v>
      </c>
      <c r="AB3323" s="21">
        <f t="shared" si="969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1"/>
        <v>499582152.5142017</v>
      </c>
      <c r="AJ3323" s="19">
        <f t="shared" si="972"/>
        <v>59520528.679470733</v>
      </c>
      <c r="AK3323" s="20">
        <f t="shared" si="978"/>
        <v>0.11914062257814291</v>
      </c>
      <c r="AL3323" s="17"/>
      <c r="AM3323" s="17"/>
      <c r="AN3323" s="17"/>
      <c r="AO3323" s="17"/>
      <c r="AP3323" s="28" t="str">
        <f t="shared" si="979"/>
        <v>CancelCancel</v>
      </c>
      <c r="AQ3323" s="28" t="str">
        <f t="shared" si="980"/>
        <v>CancelCancelJPY</v>
      </c>
      <c r="AR3323" s="206" t="str">
        <f t="shared" si="981"/>
        <v>YAMAHA_Mounter</v>
      </c>
      <c r="AS3323" s="22" t="str">
        <f t="shared" si="982"/>
        <v/>
      </c>
      <c r="AT3323" s="24" t="str">
        <f t="shared" si="983"/>
        <v/>
      </c>
      <c r="AU3323" s="22" t="s">
        <v>3744</v>
      </c>
    </row>
    <row r="3324" spans="1:47" s="12" customFormat="1">
      <c r="A3324" s="33" t="str">
        <f t="shared" si="973"/>
        <v>cancel</v>
      </c>
      <c r="B3324" s="152"/>
      <c r="C3324" s="152" t="s">
        <v>185</v>
      </c>
      <c r="D3324" s="33" t="str">
        <f t="shared" si="974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975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986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987"/>
        <v>12000000</v>
      </c>
      <c r="AA3324" s="13">
        <v>7.3999999999999996E-2</v>
      </c>
      <c r="AB3324" s="21">
        <f t="shared" ref="AB3324:AB3345" si="989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1"/>
        <v>499582152.5142017</v>
      </c>
      <c r="AJ3324" s="19">
        <f t="shared" si="972"/>
        <v>59520528.679470733</v>
      </c>
      <c r="AK3324" s="20">
        <f t="shared" si="978"/>
        <v>0.11914062257814291</v>
      </c>
      <c r="AL3324" s="17"/>
      <c r="AM3324" s="17"/>
      <c r="AN3324" s="17"/>
      <c r="AO3324" s="17"/>
      <c r="AP3324" s="28" t="str">
        <f t="shared" si="979"/>
        <v>CancelCancel</v>
      </c>
      <c r="AQ3324" s="28" t="str">
        <f t="shared" si="980"/>
        <v>CancelCancelJPY</v>
      </c>
      <c r="AR3324" s="206" t="str">
        <f t="shared" si="981"/>
        <v>YAMAHA_Mounter</v>
      </c>
      <c r="AS3324" s="22" t="str">
        <f t="shared" si="982"/>
        <v/>
      </c>
      <c r="AT3324" s="24" t="str">
        <f t="shared" si="983"/>
        <v/>
      </c>
      <c r="AU3324" s="22" t="s">
        <v>3744</v>
      </c>
    </row>
    <row r="3325" spans="1:47" s="12" customFormat="1">
      <c r="A3325" s="33" t="str">
        <f t="shared" si="973"/>
        <v>cancel</v>
      </c>
      <c r="B3325" s="152"/>
      <c r="C3325" s="152" t="s">
        <v>185</v>
      </c>
      <c r="D3325" s="33" t="str">
        <f t="shared" si="974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975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986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987"/>
        <v>12000000</v>
      </c>
      <c r="AA3325" s="13">
        <v>7.3999999999999996E-2</v>
      </c>
      <c r="AB3325" s="21">
        <f t="shared" si="989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1"/>
        <v>499582152.5142017</v>
      </c>
      <c r="AJ3325" s="19">
        <f t="shared" si="972"/>
        <v>59520528.679470733</v>
      </c>
      <c r="AK3325" s="20">
        <f t="shared" si="978"/>
        <v>0.11914062257814291</v>
      </c>
      <c r="AL3325" s="17"/>
      <c r="AM3325" s="17"/>
      <c r="AN3325" s="17"/>
      <c r="AO3325" s="17"/>
      <c r="AP3325" s="28" t="str">
        <f t="shared" si="979"/>
        <v>CancelCancel</v>
      </c>
      <c r="AQ3325" s="28" t="str">
        <f t="shared" si="980"/>
        <v>CancelCancelJPY</v>
      </c>
      <c r="AR3325" s="206" t="str">
        <f t="shared" si="981"/>
        <v>YAMAHA_Mounter</v>
      </c>
      <c r="AS3325" s="22" t="str">
        <f t="shared" si="982"/>
        <v/>
      </c>
      <c r="AT3325" s="24" t="str">
        <f t="shared" si="983"/>
        <v/>
      </c>
      <c r="AU3325" s="22" t="s">
        <v>3744</v>
      </c>
    </row>
    <row r="3326" spans="1:47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986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990">IF(W3326="RMB","1.13", "1")</f>
        <v>1</v>
      </c>
      <c r="Z3326" s="18">
        <f t="shared" si="987"/>
        <v>13750000</v>
      </c>
      <c r="AA3326" s="13">
        <v>6.54E-2</v>
      </c>
      <c r="AB3326" s="21">
        <f t="shared" si="989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1"/>
        <v>46600814.041769907</v>
      </c>
      <c r="AJ3326" s="19">
        <f t="shared" si="972"/>
        <v>5956366.3435927071</v>
      </c>
      <c r="AK3326" s="20">
        <f t="shared" si="978"/>
        <v>0.1278167874546958</v>
      </c>
      <c r="AL3326" s="17"/>
      <c r="AM3326" s="17"/>
      <c r="AN3326" s="17"/>
      <c r="AO3326" s="17"/>
      <c r="AP3326" s="28" t="str">
        <f t="shared" si="979"/>
        <v>20224</v>
      </c>
      <c r="AQ3326" s="28" t="str">
        <f t="shared" si="980"/>
        <v>20224JPY</v>
      </c>
      <c r="AR3326" s="206" t="str">
        <f t="shared" si="981"/>
        <v>YAMAHA_Mounter</v>
      </c>
      <c r="AS3326" s="22">
        <f t="shared" si="982"/>
        <v>13</v>
      </c>
      <c r="AT3326" s="24" t="str">
        <f t="shared" si="983"/>
        <v>&gt; 6 months</v>
      </c>
      <c r="AU3326" s="22" t="s">
        <v>3744</v>
      </c>
    </row>
    <row r="3327" spans="1:47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986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990"/>
        <v>1</v>
      </c>
      <c r="Z3327" s="18">
        <f t="shared" si="987"/>
        <v>13750000</v>
      </c>
      <c r="AA3327" s="13">
        <v>6.54E-2</v>
      </c>
      <c r="AB3327" s="21">
        <f t="shared" si="989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1"/>
        <v>46600814.041769907</v>
      </c>
      <c r="AJ3327" s="19">
        <f t="shared" si="972"/>
        <v>5956366.3435927071</v>
      </c>
      <c r="AK3327" s="20">
        <f t="shared" si="978"/>
        <v>0.1278167874546958</v>
      </c>
      <c r="AL3327" s="17"/>
      <c r="AM3327" s="17"/>
      <c r="AN3327" s="17"/>
      <c r="AO3327" s="17"/>
      <c r="AP3327" s="28" t="str">
        <f t="shared" si="979"/>
        <v>20224</v>
      </c>
      <c r="AQ3327" s="28" t="str">
        <f t="shared" si="980"/>
        <v>20224JPY</v>
      </c>
      <c r="AR3327" s="206" t="str">
        <f t="shared" si="981"/>
        <v>YAMAHA_Mounter</v>
      </c>
      <c r="AS3327" s="22">
        <f t="shared" si="982"/>
        <v>13</v>
      </c>
      <c r="AT3327" s="24" t="str">
        <f t="shared" si="983"/>
        <v>&gt; 6 months</v>
      </c>
      <c r="AU3327" s="22" t="s">
        <v>3744</v>
      </c>
    </row>
    <row r="3328" spans="1:47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986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990"/>
        <v>1</v>
      </c>
      <c r="Z3328" s="18">
        <f t="shared" si="987"/>
        <v>13750000</v>
      </c>
      <c r="AA3328" s="13">
        <v>6.54E-2</v>
      </c>
      <c r="AB3328" s="21">
        <f t="shared" si="989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1"/>
        <v>46600814.041769907</v>
      </c>
      <c r="AJ3328" s="19">
        <f t="shared" si="972"/>
        <v>5956366.3435927071</v>
      </c>
      <c r="AK3328" s="20">
        <f t="shared" si="978"/>
        <v>0.1278167874546958</v>
      </c>
      <c r="AL3328" s="17"/>
      <c r="AM3328" s="17"/>
      <c r="AN3328" s="17"/>
      <c r="AO3328" s="17"/>
      <c r="AP3328" s="28" t="str">
        <f t="shared" si="979"/>
        <v>20224</v>
      </c>
      <c r="AQ3328" s="28" t="str">
        <f t="shared" si="980"/>
        <v>20224JPY</v>
      </c>
      <c r="AR3328" s="206" t="str">
        <f t="shared" si="981"/>
        <v>YAMAHA_Mounter</v>
      </c>
      <c r="AS3328" s="22">
        <f t="shared" si="982"/>
        <v>13</v>
      </c>
      <c r="AT3328" s="24" t="str">
        <f t="shared" si="983"/>
        <v>&gt; 6 months</v>
      </c>
      <c r="AU3328" s="22" t="s">
        <v>3744</v>
      </c>
    </row>
    <row r="3329" spans="1:47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986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990"/>
        <v>1</v>
      </c>
      <c r="Z3329" s="18">
        <f t="shared" si="987"/>
        <v>13750000</v>
      </c>
      <c r="AA3329" s="13">
        <v>6.54E-2</v>
      </c>
      <c r="AB3329" s="21">
        <f t="shared" si="989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1"/>
        <v>46600814.041769907</v>
      </c>
      <c r="AJ3329" s="19">
        <f t="shared" si="972"/>
        <v>5956366.3435927071</v>
      </c>
      <c r="AK3329" s="20">
        <f t="shared" si="978"/>
        <v>0.1278167874546958</v>
      </c>
      <c r="AL3329" s="17"/>
      <c r="AM3329" s="17"/>
      <c r="AN3329" s="17"/>
      <c r="AO3329" s="17"/>
      <c r="AP3329" s="28" t="str">
        <f t="shared" si="979"/>
        <v>20224</v>
      </c>
      <c r="AQ3329" s="28" t="str">
        <f t="shared" si="980"/>
        <v>20224JPY</v>
      </c>
      <c r="AR3329" s="206" t="str">
        <f t="shared" si="981"/>
        <v>YAMAHA_Mounter</v>
      </c>
      <c r="AS3329" s="22">
        <f t="shared" si="982"/>
        <v>13</v>
      </c>
      <c r="AT3329" s="24" t="str">
        <f t="shared" si="983"/>
        <v>&gt; 6 months</v>
      </c>
      <c r="AU3329" s="22" t="s">
        <v>3744</v>
      </c>
    </row>
    <row r="3330" spans="1:47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986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990"/>
        <v>1</v>
      </c>
      <c r="Z3330" s="18">
        <f t="shared" si="987"/>
        <v>15000000</v>
      </c>
      <c r="AA3330" s="13">
        <v>7.6799999999999993E-2</v>
      </c>
      <c r="AB3330" s="21">
        <f t="shared" si="989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ref="AI3330:AI3393" si="991">IF(P3330="C66 SERVICE","",SUMIFS(AB:AB,F:F,F3330,G:G,G3330,E:E,E3330))</f>
        <v>45803245.025628321</v>
      </c>
      <c r="AJ3330" s="19">
        <f t="shared" ref="AJ3330:AJ3393" si="992">IF(P3330="C66 SERVICE","",SUMIFS(AC:AC,F:F,F3330,G:G,G3330,E:E,E3330))</f>
        <v>5664636.2584379362</v>
      </c>
      <c r="AK3330" s="20">
        <f t="shared" si="978"/>
        <v>0.12367325186825515</v>
      </c>
      <c r="AL3330" s="17"/>
      <c r="AM3330" s="17"/>
      <c r="AN3330" s="17"/>
      <c r="AO3330" s="17" t="s">
        <v>1440</v>
      </c>
      <c r="AP3330" s="28" t="str">
        <f t="shared" si="979"/>
        <v>20211</v>
      </c>
      <c r="AQ3330" s="28" t="str">
        <f t="shared" si="980"/>
        <v>20211JPY</v>
      </c>
      <c r="AR3330" s="206" t="str">
        <f t="shared" si="981"/>
        <v>YAMAHA_Mounter</v>
      </c>
      <c r="AS3330" s="22">
        <f t="shared" si="982"/>
        <v>2</v>
      </c>
      <c r="AT3330" s="24" t="str">
        <f t="shared" si="983"/>
        <v>0-3 months</v>
      </c>
      <c r="AU3330" s="22" t="s">
        <v>3744</v>
      </c>
    </row>
    <row r="3331" spans="1:47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986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990"/>
        <v>1</v>
      </c>
      <c r="Z3331" s="18">
        <f t="shared" si="987"/>
        <v>10290000</v>
      </c>
      <c r="AA3331" s="13">
        <v>7.6799999999999993E-2</v>
      </c>
      <c r="AB3331" s="21">
        <f t="shared" si="989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91"/>
        <v>45803245.025628321</v>
      </c>
      <c r="AJ3331" s="19">
        <f t="shared" si="992"/>
        <v>5664636.2584379362</v>
      </c>
      <c r="AK3331" s="20">
        <f t="shared" si="978"/>
        <v>0.12367325186825515</v>
      </c>
      <c r="AL3331" s="17"/>
      <c r="AM3331" s="17"/>
      <c r="AN3331" s="17"/>
      <c r="AO3331" s="17" t="s">
        <v>1512</v>
      </c>
      <c r="AP3331" s="28" t="str">
        <f t="shared" si="979"/>
        <v>20211</v>
      </c>
      <c r="AQ3331" s="28" t="str">
        <f t="shared" si="980"/>
        <v>20211JPY</v>
      </c>
      <c r="AR3331" s="206" t="str">
        <f t="shared" si="981"/>
        <v>YAMAHA_Mounter</v>
      </c>
      <c r="AS3331" s="22">
        <f t="shared" si="982"/>
        <v>2</v>
      </c>
      <c r="AT3331" s="24" t="str">
        <f t="shared" si="983"/>
        <v>0-3 months</v>
      </c>
      <c r="AU3331" s="22" t="s">
        <v>3744</v>
      </c>
    </row>
    <row r="3332" spans="1:47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986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990"/>
        <v>1</v>
      </c>
      <c r="Z3332" s="18">
        <f t="shared" si="987"/>
        <v>11880000</v>
      </c>
      <c r="AA3332" s="13">
        <v>5.7099999999999998E-2</v>
      </c>
      <c r="AB3332" s="21">
        <f t="shared" si="989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91"/>
        <v>13640480.497522123</v>
      </c>
      <c r="AJ3332" s="19">
        <f t="shared" si="992"/>
        <v>1928605.8020906283</v>
      </c>
      <c r="AK3332" s="20">
        <f t="shared" si="978"/>
        <v>0.1413884065477731</v>
      </c>
      <c r="AL3332" s="17"/>
      <c r="AM3332" s="17"/>
      <c r="AN3332" s="17"/>
      <c r="AO3332" s="17"/>
      <c r="AP3332" s="28" t="str">
        <f t="shared" si="979"/>
        <v>20236</v>
      </c>
      <c r="AQ3332" s="28" t="str">
        <f t="shared" si="980"/>
        <v>20236JPY</v>
      </c>
      <c r="AR3332" s="206" t="str">
        <f t="shared" si="981"/>
        <v>YAMAHA_Mounter</v>
      </c>
      <c r="AS3332" s="22">
        <f t="shared" si="982"/>
        <v>2</v>
      </c>
      <c r="AT3332" s="24" t="str">
        <f t="shared" si="983"/>
        <v>0-3 months</v>
      </c>
      <c r="AU3332" s="22" t="s">
        <v>3744</v>
      </c>
    </row>
    <row r="3333" spans="1:47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986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990"/>
        <v>1.13</v>
      </c>
      <c r="Z3333" s="18">
        <f t="shared" si="987"/>
        <v>600000</v>
      </c>
      <c r="AA3333" s="13">
        <v>1.135</v>
      </c>
      <c r="AB3333" s="21">
        <f t="shared" si="989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91"/>
        <v>15948576.102654871</v>
      </c>
      <c r="AJ3333" s="19">
        <f t="shared" si="992"/>
        <v>2739848.7004853105</v>
      </c>
      <c r="AK3333" s="20">
        <f t="shared" si="978"/>
        <v>0.17179268436567344</v>
      </c>
      <c r="AL3333" s="17"/>
      <c r="AM3333" s="17"/>
      <c r="AN3333" s="17"/>
      <c r="AO3333" s="17"/>
      <c r="AP3333" s="28" t="str">
        <f t="shared" si="979"/>
        <v>20229</v>
      </c>
      <c r="AQ3333" s="28" t="str">
        <f t="shared" si="980"/>
        <v>20229RMB</v>
      </c>
      <c r="AR3333" s="206" t="str">
        <f t="shared" si="981"/>
        <v>YAMAHA_Mounter</v>
      </c>
      <c r="AS3333" s="22">
        <f t="shared" si="982"/>
        <v>0</v>
      </c>
      <c r="AT3333" s="24" t="str">
        <f t="shared" si="983"/>
        <v>0-3 months</v>
      </c>
      <c r="AU3333" s="22" t="s">
        <v>3240</v>
      </c>
    </row>
    <row r="3334" spans="1:47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986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990"/>
        <v>1</v>
      </c>
      <c r="Z3334" s="18">
        <f t="shared" si="987"/>
        <v>10500000</v>
      </c>
      <c r="AA3334" s="13">
        <v>6.25E-2</v>
      </c>
      <c r="AB3334" s="21">
        <f t="shared" si="989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si="991"/>
        <v>35682787.057522126</v>
      </c>
      <c r="AJ3334" s="19">
        <f t="shared" si="992"/>
        <v>5833368.3789623892</v>
      </c>
      <c r="AK3334" s="20">
        <f t="shared" ref="AK3334:AK3397" si="998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999">IF(F3334="","",F3334&amp;G3334)</f>
        <v>20226</v>
      </c>
      <c r="AQ3334" s="28" t="str">
        <f t="shared" ref="AQ3334:AQ3397" si="1000">IF(W3334="","",F3334&amp;G3334&amp;W3334)</f>
        <v>20226JPY</v>
      </c>
      <c r="AR3334" s="206" t="str">
        <f t="shared" ref="AR3334:AR3397" si="1001">IFERROR(IF(AND(M3334="YAMAHA", R3334="C28"), "YAMAHA_Non_Mounter", IF(AND(M3334="YAMAHA", R3334="C49"), "YAMAHA_Mounter", M3334)),"")</f>
        <v>YAMAHA_Mounter</v>
      </c>
      <c r="AS3334" s="22">
        <f t="shared" ref="AS3334:AS3397" si="1002">IFERROR(IF(OR(G3334="TBA", G3334=""), "", DATEDIF(DATE(B3334, C3334, 1), DATE(F3334, G3334, 1), "M")),"")</f>
        <v>1</v>
      </c>
      <c r="AT3334" s="24" t="str">
        <f t="shared" ref="AT3334:AT3397" si="1003">IF(ISNUMBER(AS3334), IF(AS3334&gt;=0, IF(AS3334&lt;=3, "0-3 months", IF(AS3334&lt;=6, "4-6 months", "&gt; 6 months"))), "")</f>
        <v>0-3 months</v>
      </c>
      <c r="AU3334" s="22" t="s">
        <v>3744</v>
      </c>
    </row>
    <row r="3335" spans="1:47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986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987"/>
        <v>848000</v>
      </c>
      <c r="AA3335" s="13">
        <v>1.095</v>
      </c>
      <c r="AB3335" s="21">
        <f t="shared" si="989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1"/>
        <v>35384300.169380538</v>
      </c>
      <c r="AJ3335" s="19">
        <f t="shared" si="992"/>
        <v>5044538.8896988509</v>
      </c>
      <c r="AK3335" s="20">
        <f t="shared" si="998"/>
        <v>0.14256432557804533</v>
      </c>
      <c r="AL3335" s="17"/>
      <c r="AM3335" s="17"/>
      <c r="AN3335" s="17"/>
      <c r="AO3335" s="17"/>
      <c r="AP3335" s="28" t="str">
        <f t="shared" si="999"/>
        <v>20207</v>
      </c>
      <c r="AQ3335" s="28" t="str">
        <f t="shared" si="1000"/>
        <v>20207RMB</v>
      </c>
      <c r="AR3335" s="206" t="str">
        <f t="shared" si="1001"/>
        <v>YAMAHA_Mounter</v>
      </c>
      <c r="AS3335" s="22">
        <f t="shared" si="1002"/>
        <v>1</v>
      </c>
      <c r="AT3335" s="24" t="str">
        <f t="shared" si="1003"/>
        <v>0-3 months</v>
      </c>
      <c r="AU3335" s="22" t="s">
        <v>3743</v>
      </c>
    </row>
    <row r="3336" spans="1:47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986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987"/>
        <v>580000</v>
      </c>
      <c r="AA3336" s="13">
        <v>1.095</v>
      </c>
      <c r="AB3336" s="21">
        <f t="shared" si="989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1"/>
        <v>35384300.169380538</v>
      </c>
      <c r="AJ3336" s="19">
        <f t="shared" si="992"/>
        <v>5044538.8896988509</v>
      </c>
      <c r="AK3336" s="20">
        <f t="shared" si="998"/>
        <v>0.14256432557804533</v>
      </c>
      <c r="AL3336" s="17"/>
      <c r="AM3336" s="17"/>
      <c r="AN3336" s="17"/>
      <c r="AO3336" s="17"/>
      <c r="AP3336" s="28" t="str">
        <f t="shared" si="999"/>
        <v>20207</v>
      </c>
      <c r="AQ3336" s="28" t="str">
        <f t="shared" si="1000"/>
        <v>20207RMB</v>
      </c>
      <c r="AR3336" s="206" t="str">
        <f t="shared" si="1001"/>
        <v>YAMAHA_Mounter</v>
      </c>
      <c r="AS3336" s="22">
        <f t="shared" si="1002"/>
        <v>1</v>
      </c>
      <c r="AT3336" s="24" t="str">
        <f t="shared" si="1003"/>
        <v>0-3 months</v>
      </c>
      <c r="AU3336" s="22" t="s">
        <v>3743</v>
      </c>
    </row>
    <row r="3337" spans="1:47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986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987"/>
        <v>580000</v>
      </c>
      <c r="AA3337" s="13">
        <v>1.095</v>
      </c>
      <c r="AB3337" s="21">
        <f t="shared" si="989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1"/>
        <v>35384300.169380538</v>
      </c>
      <c r="AJ3337" s="19">
        <f t="shared" si="992"/>
        <v>5044538.8896988509</v>
      </c>
      <c r="AK3337" s="20">
        <f t="shared" si="998"/>
        <v>0.14256432557804533</v>
      </c>
      <c r="AL3337" s="17"/>
      <c r="AM3337" s="17"/>
      <c r="AN3337" s="17"/>
      <c r="AO3337" s="17"/>
      <c r="AP3337" s="28" t="str">
        <f t="shared" si="999"/>
        <v>20207</v>
      </c>
      <c r="AQ3337" s="28" t="str">
        <f t="shared" si="1000"/>
        <v>20207RMB</v>
      </c>
      <c r="AR3337" s="206" t="str">
        <f t="shared" si="1001"/>
        <v>YAMAHA_Mounter</v>
      </c>
      <c r="AS3337" s="22">
        <f t="shared" si="1002"/>
        <v>1</v>
      </c>
      <c r="AT3337" s="24" t="str">
        <f t="shared" si="1003"/>
        <v>0-3 months</v>
      </c>
      <c r="AU3337" s="22" t="s">
        <v>3743</v>
      </c>
    </row>
    <row r="3338" spans="1:47" s="12" customFormat="1">
      <c r="A3338" s="33" t="str">
        <f t="shared" si="993"/>
        <v>cancel</v>
      </c>
      <c r="B3338" s="152"/>
      <c r="C3338" s="152" t="s">
        <v>185</v>
      </c>
      <c r="D3338" s="33" t="str">
        <f t="shared" si="994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995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986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987"/>
        <v>910000</v>
      </c>
      <c r="AA3338" s="13">
        <v>1.095</v>
      </c>
      <c r="AB3338" s="21">
        <f t="shared" si="989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1"/>
        <v>499582152.5142017</v>
      </c>
      <c r="AJ3338" s="19">
        <f t="shared" si="992"/>
        <v>59520528.679470733</v>
      </c>
      <c r="AK3338" s="20">
        <f t="shared" si="998"/>
        <v>0.11914062257814291</v>
      </c>
      <c r="AL3338" s="17"/>
      <c r="AM3338" s="17"/>
      <c r="AN3338" s="17"/>
      <c r="AO3338" s="17"/>
      <c r="AP3338" s="28" t="str">
        <f t="shared" si="999"/>
        <v>CancelCancel</v>
      </c>
      <c r="AQ3338" s="28" t="str">
        <f t="shared" si="1000"/>
        <v>CancelCancelRMB</v>
      </c>
      <c r="AR3338" s="206" t="str">
        <f t="shared" si="1001"/>
        <v>YAMAHA_Mounter</v>
      </c>
      <c r="AS3338" s="22" t="str">
        <f t="shared" si="1002"/>
        <v/>
      </c>
      <c r="AT3338" s="24" t="str">
        <f t="shared" si="1003"/>
        <v/>
      </c>
      <c r="AU3338" s="22" t="s">
        <v>3743</v>
      </c>
    </row>
    <row r="3339" spans="1:47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986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987"/>
        <v>17150000</v>
      </c>
      <c r="AA3339" s="13">
        <v>7.17E-2</v>
      </c>
      <c r="AB3339" s="21">
        <f t="shared" si="989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1"/>
        <v>41443303.53761062</v>
      </c>
      <c r="AJ3339" s="19">
        <f t="shared" si="992"/>
        <v>6194988.76643031</v>
      </c>
      <c r="AK3339" s="20">
        <f t="shared" si="998"/>
        <v>0.1494810557466355</v>
      </c>
      <c r="AL3339" s="17"/>
      <c r="AM3339" s="17"/>
      <c r="AN3339" s="17"/>
      <c r="AO3339" s="17"/>
      <c r="AP3339" s="28" t="str">
        <f t="shared" si="999"/>
        <v>20217</v>
      </c>
      <c r="AQ3339" s="28" t="str">
        <f t="shared" si="1000"/>
        <v>20217JPY</v>
      </c>
      <c r="AR3339" s="206" t="str">
        <f t="shared" si="1001"/>
        <v>YAMAHA_Mounter</v>
      </c>
      <c r="AS3339" s="22">
        <f t="shared" si="1002"/>
        <v>2</v>
      </c>
      <c r="AT3339" s="24" t="str">
        <f t="shared" si="1003"/>
        <v>0-3 months</v>
      </c>
      <c r="AU3339" s="22" t="s">
        <v>3744</v>
      </c>
    </row>
    <row r="3340" spans="1:47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986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987"/>
        <v>9500000</v>
      </c>
      <c r="AA3340" s="13">
        <v>7.17E-2</v>
      </c>
      <c r="AB3340" s="21">
        <f t="shared" si="989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1"/>
        <v>41443303.53761062</v>
      </c>
      <c r="AJ3340" s="19">
        <f t="shared" si="992"/>
        <v>6194988.76643031</v>
      </c>
      <c r="AK3340" s="20">
        <f t="shared" si="998"/>
        <v>0.1494810557466355</v>
      </c>
      <c r="AL3340" s="17"/>
      <c r="AM3340" s="17"/>
      <c r="AN3340" s="17"/>
      <c r="AO3340" s="17"/>
      <c r="AP3340" s="28" t="str">
        <f t="shared" si="999"/>
        <v>20217</v>
      </c>
      <c r="AQ3340" s="28" t="str">
        <f t="shared" si="1000"/>
        <v>20217JPY</v>
      </c>
      <c r="AR3340" s="206" t="str">
        <f t="shared" si="1001"/>
        <v>YAMAHA_Mounter</v>
      </c>
      <c r="AS3340" s="22">
        <f t="shared" si="1002"/>
        <v>2</v>
      </c>
      <c r="AT3340" s="24" t="str">
        <f t="shared" si="1003"/>
        <v>0-3 months</v>
      </c>
      <c r="AU3340" s="22" t="s">
        <v>3744</v>
      </c>
    </row>
    <row r="3341" spans="1:47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986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987"/>
        <v>9500000</v>
      </c>
      <c r="AA3341" s="13">
        <v>6.9199999999999998E-2</v>
      </c>
      <c r="AB3341" s="21">
        <f t="shared" si="989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1"/>
        <v>26407088.359292038</v>
      </c>
      <c r="AJ3341" s="19">
        <f t="shared" si="992"/>
        <v>3424510.6998470789</v>
      </c>
      <c r="AK3341" s="20">
        <f t="shared" si="998"/>
        <v>0.12968149510667554</v>
      </c>
      <c r="AL3341" s="17"/>
      <c r="AM3341" s="17"/>
      <c r="AN3341" s="17"/>
      <c r="AO3341" s="17"/>
      <c r="AP3341" s="28" t="str">
        <f t="shared" si="999"/>
        <v>20221</v>
      </c>
      <c r="AQ3341" s="28" t="str">
        <f t="shared" si="1000"/>
        <v>20221JPY</v>
      </c>
      <c r="AR3341" s="206" t="str">
        <f t="shared" si="1001"/>
        <v>YAMAHA_Mounter</v>
      </c>
      <c r="AS3341" s="22">
        <f t="shared" si="1002"/>
        <v>8</v>
      </c>
      <c r="AT3341" s="24" t="str">
        <f t="shared" si="1003"/>
        <v>&gt; 6 months</v>
      </c>
      <c r="AU3341" s="22" t="s">
        <v>3744</v>
      </c>
    </row>
    <row r="3342" spans="1:47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986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987"/>
        <v>12800000</v>
      </c>
      <c r="AA3342" s="13">
        <v>7.17E-2</v>
      </c>
      <c r="AB3342" s="21">
        <f t="shared" si="989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1"/>
        <v>43684091.636631854</v>
      </c>
      <c r="AJ3342" s="19">
        <f t="shared" si="992"/>
        <v>6483951.8242071122</v>
      </c>
      <c r="AK3342" s="20">
        <f t="shared" si="998"/>
        <v>0.14842821680123736</v>
      </c>
      <c r="AL3342" s="17"/>
      <c r="AM3342" s="17"/>
      <c r="AN3342" s="17"/>
      <c r="AO3342" s="17"/>
      <c r="AP3342" s="28" t="str">
        <f t="shared" si="999"/>
        <v>20214</v>
      </c>
      <c r="AQ3342" s="28" t="str">
        <f t="shared" si="1000"/>
        <v>20214JPY</v>
      </c>
      <c r="AR3342" s="206" t="str">
        <f t="shared" si="1001"/>
        <v>YAMAHA_Mounter</v>
      </c>
      <c r="AS3342" s="22">
        <f t="shared" si="1002"/>
        <v>4</v>
      </c>
      <c r="AT3342" s="24" t="str">
        <f t="shared" si="1003"/>
        <v>4-6 months</v>
      </c>
      <c r="AU3342" s="22" t="s">
        <v>3744</v>
      </c>
    </row>
    <row r="3343" spans="1:47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995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986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987"/>
        <v>640000</v>
      </c>
      <c r="AA3343" s="22">
        <v>1.073</v>
      </c>
      <c r="AB3343" s="197">
        <f t="shared" si="989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1"/>
        <v>499582152.5142017</v>
      </c>
      <c r="AJ3343" s="200">
        <f t="shared" si="992"/>
        <v>59520528.679470733</v>
      </c>
      <c r="AK3343" s="201">
        <f t="shared" si="998"/>
        <v>0.11914062257814291</v>
      </c>
      <c r="AL3343" s="24"/>
      <c r="AM3343" s="24"/>
      <c r="AN3343" s="24"/>
      <c r="AO3343" s="24"/>
      <c r="AP3343" s="28" t="str">
        <f t="shared" si="999"/>
        <v>CancelCancel</v>
      </c>
      <c r="AQ3343" s="208" t="str">
        <f t="shared" si="1000"/>
        <v>CancelCancelRMB</v>
      </c>
      <c r="AR3343" s="206" t="str">
        <f t="shared" si="1001"/>
        <v>YAMAHA_Mounter</v>
      </c>
      <c r="AS3343" s="22" t="str">
        <f t="shared" si="1002"/>
        <v/>
      </c>
      <c r="AT3343" s="24" t="str">
        <f t="shared" si="1003"/>
        <v/>
      </c>
      <c r="AU3343" s="22" t="s">
        <v>3240</v>
      </c>
    </row>
    <row r="3344" spans="1:47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986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987"/>
        <v>9600000</v>
      </c>
      <c r="AA3344" s="13">
        <v>7.2099999999999997E-2</v>
      </c>
      <c r="AB3344" s="21">
        <f t="shared" si="989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1"/>
        <v>26492741.106427077</v>
      </c>
      <c r="AJ3344" s="19">
        <f t="shared" si="992"/>
        <v>3348032.1325698122</v>
      </c>
      <c r="AK3344" s="20">
        <f t="shared" si="998"/>
        <v>0.12637545201985867</v>
      </c>
      <c r="AL3344" s="17"/>
      <c r="AM3344" s="17"/>
      <c r="AN3344" s="17"/>
      <c r="AO3344" s="17"/>
      <c r="AP3344" s="28" t="str">
        <f t="shared" si="999"/>
        <v>20189</v>
      </c>
      <c r="AQ3344" s="28" t="str">
        <f t="shared" si="1000"/>
        <v>20189JPY</v>
      </c>
      <c r="AR3344" s="206" t="str">
        <f t="shared" si="1001"/>
        <v>YAMAHA_Mounter</v>
      </c>
      <c r="AS3344" s="22">
        <f t="shared" si="1002"/>
        <v>2</v>
      </c>
      <c r="AT3344" s="24" t="str">
        <f t="shared" si="1003"/>
        <v>0-3 months</v>
      </c>
      <c r="AU3344" s="22" t="s">
        <v>3744</v>
      </c>
    </row>
    <row r="3345" spans="1:47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986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987"/>
        <v>7771400</v>
      </c>
      <c r="AA3345" s="13">
        <v>7.2099999999999997E-2</v>
      </c>
      <c r="AB3345" s="21">
        <f t="shared" si="989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1"/>
        <v>54700260.692079648</v>
      </c>
      <c r="AJ3345" s="19">
        <f t="shared" si="992"/>
        <v>7482899.5749188727</v>
      </c>
      <c r="AK3345" s="20">
        <f t="shared" si="998"/>
        <v>0.13679824337660537</v>
      </c>
      <c r="AL3345" s="17"/>
      <c r="AM3345" s="17"/>
      <c r="AN3345" s="17"/>
      <c r="AO3345" s="17"/>
      <c r="AP3345" s="28" t="str">
        <f t="shared" si="999"/>
        <v>20216</v>
      </c>
      <c r="AQ3345" s="28" t="str">
        <f t="shared" si="1000"/>
        <v>20216JPY</v>
      </c>
      <c r="AR3345" s="206" t="str">
        <f t="shared" si="1001"/>
        <v>YAMAHA_Non_Mounter</v>
      </c>
      <c r="AS3345" s="22">
        <f t="shared" si="1002"/>
        <v>9</v>
      </c>
      <c r="AT3345" s="24" t="str">
        <f t="shared" si="1003"/>
        <v>&gt; 6 months</v>
      </c>
      <c r="AU3345" s="22" t="s">
        <v>3240</v>
      </c>
    </row>
    <row r="3346" spans="1:47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986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987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1"/>
        <v>29840797.698275864</v>
      </c>
      <c r="AJ3346" s="19">
        <f t="shared" si="992"/>
        <v>3940167.6555448272</v>
      </c>
      <c r="AK3346" s="20">
        <f t="shared" si="998"/>
        <v>0.13203962224416277</v>
      </c>
      <c r="AL3346" s="55"/>
      <c r="AM3346" s="55"/>
      <c r="AN3346" s="55"/>
      <c r="AO3346" s="55"/>
      <c r="AP3346" s="28" t="str">
        <f t="shared" si="999"/>
        <v>201812</v>
      </c>
      <c r="AQ3346" s="28" t="str">
        <f t="shared" si="1000"/>
        <v/>
      </c>
      <c r="AR3346" s="206" t="str">
        <f t="shared" si="1001"/>
        <v>C66 SERVICE</v>
      </c>
      <c r="AS3346" s="22" t="str">
        <f t="shared" si="1002"/>
        <v/>
      </c>
      <c r="AT3346" s="24" t="str">
        <f t="shared" si="1003"/>
        <v/>
      </c>
      <c r="AU3346" s="22">
        <v>0</v>
      </c>
    </row>
    <row r="3347" spans="1:47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986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987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1"/>
        <v>10785027.603448275</v>
      </c>
      <c r="AJ3347" s="19">
        <f t="shared" si="992"/>
        <v>1540894.1297982759</v>
      </c>
      <c r="AK3347" s="20">
        <f t="shared" si="998"/>
        <v>0.1428734525728621</v>
      </c>
      <c r="AL3347" s="55"/>
      <c r="AM3347" s="55"/>
      <c r="AN3347" s="55"/>
      <c r="AO3347" s="55"/>
      <c r="AP3347" s="28" t="str">
        <f t="shared" si="999"/>
        <v>201811</v>
      </c>
      <c r="AQ3347" s="28" t="str">
        <f t="shared" si="1000"/>
        <v/>
      </c>
      <c r="AR3347" s="206" t="str">
        <f t="shared" si="1001"/>
        <v>C66 SERVICE</v>
      </c>
      <c r="AS3347" s="22" t="str">
        <f t="shared" si="1002"/>
        <v/>
      </c>
      <c r="AT3347" s="24" t="str">
        <f t="shared" si="1003"/>
        <v/>
      </c>
      <c r="AU3347" s="22">
        <v>0</v>
      </c>
    </row>
    <row r="3348" spans="1:47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986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987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1"/>
        <v>10786543.370020689</v>
      </c>
      <c r="AJ3348" s="19">
        <f t="shared" si="992"/>
        <v>1330367.5841569281</v>
      </c>
      <c r="AK3348" s="20">
        <f t="shared" si="998"/>
        <v>0.123335858255987</v>
      </c>
      <c r="AL3348" s="55"/>
      <c r="AM3348" s="55"/>
      <c r="AN3348" s="55"/>
      <c r="AO3348" s="55"/>
      <c r="AP3348" s="28" t="str">
        <f t="shared" si="999"/>
        <v>201810</v>
      </c>
      <c r="AQ3348" s="28" t="str">
        <f t="shared" si="1000"/>
        <v/>
      </c>
      <c r="AR3348" s="206" t="str">
        <f t="shared" si="1001"/>
        <v>C66 SERVICE</v>
      </c>
      <c r="AS3348" s="22" t="str">
        <f t="shared" si="1002"/>
        <v/>
      </c>
      <c r="AT3348" s="24" t="str">
        <f t="shared" si="1003"/>
        <v/>
      </c>
      <c r="AU3348" s="22">
        <v>0</v>
      </c>
    </row>
    <row r="3349" spans="1:47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986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987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1"/>
        <v>26492741.106427077</v>
      </c>
      <c r="AJ3349" s="19">
        <f t="shared" si="992"/>
        <v>3348032.1325698122</v>
      </c>
      <c r="AK3349" s="20">
        <f t="shared" si="998"/>
        <v>0.12637545201985867</v>
      </c>
      <c r="AL3349" s="55"/>
      <c r="AM3349" s="55"/>
      <c r="AN3349" s="55"/>
      <c r="AO3349" s="55"/>
      <c r="AP3349" s="28" t="str">
        <f t="shared" si="999"/>
        <v>20189</v>
      </c>
      <c r="AQ3349" s="28" t="str">
        <f t="shared" si="1000"/>
        <v/>
      </c>
      <c r="AR3349" s="206" t="str">
        <f t="shared" si="1001"/>
        <v>C66 SERVICE</v>
      </c>
      <c r="AS3349" s="22" t="str">
        <f t="shared" si="1002"/>
        <v/>
      </c>
      <c r="AT3349" s="24" t="str">
        <f t="shared" si="1003"/>
        <v/>
      </c>
      <c r="AU3349" s="22">
        <v>0</v>
      </c>
    </row>
    <row r="3350" spans="1:47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1004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987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1"/>
        <v>26754147.763010349</v>
      </c>
      <c r="AJ3350" s="19">
        <f t="shared" si="992"/>
        <v>3429137.9965357962</v>
      </c>
      <c r="AK3350" s="20">
        <f t="shared" si="998"/>
        <v>0.12817220069617921</v>
      </c>
      <c r="AL3350" s="55"/>
      <c r="AM3350" s="55"/>
      <c r="AN3350" s="55"/>
      <c r="AO3350" s="55"/>
      <c r="AP3350" s="28" t="str">
        <f t="shared" si="999"/>
        <v>20188</v>
      </c>
      <c r="AQ3350" s="28" t="str">
        <f t="shared" si="1000"/>
        <v/>
      </c>
      <c r="AR3350" s="206" t="str">
        <f t="shared" si="1001"/>
        <v>C66 SERVICE</v>
      </c>
      <c r="AS3350" s="22" t="str">
        <f t="shared" si="1002"/>
        <v/>
      </c>
      <c r="AT3350" s="24" t="str">
        <f t="shared" si="1003"/>
        <v/>
      </c>
      <c r="AU3350" s="22">
        <v>0</v>
      </c>
    </row>
    <row r="3351" spans="1:47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1004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987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1"/>
        <v>29946107.503386207</v>
      </c>
      <c r="AJ3351" s="19">
        <f t="shared" si="992"/>
        <v>3987206.4954923098</v>
      </c>
      <c r="AK3351" s="20">
        <f t="shared" si="998"/>
        <v>0.13314606898547499</v>
      </c>
      <c r="AL3351" s="55"/>
      <c r="AM3351" s="55"/>
      <c r="AN3351" s="55"/>
      <c r="AO3351" s="55"/>
      <c r="AP3351" s="28" t="str">
        <f t="shared" si="999"/>
        <v>20187</v>
      </c>
      <c r="AQ3351" s="28" t="str">
        <f t="shared" si="1000"/>
        <v/>
      </c>
      <c r="AR3351" s="206" t="str">
        <f t="shared" si="1001"/>
        <v>C66 SERVICE</v>
      </c>
      <c r="AS3351" s="22" t="str">
        <f t="shared" si="1002"/>
        <v/>
      </c>
      <c r="AT3351" s="24" t="str">
        <f t="shared" si="1003"/>
        <v/>
      </c>
      <c r="AU3351" s="22">
        <v>0</v>
      </c>
    </row>
    <row r="3352" spans="1:47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1004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987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1"/>
        <v>24398045.86045352</v>
      </c>
      <c r="AJ3352" s="19">
        <f t="shared" si="992"/>
        <v>3478417.4064663448</v>
      </c>
      <c r="AK3352" s="20">
        <f t="shared" si="998"/>
        <v>0.14256950849102498</v>
      </c>
      <c r="AL3352" s="55"/>
      <c r="AM3352" s="55"/>
      <c r="AN3352" s="55"/>
      <c r="AO3352" s="55"/>
      <c r="AP3352" s="28" t="str">
        <f t="shared" si="999"/>
        <v>20186</v>
      </c>
      <c r="AQ3352" s="28" t="str">
        <f t="shared" si="1000"/>
        <v/>
      </c>
      <c r="AR3352" s="206" t="str">
        <f t="shared" si="1001"/>
        <v>C66 SERVICE</v>
      </c>
      <c r="AS3352" s="22" t="str">
        <f t="shared" si="1002"/>
        <v/>
      </c>
      <c r="AT3352" s="24" t="str">
        <f t="shared" si="1003"/>
        <v/>
      </c>
      <c r="AU3352" s="22">
        <v>0</v>
      </c>
    </row>
    <row r="3353" spans="1:47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1004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987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1"/>
        <v>34109166.105589926</v>
      </c>
      <c r="AJ3353" s="19">
        <f t="shared" si="992"/>
        <v>4642032.7199573703</v>
      </c>
      <c r="AK3353" s="20">
        <f t="shared" si="998"/>
        <v>0.13609340977692849</v>
      </c>
      <c r="AL3353" s="55"/>
      <c r="AM3353" s="55"/>
      <c r="AN3353" s="55"/>
      <c r="AO3353" s="55"/>
      <c r="AP3353" s="28" t="str">
        <f t="shared" si="999"/>
        <v>20185</v>
      </c>
      <c r="AQ3353" s="28" t="str">
        <f t="shared" si="1000"/>
        <v/>
      </c>
      <c r="AR3353" s="206" t="str">
        <f t="shared" si="1001"/>
        <v>C66 SERVICE</v>
      </c>
      <c r="AS3353" s="22" t="str">
        <f t="shared" si="1002"/>
        <v/>
      </c>
      <c r="AT3353" s="24" t="str">
        <f t="shared" si="1003"/>
        <v/>
      </c>
      <c r="AU3353" s="22">
        <v>0</v>
      </c>
    </row>
    <row r="3354" spans="1:47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1004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987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1"/>
        <v>29288201.603076916</v>
      </c>
      <c r="AJ3354" s="19">
        <f t="shared" si="992"/>
        <v>3870159.1769246152</v>
      </c>
      <c r="AK3354" s="20">
        <f t="shared" si="998"/>
        <v>0.13214055370740244</v>
      </c>
      <c r="AL3354" s="55"/>
      <c r="AM3354" s="55"/>
      <c r="AN3354" s="55"/>
      <c r="AO3354" s="55"/>
      <c r="AP3354" s="28" t="str">
        <f t="shared" si="999"/>
        <v>20184</v>
      </c>
      <c r="AQ3354" s="28" t="str">
        <f t="shared" si="1000"/>
        <v/>
      </c>
      <c r="AR3354" s="206" t="str">
        <f t="shared" si="1001"/>
        <v>C66 SERVICE</v>
      </c>
      <c r="AS3354" s="22" t="str">
        <f t="shared" si="1002"/>
        <v/>
      </c>
      <c r="AT3354" s="24" t="str">
        <f t="shared" si="1003"/>
        <v/>
      </c>
      <c r="AU3354" s="22">
        <v>0</v>
      </c>
    </row>
    <row r="3355" spans="1:47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1004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987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1"/>
        <v>27318180.088495575</v>
      </c>
      <c r="AJ3355" s="19">
        <f t="shared" si="992"/>
        <v>3014099.212353982</v>
      </c>
      <c r="AK3355" s="20">
        <f t="shared" si="998"/>
        <v>0.11033308963444827</v>
      </c>
      <c r="AL3355" s="55"/>
      <c r="AM3355" s="55"/>
      <c r="AN3355" s="55"/>
      <c r="AO3355" s="55"/>
      <c r="AP3355" s="28" t="str">
        <f t="shared" si="999"/>
        <v>201912</v>
      </c>
      <c r="AQ3355" s="28" t="str">
        <f t="shared" si="1000"/>
        <v/>
      </c>
      <c r="AR3355" s="206" t="str">
        <f t="shared" si="1001"/>
        <v>C66 SERVICE</v>
      </c>
      <c r="AS3355" s="22" t="str">
        <f t="shared" si="1002"/>
        <v/>
      </c>
      <c r="AT3355" s="24" t="str">
        <f t="shared" si="1003"/>
        <v/>
      </c>
      <c r="AU3355" s="22">
        <v>0</v>
      </c>
    </row>
    <row r="3356" spans="1:47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1004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987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1"/>
        <v>26147030.909862842</v>
      </c>
      <c r="AJ3356" s="19">
        <f t="shared" si="992"/>
        <v>2743862.8630715334</v>
      </c>
      <c r="AK3356" s="20">
        <f t="shared" si="998"/>
        <v>0.10493974908778378</v>
      </c>
      <c r="AL3356" s="55"/>
      <c r="AM3356" s="55"/>
      <c r="AN3356" s="55"/>
      <c r="AO3356" s="55"/>
      <c r="AP3356" s="28" t="str">
        <f t="shared" si="999"/>
        <v>201911</v>
      </c>
      <c r="AQ3356" s="28" t="str">
        <f t="shared" si="1000"/>
        <v/>
      </c>
      <c r="AR3356" s="206" t="str">
        <f t="shared" si="1001"/>
        <v>C66 SERVICE</v>
      </c>
      <c r="AS3356" s="22" t="str">
        <f t="shared" si="1002"/>
        <v/>
      </c>
      <c r="AT3356" s="24" t="str">
        <f t="shared" si="1003"/>
        <v/>
      </c>
      <c r="AU3356" s="22">
        <v>0</v>
      </c>
    </row>
    <row r="3357" spans="1:47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1004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987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1"/>
        <v>28647263.974455759</v>
      </c>
      <c r="AJ3357" s="19">
        <f t="shared" si="992"/>
        <v>3219855.6912513468</v>
      </c>
      <c r="AK3357" s="20">
        <f t="shared" si="998"/>
        <v>0.11239662168514358</v>
      </c>
      <c r="AL3357" s="55"/>
      <c r="AM3357" s="55"/>
      <c r="AN3357" s="55"/>
      <c r="AO3357" s="55"/>
      <c r="AP3357" s="28" t="str">
        <f t="shared" si="999"/>
        <v>201910</v>
      </c>
      <c r="AQ3357" s="28" t="str">
        <f t="shared" si="1000"/>
        <v/>
      </c>
      <c r="AR3357" s="206" t="str">
        <f t="shared" si="1001"/>
        <v>C66 SERVICE</v>
      </c>
      <c r="AS3357" s="22" t="str">
        <f t="shared" si="1002"/>
        <v/>
      </c>
      <c r="AT3357" s="24" t="str">
        <f t="shared" si="1003"/>
        <v/>
      </c>
      <c r="AU3357" s="22">
        <v>0</v>
      </c>
    </row>
    <row r="3358" spans="1:47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1004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1005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1"/>
        <v>37599388.802345134</v>
      </c>
      <c r="AJ3358" s="19">
        <f t="shared" si="992"/>
        <v>4866784.3630338367</v>
      </c>
      <c r="AK3358" s="20">
        <f t="shared" si="998"/>
        <v>0.12943785838163113</v>
      </c>
      <c r="AL3358" s="55"/>
      <c r="AM3358" s="55"/>
      <c r="AN3358" s="55"/>
      <c r="AO3358" s="55"/>
      <c r="AP3358" s="28" t="str">
        <f t="shared" si="999"/>
        <v>20199</v>
      </c>
      <c r="AQ3358" s="28" t="str">
        <f t="shared" si="1000"/>
        <v/>
      </c>
      <c r="AR3358" s="206" t="str">
        <f t="shared" si="1001"/>
        <v>C66 SERVICE</v>
      </c>
      <c r="AS3358" s="22" t="str">
        <f t="shared" si="1002"/>
        <v/>
      </c>
      <c r="AT3358" s="24" t="str">
        <f t="shared" si="1003"/>
        <v/>
      </c>
      <c r="AU3358" s="22">
        <v>0</v>
      </c>
    </row>
    <row r="3359" spans="1:47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1004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1005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1"/>
        <v>21386017.707964607</v>
      </c>
      <c r="AJ3359" s="19">
        <f t="shared" si="992"/>
        <v>2238764.3265707968</v>
      </c>
      <c r="AK3359" s="20">
        <f t="shared" si="998"/>
        <v>0.10468355339185161</v>
      </c>
      <c r="AL3359" s="55"/>
      <c r="AM3359" s="55"/>
      <c r="AN3359" s="55"/>
      <c r="AO3359" s="55"/>
      <c r="AP3359" s="28" t="str">
        <f t="shared" si="999"/>
        <v>20198</v>
      </c>
      <c r="AQ3359" s="28" t="str">
        <f t="shared" si="1000"/>
        <v/>
      </c>
      <c r="AR3359" s="206" t="str">
        <f t="shared" si="1001"/>
        <v>C66 SERVICE</v>
      </c>
      <c r="AS3359" s="22" t="str">
        <f t="shared" si="1002"/>
        <v/>
      </c>
      <c r="AT3359" s="24" t="str">
        <f t="shared" si="1003"/>
        <v/>
      </c>
      <c r="AU3359" s="22">
        <v>0</v>
      </c>
    </row>
    <row r="3360" spans="1:47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1004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1005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1"/>
        <v>34015877.71150443</v>
      </c>
      <c r="AJ3360" s="19">
        <f t="shared" si="992"/>
        <v>4446292.375441948</v>
      </c>
      <c r="AK3360" s="20">
        <f t="shared" si="998"/>
        <v>0.13071226364205143</v>
      </c>
      <c r="AL3360" s="55"/>
      <c r="AM3360" s="55"/>
      <c r="AN3360" s="55"/>
      <c r="AO3360" s="55"/>
      <c r="AP3360" s="28" t="str">
        <f t="shared" si="999"/>
        <v>20197</v>
      </c>
      <c r="AQ3360" s="28" t="str">
        <f t="shared" si="1000"/>
        <v/>
      </c>
      <c r="AR3360" s="206" t="str">
        <f t="shared" si="1001"/>
        <v>C66 SERVICE</v>
      </c>
      <c r="AS3360" s="22" t="str">
        <f t="shared" si="1002"/>
        <v/>
      </c>
      <c r="AT3360" s="24" t="str">
        <f t="shared" si="1003"/>
        <v/>
      </c>
      <c r="AU3360" s="22">
        <v>0</v>
      </c>
    </row>
    <row r="3361" spans="1:47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1004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1005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1"/>
        <v>31296887.037898075</v>
      </c>
      <c r="AJ3361" s="19">
        <f t="shared" si="992"/>
        <v>3588873.9502021763</v>
      </c>
      <c r="AK3361" s="20">
        <f t="shared" si="998"/>
        <v>0.11467191436184473</v>
      </c>
      <c r="AL3361" s="55"/>
      <c r="AM3361" s="55"/>
      <c r="AN3361" s="55"/>
      <c r="AO3361" s="55"/>
      <c r="AP3361" s="28" t="str">
        <f t="shared" si="999"/>
        <v>20196</v>
      </c>
      <c r="AQ3361" s="28" t="str">
        <f t="shared" si="1000"/>
        <v/>
      </c>
      <c r="AR3361" s="206" t="str">
        <f t="shared" si="1001"/>
        <v>C66 SERVICE</v>
      </c>
      <c r="AS3361" s="22" t="str">
        <f t="shared" si="1002"/>
        <v/>
      </c>
      <c r="AT3361" s="24" t="str">
        <f t="shared" si="1003"/>
        <v/>
      </c>
      <c r="AU3361" s="22">
        <v>0</v>
      </c>
    </row>
    <row r="3362" spans="1:47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1004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1005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1"/>
        <v>14593788.187146019</v>
      </c>
      <c r="AJ3362" s="19">
        <f t="shared" si="992"/>
        <v>1868647.7321969916</v>
      </c>
      <c r="AK3362" s="20">
        <f t="shared" si="998"/>
        <v>0.12804404916900652</v>
      </c>
      <c r="AL3362" s="55"/>
      <c r="AM3362" s="55"/>
      <c r="AN3362" s="55"/>
      <c r="AO3362" s="55"/>
      <c r="AP3362" s="28" t="str">
        <f t="shared" si="999"/>
        <v>20195</v>
      </c>
      <c r="AQ3362" s="28" t="str">
        <f t="shared" si="1000"/>
        <v/>
      </c>
      <c r="AR3362" s="206" t="str">
        <f t="shared" si="1001"/>
        <v>C66 SERVICE</v>
      </c>
      <c r="AS3362" s="22" t="str">
        <f t="shared" si="1002"/>
        <v/>
      </c>
      <c r="AT3362" s="24" t="str">
        <f t="shared" si="1003"/>
        <v/>
      </c>
      <c r="AU3362" s="22">
        <v>0</v>
      </c>
    </row>
    <row r="3363" spans="1:47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1004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1005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1"/>
        <v>32843736.557277881</v>
      </c>
      <c r="AJ3363" s="19">
        <f t="shared" si="992"/>
        <v>3921470.6822663117</v>
      </c>
      <c r="AK3363" s="20">
        <f t="shared" si="998"/>
        <v>0.11939782416131177</v>
      </c>
      <c r="AL3363" s="55"/>
      <c r="AM3363" s="55"/>
      <c r="AN3363" s="55"/>
      <c r="AO3363" s="55"/>
      <c r="AP3363" s="28" t="str">
        <f t="shared" si="999"/>
        <v>20194</v>
      </c>
      <c r="AQ3363" s="28" t="str">
        <f t="shared" si="1000"/>
        <v/>
      </c>
      <c r="AR3363" s="206" t="str">
        <f t="shared" si="1001"/>
        <v>C66 SERVICE</v>
      </c>
      <c r="AS3363" s="22" t="str">
        <f t="shared" si="1002"/>
        <v/>
      </c>
      <c r="AT3363" s="24" t="str">
        <f t="shared" si="1003"/>
        <v/>
      </c>
      <c r="AU3363" s="22">
        <v>0</v>
      </c>
    </row>
    <row r="3364" spans="1:47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1004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1005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1"/>
        <v>47416008.333399981</v>
      </c>
      <c r="AJ3364" s="19">
        <f t="shared" si="992"/>
        <v>6981738.4465290187</v>
      </c>
      <c r="AK3364" s="20">
        <f t="shared" si="998"/>
        <v>0.14724433143839863</v>
      </c>
      <c r="AL3364" s="55"/>
      <c r="AM3364" s="55"/>
      <c r="AN3364" s="55"/>
      <c r="AO3364" s="55"/>
      <c r="AP3364" s="28" t="str">
        <f t="shared" si="999"/>
        <v>20193</v>
      </c>
      <c r="AQ3364" s="28" t="str">
        <f t="shared" si="1000"/>
        <v/>
      </c>
      <c r="AR3364" s="206" t="str">
        <f t="shared" si="1001"/>
        <v>C66 SERVICE</v>
      </c>
      <c r="AS3364" s="22" t="str">
        <f t="shared" si="1002"/>
        <v/>
      </c>
      <c r="AT3364" s="24" t="str">
        <f t="shared" si="1003"/>
        <v/>
      </c>
      <c r="AU3364" s="22">
        <v>0</v>
      </c>
    </row>
    <row r="3365" spans="1:47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1004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1005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1"/>
        <v>16455710.386637932</v>
      </c>
      <c r="AJ3365" s="19">
        <f t="shared" si="992"/>
        <v>2150644.6466930606</v>
      </c>
      <c r="AK3365" s="20">
        <f t="shared" si="998"/>
        <v>0.13069290818580451</v>
      </c>
      <c r="AL3365" s="55"/>
      <c r="AM3365" s="55"/>
      <c r="AN3365" s="55"/>
      <c r="AO3365" s="55"/>
      <c r="AP3365" s="28" t="str">
        <f t="shared" si="999"/>
        <v>20192</v>
      </c>
      <c r="AQ3365" s="28" t="str">
        <f t="shared" si="1000"/>
        <v/>
      </c>
      <c r="AR3365" s="206" t="str">
        <f t="shared" si="1001"/>
        <v>C66 SERVICE</v>
      </c>
      <c r="AS3365" s="22" t="str">
        <f t="shared" si="1002"/>
        <v/>
      </c>
      <c r="AT3365" s="24" t="str">
        <f t="shared" si="1003"/>
        <v/>
      </c>
      <c r="AU3365" s="22">
        <v>0</v>
      </c>
    </row>
    <row r="3366" spans="1:47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1004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1005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1"/>
        <v>23237072.69172414</v>
      </c>
      <c r="AJ3366" s="19">
        <f t="shared" si="992"/>
        <v>2402195.7372206897</v>
      </c>
      <c r="AK3366" s="20">
        <f t="shared" si="998"/>
        <v>0.10337772614862238</v>
      </c>
      <c r="AL3366" s="55"/>
      <c r="AM3366" s="55"/>
      <c r="AN3366" s="55"/>
      <c r="AO3366" s="55"/>
      <c r="AP3366" s="28" t="str">
        <f t="shared" si="999"/>
        <v>20191</v>
      </c>
      <c r="AQ3366" s="28" t="str">
        <f t="shared" si="1000"/>
        <v/>
      </c>
      <c r="AR3366" s="206" t="str">
        <f t="shared" si="1001"/>
        <v>C66 SERVICE</v>
      </c>
      <c r="AS3366" s="22" t="str">
        <f t="shared" si="1002"/>
        <v/>
      </c>
      <c r="AT3366" s="24" t="str">
        <f t="shared" si="1003"/>
        <v/>
      </c>
      <c r="AU3366" s="22">
        <v>0</v>
      </c>
    </row>
    <row r="3367" spans="1:47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1004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1005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1"/>
        <v>48763143.537654862</v>
      </c>
      <c r="AJ3367" s="19">
        <f t="shared" si="992"/>
        <v>5924029.9702154724</v>
      </c>
      <c r="AK3367" s="20">
        <f t="shared" si="998"/>
        <v>0.1214858095774925</v>
      </c>
      <c r="AL3367" s="55"/>
      <c r="AM3367" s="55"/>
      <c r="AN3367" s="55"/>
      <c r="AO3367" s="55"/>
      <c r="AP3367" s="28" t="str">
        <f t="shared" si="999"/>
        <v>202012</v>
      </c>
      <c r="AQ3367" s="28" t="str">
        <f t="shared" si="1000"/>
        <v/>
      </c>
      <c r="AR3367" s="206" t="str">
        <f t="shared" si="1001"/>
        <v>C66 SERVICE</v>
      </c>
      <c r="AS3367" s="22" t="str">
        <f t="shared" si="1002"/>
        <v/>
      </c>
      <c r="AT3367" s="24" t="str">
        <f t="shared" si="1003"/>
        <v/>
      </c>
      <c r="AU3367" s="22">
        <v>0</v>
      </c>
    </row>
    <row r="3368" spans="1:47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1004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1005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1"/>
        <v>48763143.537654862</v>
      </c>
      <c r="AJ3368" s="19">
        <f t="shared" si="992"/>
        <v>5924029.9702154724</v>
      </c>
      <c r="AK3368" s="20">
        <f t="shared" si="998"/>
        <v>0.1214858095774925</v>
      </c>
      <c r="AL3368" s="55"/>
      <c r="AM3368" s="55"/>
      <c r="AN3368" s="55"/>
      <c r="AO3368" s="55"/>
      <c r="AP3368" s="28" t="str">
        <f t="shared" si="999"/>
        <v>202012</v>
      </c>
      <c r="AQ3368" s="28" t="str">
        <f t="shared" si="1000"/>
        <v/>
      </c>
      <c r="AR3368" s="206" t="str">
        <f t="shared" si="1001"/>
        <v>C66 SERVICE</v>
      </c>
      <c r="AS3368" s="22" t="str">
        <f t="shared" si="1002"/>
        <v/>
      </c>
      <c r="AT3368" s="24" t="str">
        <f t="shared" si="1003"/>
        <v/>
      </c>
      <c r="AU3368" s="22">
        <v>0</v>
      </c>
    </row>
    <row r="3369" spans="1:47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1004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1005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1"/>
        <v>48763143.537654862</v>
      </c>
      <c r="AJ3369" s="19">
        <f t="shared" si="992"/>
        <v>5924029.9702154724</v>
      </c>
      <c r="AK3369" s="20">
        <f t="shared" si="998"/>
        <v>0.1214858095774925</v>
      </c>
      <c r="AL3369" s="55"/>
      <c r="AM3369" s="55"/>
      <c r="AN3369" s="55"/>
      <c r="AO3369" s="55"/>
      <c r="AP3369" s="28" t="str">
        <f t="shared" si="999"/>
        <v>202012</v>
      </c>
      <c r="AQ3369" s="28" t="str">
        <f t="shared" si="1000"/>
        <v/>
      </c>
      <c r="AR3369" s="206" t="str">
        <f t="shared" si="1001"/>
        <v>C66 SERVICE</v>
      </c>
      <c r="AS3369" s="22" t="str">
        <f t="shared" si="1002"/>
        <v/>
      </c>
      <c r="AT3369" s="24" t="str">
        <f t="shared" si="1003"/>
        <v/>
      </c>
      <c r="AU3369" s="22">
        <v>0</v>
      </c>
    </row>
    <row r="3370" spans="1:47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1004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1005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1"/>
        <v>48763143.537654862</v>
      </c>
      <c r="AJ3370" s="19">
        <f t="shared" si="992"/>
        <v>5924029.9702154724</v>
      </c>
      <c r="AK3370" s="20">
        <f t="shared" si="998"/>
        <v>0.1214858095774925</v>
      </c>
      <c r="AL3370" s="55"/>
      <c r="AM3370" s="55"/>
      <c r="AN3370" s="55"/>
      <c r="AO3370" s="55"/>
      <c r="AP3370" s="28" t="str">
        <f t="shared" si="999"/>
        <v>202012</v>
      </c>
      <c r="AQ3370" s="28" t="str">
        <f t="shared" si="1000"/>
        <v/>
      </c>
      <c r="AR3370" s="206" t="str">
        <f t="shared" si="1001"/>
        <v>C66 SERVICE</v>
      </c>
      <c r="AS3370" s="22" t="str">
        <f t="shared" si="1002"/>
        <v/>
      </c>
      <c r="AT3370" s="24" t="str">
        <f t="shared" si="1003"/>
        <v/>
      </c>
      <c r="AU3370" s="22">
        <v>0</v>
      </c>
    </row>
    <row r="3371" spans="1:47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1004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1005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1"/>
        <v>44078731.611185849</v>
      </c>
      <c r="AJ3371" s="19">
        <f t="shared" si="992"/>
        <v>5508173.2163771465</v>
      </c>
      <c r="AK3371" s="20">
        <f t="shared" si="998"/>
        <v>0.12496215328889679</v>
      </c>
      <c r="AL3371" s="55"/>
      <c r="AM3371" s="55"/>
      <c r="AN3371" s="55"/>
      <c r="AO3371" s="55"/>
      <c r="AP3371" s="28" t="str">
        <f t="shared" si="999"/>
        <v>202011</v>
      </c>
      <c r="AQ3371" s="28" t="str">
        <f t="shared" si="1000"/>
        <v/>
      </c>
      <c r="AR3371" s="206" t="str">
        <f t="shared" si="1001"/>
        <v>C66 SERVICE</v>
      </c>
      <c r="AS3371" s="22" t="str">
        <f t="shared" si="1002"/>
        <v/>
      </c>
      <c r="AT3371" s="24" t="str">
        <f t="shared" si="1003"/>
        <v/>
      </c>
      <c r="AU3371" s="22">
        <v>0</v>
      </c>
    </row>
    <row r="3372" spans="1:47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1004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1005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1"/>
        <v>44078731.611185849</v>
      </c>
      <c r="AJ3372" s="19">
        <f t="shared" si="992"/>
        <v>5508173.2163771465</v>
      </c>
      <c r="AK3372" s="20">
        <f t="shared" si="998"/>
        <v>0.12496215328889679</v>
      </c>
      <c r="AL3372" s="55"/>
      <c r="AM3372" s="55"/>
      <c r="AN3372" s="55"/>
      <c r="AO3372" s="55"/>
      <c r="AP3372" s="28" t="str">
        <f t="shared" si="999"/>
        <v>202011</v>
      </c>
      <c r="AQ3372" s="28" t="str">
        <f t="shared" si="1000"/>
        <v/>
      </c>
      <c r="AR3372" s="206" t="str">
        <f t="shared" si="1001"/>
        <v>C66 SERVICE</v>
      </c>
      <c r="AS3372" s="22" t="str">
        <f t="shared" si="1002"/>
        <v/>
      </c>
      <c r="AT3372" s="24" t="str">
        <f t="shared" si="1003"/>
        <v/>
      </c>
      <c r="AU3372" s="22">
        <v>0</v>
      </c>
    </row>
    <row r="3373" spans="1:47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1004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1005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1"/>
        <v>44078731.611185849</v>
      </c>
      <c r="AJ3373" s="19">
        <f t="shared" si="992"/>
        <v>5508173.2163771465</v>
      </c>
      <c r="AK3373" s="20">
        <f t="shared" si="998"/>
        <v>0.12496215328889679</v>
      </c>
      <c r="AL3373" s="55"/>
      <c r="AM3373" s="55"/>
      <c r="AN3373" s="55"/>
      <c r="AO3373" s="55"/>
      <c r="AP3373" s="28" t="str">
        <f t="shared" si="999"/>
        <v>202011</v>
      </c>
      <c r="AQ3373" s="28" t="str">
        <f t="shared" si="1000"/>
        <v/>
      </c>
      <c r="AR3373" s="206" t="str">
        <f t="shared" si="1001"/>
        <v>C66 SERVICE</v>
      </c>
      <c r="AS3373" s="22" t="str">
        <f t="shared" si="1002"/>
        <v/>
      </c>
      <c r="AT3373" s="24" t="str">
        <f t="shared" si="1003"/>
        <v/>
      </c>
      <c r="AU3373" s="22">
        <v>0</v>
      </c>
    </row>
    <row r="3374" spans="1:47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1004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1005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1"/>
        <v>44078731.611185849</v>
      </c>
      <c r="AJ3374" s="19">
        <f t="shared" si="992"/>
        <v>5508173.2163771465</v>
      </c>
      <c r="AK3374" s="20">
        <f t="shared" si="998"/>
        <v>0.12496215328889679</v>
      </c>
      <c r="AL3374" s="55"/>
      <c r="AM3374" s="55"/>
      <c r="AN3374" s="55"/>
      <c r="AO3374" s="55"/>
      <c r="AP3374" s="28" t="str">
        <f t="shared" si="999"/>
        <v>202011</v>
      </c>
      <c r="AQ3374" s="28" t="str">
        <f t="shared" si="1000"/>
        <v/>
      </c>
      <c r="AR3374" s="206" t="str">
        <f t="shared" si="1001"/>
        <v>C66 SERVICE</v>
      </c>
      <c r="AS3374" s="22" t="str">
        <f t="shared" si="1002"/>
        <v/>
      </c>
      <c r="AT3374" s="24" t="str">
        <f t="shared" si="1003"/>
        <v/>
      </c>
      <c r="AU3374" s="22">
        <v>0</v>
      </c>
    </row>
    <row r="3375" spans="1:47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1004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1005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1"/>
        <v>28011162.254106201</v>
      </c>
      <c r="AJ3375" s="19">
        <f t="shared" si="992"/>
        <v>3401347.1124888416</v>
      </c>
      <c r="AK3375" s="20">
        <f t="shared" si="998"/>
        <v>0.12142827497242578</v>
      </c>
      <c r="AL3375" s="55"/>
      <c r="AM3375" s="55"/>
      <c r="AN3375" s="55"/>
      <c r="AO3375" s="55"/>
      <c r="AP3375" s="28" t="str">
        <f t="shared" si="999"/>
        <v>202010</v>
      </c>
      <c r="AQ3375" s="28" t="str">
        <f t="shared" si="1000"/>
        <v/>
      </c>
      <c r="AR3375" s="206" t="str">
        <f t="shared" si="1001"/>
        <v>C66 SERVICE</v>
      </c>
      <c r="AS3375" s="22" t="str">
        <f t="shared" si="1002"/>
        <v/>
      </c>
      <c r="AT3375" s="24" t="str">
        <f t="shared" si="1003"/>
        <v/>
      </c>
      <c r="AU3375" s="22">
        <v>0</v>
      </c>
    </row>
    <row r="3376" spans="1:47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1004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1005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1"/>
        <v>28011162.254106201</v>
      </c>
      <c r="AJ3376" s="19">
        <f t="shared" si="992"/>
        <v>3401347.1124888416</v>
      </c>
      <c r="AK3376" s="20">
        <f t="shared" si="998"/>
        <v>0.12142827497242578</v>
      </c>
      <c r="AL3376" s="55"/>
      <c r="AM3376" s="55"/>
      <c r="AN3376" s="55"/>
      <c r="AO3376" s="55"/>
      <c r="AP3376" s="28" t="str">
        <f t="shared" si="999"/>
        <v>202010</v>
      </c>
      <c r="AQ3376" s="28" t="str">
        <f t="shared" si="1000"/>
        <v/>
      </c>
      <c r="AR3376" s="206" t="str">
        <f t="shared" si="1001"/>
        <v>C66 SERVICE</v>
      </c>
      <c r="AS3376" s="22" t="str">
        <f t="shared" si="1002"/>
        <v/>
      </c>
      <c r="AT3376" s="24" t="str">
        <f t="shared" si="1003"/>
        <v/>
      </c>
      <c r="AU3376" s="22">
        <v>0</v>
      </c>
    </row>
    <row r="3377" spans="1:47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1004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1005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1"/>
        <v>28011162.254106201</v>
      </c>
      <c r="AJ3377" s="19">
        <f t="shared" si="992"/>
        <v>3401347.1124888416</v>
      </c>
      <c r="AK3377" s="20">
        <f t="shared" si="998"/>
        <v>0.12142827497242578</v>
      </c>
      <c r="AL3377" s="55"/>
      <c r="AM3377" s="55"/>
      <c r="AN3377" s="55"/>
      <c r="AO3377" s="55"/>
      <c r="AP3377" s="28" t="str">
        <f t="shared" si="999"/>
        <v>202010</v>
      </c>
      <c r="AQ3377" s="28" t="str">
        <f t="shared" si="1000"/>
        <v/>
      </c>
      <c r="AR3377" s="206" t="str">
        <f t="shared" si="1001"/>
        <v>C66 SERVICE</v>
      </c>
      <c r="AS3377" s="22" t="str">
        <f t="shared" si="1002"/>
        <v/>
      </c>
      <c r="AT3377" s="24" t="str">
        <f t="shared" si="1003"/>
        <v/>
      </c>
      <c r="AU3377" s="22">
        <v>0</v>
      </c>
    </row>
    <row r="3378" spans="1:47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1004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1005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1"/>
        <v>28011162.254106201</v>
      </c>
      <c r="AJ3378" s="19">
        <f t="shared" si="992"/>
        <v>3401347.1124888416</v>
      </c>
      <c r="AK3378" s="20">
        <f t="shared" si="998"/>
        <v>0.12142827497242578</v>
      </c>
      <c r="AL3378" s="55"/>
      <c r="AM3378" s="55"/>
      <c r="AN3378" s="55"/>
      <c r="AO3378" s="55"/>
      <c r="AP3378" s="28" t="str">
        <f t="shared" si="999"/>
        <v>202010</v>
      </c>
      <c r="AQ3378" s="28" t="str">
        <f t="shared" si="1000"/>
        <v/>
      </c>
      <c r="AR3378" s="206" t="str">
        <f t="shared" si="1001"/>
        <v>C66 SERVICE</v>
      </c>
      <c r="AS3378" s="22" t="str">
        <f t="shared" si="1002"/>
        <v/>
      </c>
      <c r="AT3378" s="24" t="str">
        <f t="shared" si="1003"/>
        <v/>
      </c>
      <c r="AU3378" s="22">
        <v>0</v>
      </c>
    </row>
    <row r="3379" spans="1:47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1004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1005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1"/>
        <v>47907808.356810622</v>
      </c>
      <c r="AJ3379" s="19">
        <f t="shared" si="992"/>
        <v>6027384.8806384448</v>
      </c>
      <c r="AK3379" s="20">
        <f t="shared" si="998"/>
        <v>0.12581216063459488</v>
      </c>
      <c r="AL3379" s="55"/>
      <c r="AM3379" s="55"/>
      <c r="AN3379" s="55"/>
      <c r="AO3379" s="55"/>
      <c r="AP3379" s="28" t="str">
        <f t="shared" si="999"/>
        <v>20209</v>
      </c>
      <c r="AQ3379" s="28" t="str">
        <f t="shared" si="1000"/>
        <v/>
      </c>
      <c r="AR3379" s="206" t="str">
        <f t="shared" si="1001"/>
        <v>C66 SERVICE</v>
      </c>
      <c r="AS3379" s="22" t="str">
        <f t="shared" si="1002"/>
        <v/>
      </c>
      <c r="AT3379" s="24" t="str">
        <f t="shared" si="1003"/>
        <v/>
      </c>
      <c r="AU3379" s="22">
        <v>0</v>
      </c>
    </row>
    <row r="3380" spans="1:47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1004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1005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1"/>
        <v>47907808.356810622</v>
      </c>
      <c r="AJ3380" s="19">
        <f t="shared" si="992"/>
        <v>6027384.8806384448</v>
      </c>
      <c r="AK3380" s="20">
        <f t="shared" si="998"/>
        <v>0.12581216063459488</v>
      </c>
      <c r="AL3380" s="55"/>
      <c r="AM3380" s="55"/>
      <c r="AN3380" s="55"/>
      <c r="AO3380" s="55"/>
      <c r="AP3380" s="28" t="str">
        <f t="shared" si="999"/>
        <v>20209</v>
      </c>
      <c r="AQ3380" s="28" t="str">
        <f t="shared" si="1000"/>
        <v/>
      </c>
      <c r="AR3380" s="206" t="str">
        <f t="shared" si="1001"/>
        <v>C66 SERVICE</v>
      </c>
      <c r="AS3380" s="22" t="str">
        <f t="shared" si="1002"/>
        <v/>
      </c>
      <c r="AT3380" s="24" t="str">
        <f t="shared" si="1003"/>
        <v/>
      </c>
      <c r="AU3380" s="22">
        <v>0</v>
      </c>
    </row>
    <row r="3381" spans="1:47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1004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1005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1"/>
        <v>47907808.356810622</v>
      </c>
      <c r="AJ3381" s="19">
        <f t="shared" si="992"/>
        <v>6027384.8806384448</v>
      </c>
      <c r="AK3381" s="20">
        <f t="shared" si="998"/>
        <v>0.12581216063459488</v>
      </c>
      <c r="AL3381" s="55"/>
      <c r="AM3381" s="55"/>
      <c r="AN3381" s="55"/>
      <c r="AO3381" s="55"/>
      <c r="AP3381" s="28" t="str">
        <f t="shared" si="999"/>
        <v>20209</v>
      </c>
      <c r="AQ3381" s="28" t="str">
        <f t="shared" si="1000"/>
        <v/>
      </c>
      <c r="AR3381" s="206" t="str">
        <f t="shared" si="1001"/>
        <v>C66 SERVICE</v>
      </c>
      <c r="AS3381" s="22" t="str">
        <f t="shared" si="1002"/>
        <v/>
      </c>
      <c r="AT3381" s="24" t="str">
        <f t="shared" si="1003"/>
        <v/>
      </c>
      <c r="AU3381" s="22">
        <v>0</v>
      </c>
    </row>
    <row r="3382" spans="1:47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1004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1005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1"/>
        <v>47907808.356810622</v>
      </c>
      <c r="AJ3382" s="19">
        <f t="shared" si="992"/>
        <v>6027384.8806384448</v>
      </c>
      <c r="AK3382" s="20">
        <f t="shared" si="998"/>
        <v>0.12581216063459488</v>
      </c>
      <c r="AL3382" s="55"/>
      <c r="AM3382" s="55"/>
      <c r="AN3382" s="55"/>
      <c r="AO3382" s="55"/>
      <c r="AP3382" s="28" t="str">
        <f t="shared" si="999"/>
        <v>20209</v>
      </c>
      <c r="AQ3382" s="28" t="str">
        <f t="shared" si="1000"/>
        <v/>
      </c>
      <c r="AR3382" s="206" t="str">
        <f t="shared" si="1001"/>
        <v>C66 SERVICE</v>
      </c>
      <c r="AS3382" s="22" t="str">
        <f t="shared" si="1002"/>
        <v/>
      </c>
      <c r="AT3382" s="24" t="str">
        <f t="shared" si="1003"/>
        <v/>
      </c>
      <c r="AU3382" s="22">
        <v>0</v>
      </c>
    </row>
    <row r="3383" spans="1:47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1004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1005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1"/>
        <v>37969334.083628319</v>
      </c>
      <c r="AJ3383" s="19">
        <f t="shared" si="992"/>
        <v>5097226.4551657084</v>
      </c>
      <c r="AK3383" s="20">
        <f t="shared" si="998"/>
        <v>0.13424587441904964</v>
      </c>
      <c r="AL3383" s="55"/>
      <c r="AM3383" s="55"/>
      <c r="AN3383" s="55"/>
      <c r="AO3383" s="55"/>
      <c r="AP3383" s="28" t="str">
        <f t="shared" si="999"/>
        <v>20208</v>
      </c>
      <c r="AQ3383" s="28" t="str">
        <f t="shared" si="1000"/>
        <v/>
      </c>
      <c r="AR3383" s="206" t="str">
        <f t="shared" si="1001"/>
        <v>C66 SERVICE</v>
      </c>
      <c r="AS3383" s="22" t="str">
        <f t="shared" si="1002"/>
        <v/>
      </c>
      <c r="AT3383" s="24" t="str">
        <f t="shared" si="1003"/>
        <v/>
      </c>
      <c r="AU3383" s="22">
        <v>0</v>
      </c>
    </row>
    <row r="3384" spans="1:47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1004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1005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1"/>
        <v>37969334.083628319</v>
      </c>
      <c r="AJ3384" s="19">
        <f t="shared" si="992"/>
        <v>5097226.4551657084</v>
      </c>
      <c r="AK3384" s="20">
        <f t="shared" si="998"/>
        <v>0.13424587441904964</v>
      </c>
      <c r="AL3384" s="55"/>
      <c r="AM3384" s="55"/>
      <c r="AN3384" s="55"/>
      <c r="AO3384" s="55"/>
      <c r="AP3384" s="28" t="str">
        <f t="shared" si="999"/>
        <v>20208</v>
      </c>
      <c r="AQ3384" s="28" t="str">
        <f t="shared" si="1000"/>
        <v/>
      </c>
      <c r="AR3384" s="206" t="str">
        <f t="shared" si="1001"/>
        <v>C66 SERVICE</v>
      </c>
      <c r="AS3384" s="22" t="str">
        <f t="shared" si="1002"/>
        <v/>
      </c>
      <c r="AT3384" s="24" t="str">
        <f t="shared" si="1003"/>
        <v/>
      </c>
      <c r="AU3384" s="22">
        <v>0</v>
      </c>
    </row>
    <row r="3385" spans="1:47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1004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1005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1"/>
        <v>37969334.083628319</v>
      </c>
      <c r="AJ3385" s="19">
        <f t="shared" si="992"/>
        <v>5097226.4551657084</v>
      </c>
      <c r="AK3385" s="20">
        <f t="shared" si="998"/>
        <v>0.13424587441904964</v>
      </c>
      <c r="AL3385" s="55"/>
      <c r="AM3385" s="55"/>
      <c r="AN3385" s="55"/>
      <c r="AO3385" s="55"/>
      <c r="AP3385" s="28" t="str">
        <f t="shared" si="999"/>
        <v>20208</v>
      </c>
      <c r="AQ3385" s="28" t="str">
        <f t="shared" si="1000"/>
        <v/>
      </c>
      <c r="AR3385" s="206" t="str">
        <f t="shared" si="1001"/>
        <v>C66 SERVICE</v>
      </c>
      <c r="AS3385" s="22" t="str">
        <f t="shared" si="1002"/>
        <v/>
      </c>
      <c r="AT3385" s="24" t="str">
        <f t="shared" si="1003"/>
        <v/>
      </c>
      <c r="AU3385" s="22">
        <v>0</v>
      </c>
    </row>
    <row r="3386" spans="1:47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1004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1005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1"/>
        <v>37969334.083628319</v>
      </c>
      <c r="AJ3386" s="19">
        <f t="shared" si="992"/>
        <v>5097226.4551657084</v>
      </c>
      <c r="AK3386" s="20">
        <f t="shared" si="998"/>
        <v>0.13424587441904964</v>
      </c>
      <c r="AL3386" s="55"/>
      <c r="AM3386" s="55"/>
      <c r="AN3386" s="55"/>
      <c r="AO3386" s="55"/>
      <c r="AP3386" s="28" t="str">
        <f t="shared" si="999"/>
        <v>20208</v>
      </c>
      <c r="AQ3386" s="28" t="str">
        <f t="shared" si="1000"/>
        <v/>
      </c>
      <c r="AR3386" s="206" t="str">
        <f t="shared" si="1001"/>
        <v>C66 SERVICE</v>
      </c>
      <c r="AS3386" s="22" t="str">
        <f t="shared" si="1002"/>
        <v/>
      </c>
      <c r="AT3386" s="24" t="str">
        <f t="shared" si="1003"/>
        <v/>
      </c>
      <c r="AU3386" s="22">
        <v>0</v>
      </c>
    </row>
    <row r="3387" spans="1:47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1004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1005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1"/>
        <v>35384300.169380538</v>
      </c>
      <c r="AJ3387" s="19">
        <f t="shared" si="992"/>
        <v>5044538.8896988509</v>
      </c>
      <c r="AK3387" s="20">
        <f t="shared" si="998"/>
        <v>0.14256432557804533</v>
      </c>
      <c r="AL3387" s="55"/>
      <c r="AM3387" s="55"/>
      <c r="AN3387" s="55"/>
      <c r="AO3387" s="55"/>
      <c r="AP3387" s="28" t="str">
        <f t="shared" si="999"/>
        <v>20207</v>
      </c>
      <c r="AQ3387" s="28" t="str">
        <f t="shared" si="1000"/>
        <v/>
      </c>
      <c r="AR3387" s="206" t="str">
        <f t="shared" si="1001"/>
        <v>C66 SERVICE</v>
      </c>
      <c r="AS3387" s="22" t="str">
        <f t="shared" si="1002"/>
        <v/>
      </c>
      <c r="AT3387" s="24" t="str">
        <f t="shared" si="1003"/>
        <v/>
      </c>
      <c r="AU3387" s="22">
        <v>0</v>
      </c>
    </row>
    <row r="3388" spans="1:47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1004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1005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1"/>
        <v>35384300.169380538</v>
      </c>
      <c r="AJ3388" s="19">
        <f t="shared" si="992"/>
        <v>5044538.8896988509</v>
      </c>
      <c r="AK3388" s="20">
        <f t="shared" si="998"/>
        <v>0.14256432557804533</v>
      </c>
      <c r="AL3388" s="55"/>
      <c r="AM3388" s="55"/>
      <c r="AN3388" s="55"/>
      <c r="AO3388" s="55"/>
      <c r="AP3388" s="28" t="str">
        <f t="shared" si="999"/>
        <v>20207</v>
      </c>
      <c r="AQ3388" s="28" t="str">
        <f t="shared" si="1000"/>
        <v/>
      </c>
      <c r="AR3388" s="206" t="str">
        <f t="shared" si="1001"/>
        <v>C66 SERVICE</v>
      </c>
      <c r="AS3388" s="22" t="str">
        <f t="shared" si="1002"/>
        <v/>
      </c>
      <c r="AT3388" s="24" t="str">
        <f t="shared" si="1003"/>
        <v/>
      </c>
      <c r="AU3388" s="22">
        <v>0</v>
      </c>
    </row>
    <row r="3389" spans="1:47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1004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1005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1"/>
        <v>35384300.169380538</v>
      </c>
      <c r="AJ3389" s="19">
        <f t="shared" si="992"/>
        <v>5044538.8896988509</v>
      </c>
      <c r="AK3389" s="20">
        <f t="shared" si="998"/>
        <v>0.14256432557804533</v>
      </c>
      <c r="AL3389" s="55"/>
      <c r="AM3389" s="55"/>
      <c r="AN3389" s="55"/>
      <c r="AO3389" s="55"/>
      <c r="AP3389" s="28" t="str">
        <f t="shared" si="999"/>
        <v>20207</v>
      </c>
      <c r="AQ3389" s="28" t="str">
        <f t="shared" si="1000"/>
        <v/>
      </c>
      <c r="AR3389" s="206" t="str">
        <f t="shared" si="1001"/>
        <v>C66 SERVICE</v>
      </c>
      <c r="AS3389" s="22" t="str">
        <f t="shared" si="1002"/>
        <v/>
      </c>
      <c r="AT3389" s="24" t="str">
        <f t="shared" si="1003"/>
        <v/>
      </c>
      <c r="AU3389" s="22">
        <v>0</v>
      </c>
    </row>
    <row r="3390" spans="1:47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1004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1005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1"/>
        <v>35384300.169380538</v>
      </c>
      <c r="AJ3390" s="19">
        <f t="shared" si="992"/>
        <v>5044538.8896988509</v>
      </c>
      <c r="AK3390" s="20">
        <f t="shared" si="998"/>
        <v>0.14256432557804533</v>
      </c>
      <c r="AL3390" s="55"/>
      <c r="AM3390" s="55"/>
      <c r="AN3390" s="55"/>
      <c r="AO3390" s="55"/>
      <c r="AP3390" s="28" t="str">
        <f t="shared" si="999"/>
        <v>20207</v>
      </c>
      <c r="AQ3390" s="28" t="str">
        <f t="shared" si="1000"/>
        <v/>
      </c>
      <c r="AR3390" s="206" t="str">
        <f t="shared" si="1001"/>
        <v>C66 SERVICE</v>
      </c>
      <c r="AS3390" s="22" t="str">
        <f t="shared" si="1002"/>
        <v/>
      </c>
      <c r="AT3390" s="24" t="str">
        <f t="shared" si="1003"/>
        <v/>
      </c>
      <c r="AU3390" s="22">
        <v>0</v>
      </c>
    </row>
    <row r="3391" spans="1:47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1004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1005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1"/>
        <v>29183109.05575221</v>
      </c>
      <c r="AJ3391" s="19">
        <f t="shared" si="992"/>
        <v>3741266.5648721238</v>
      </c>
      <c r="AK3391" s="20">
        <f t="shared" si="998"/>
        <v>0.12819972531798121</v>
      </c>
      <c r="AL3391" s="55"/>
      <c r="AM3391" s="55"/>
      <c r="AN3391" s="55"/>
      <c r="AO3391" s="55"/>
      <c r="AP3391" s="28" t="str">
        <f t="shared" si="999"/>
        <v>20206</v>
      </c>
      <c r="AQ3391" s="28" t="str">
        <f t="shared" si="1000"/>
        <v/>
      </c>
      <c r="AR3391" s="206" t="str">
        <f t="shared" si="1001"/>
        <v>C66 SERVICE</v>
      </c>
      <c r="AS3391" s="22" t="str">
        <f t="shared" si="1002"/>
        <v/>
      </c>
      <c r="AT3391" s="24" t="str">
        <f t="shared" si="1003"/>
        <v/>
      </c>
      <c r="AU3391" s="22">
        <v>0</v>
      </c>
    </row>
    <row r="3392" spans="1:47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1004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1005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1"/>
        <v>29183109.05575221</v>
      </c>
      <c r="AJ3392" s="19">
        <f t="shared" si="992"/>
        <v>3741266.5648721238</v>
      </c>
      <c r="AK3392" s="20">
        <f t="shared" si="998"/>
        <v>0.12819972531798121</v>
      </c>
      <c r="AL3392" s="55"/>
      <c r="AM3392" s="55"/>
      <c r="AN3392" s="55"/>
      <c r="AO3392" s="55"/>
      <c r="AP3392" s="28" t="str">
        <f t="shared" si="999"/>
        <v>20206</v>
      </c>
      <c r="AQ3392" s="28" t="str">
        <f t="shared" si="1000"/>
        <v/>
      </c>
      <c r="AR3392" s="206" t="str">
        <f t="shared" si="1001"/>
        <v>C66 SERVICE</v>
      </c>
      <c r="AS3392" s="22" t="str">
        <f t="shared" si="1002"/>
        <v/>
      </c>
      <c r="AT3392" s="24" t="str">
        <f t="shared" si="1003"/>
        <v/>
      </c>
      <c r="AU3392" s="22">
        <v>0</v>
      </c>
    </row>
    <row r="3393" spans="1:47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1004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1005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1"/>
        <v>29183109.05575221</v>
      </c>
      <c r="AJ3393" s="19">
        <f t="shared" si="992"/>
        <v>3741266.5648721238</v>
      </c>
      <c r="AK3393" s="20">
        <f t="shared" si="998"/>
        <v>0.12819972531798121</v>
      </c>
      <c r="AL3393" s="55"/>
      <c r="AM3393" s="55"/>
      <c r="AN3393" s="55"/>
      <c r="AO3393" s="55"/>
      <c r="AP3393" s="28" t="str">
        <f t="shared" si="999"/>
        <v>20206</v>
      </c>
      <c r="AQ3393" s="28" t="str">
        <f t="shared" si="1000"/>
        <v/>
      </c>
      <c r="AR3393" s="206" t="str">
        <f t="shared" si="1001"/>
        <v>C66 SERVICE</v>
      </c>
      <c r="AS3393" s="22" t="str">
        <f t="shared" si="1002"/>
        <v/>
      </c>
      <c r="AT3393" s="24" t="str">
        <f t="shared" si="1003"/>
        <v/>
      </c>
      <c r="AU3393" s="22">
        <v>0</v>
      </c>
    </row>
    <row r="3394" spans="1:47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1004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1005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ref="AI3394:AI3457" si="1006">IF(P3394="C66 SERVICE","",SUMIFS(AB:AB,F:F,F3394,G:G,G3394,E:E,E3394))</f>
        <v>29183109.05575221</v>
      </c>
      <c r="AJ3394" s="19">
        <f t="shared" ref="AJ3394:AJ3457" si="1007">IF(P3394="C66 SERVICE","",SUMIFS(AC:AC,F:F,F3394,G:G,G3394,E:E,E3394))</f>
        <v>3741266.5648721238</v>
      </c>
      <c r="AK3394" s="20">
        <f t="shared" si="998"/>
        <v>0.12819972531798121</v>
      </c>
      <c r="AL3394" s="55"/>
      <c r="AM3394" s="55"/>
      <c r="AN3394" s="55"/>
      <c r="AO3394" s="55"/>
      <c r="AP3394" s="28" t="str">
        <f t="shared" si="999"/>
        <v>20206</v>
      </c>
      <c r="AQ3394" s="28" t="str">
        <f t="shared" si="1000"/>
        <v/>
      </c>
      <c r="AR3394" s="206" t="str">
        <f t="shared" si="1001"/>
        <v>C66 SERVICE</v>
      </c>
      <c r="AS3394" s="22" t="str">
        <f t="shared" si="1002"/>
        <v/>
      </c>
      <c r="AT3394" s="24" t="str">
        <f t="shared" si="1003"/>
        <v/>
      </c>
      <c r="AU3394" s="22">
        <v>0</v>
      </c>
    </row>
    <row r="3395" spans="1:47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1004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1005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1006"/>
        <v>28065694.408805311</v>
      </c>
      <c r="AJ3395" s="19">
        <f t="shared" si="1007"/>
        <v>4157433.2906989697</v>
      </c>
      <c r="AK3395" s="20">
        <f t="shared" si="998"/>
        <v>0.14813220831602228</v>
      </c>
      <c r="AL3395" s="55"/>
      <c r="AM3395" s="55"/>
      <c r="AN3395" s="55"/>
      <c r="AO3395" s="55"/>
      <c r="AP3395" s="28" t="str">
        <f t="shared" si="999"/>
        <v>20205</v>
      </c>
      <c r="AQ3395" s="28" t="str">
        <f t="shared" si="1000"/>
        <v/>
      </c>
      <c r="AR3395" s="206" t="str">
        <f t="shared" si="1001"/>
        <v>C66 SERVICE</v>
      </c>
      <c r="AS3395" s="22" t="str">
        <f t="shared" si="1002"/>
        <v/>
      </c>
      <c r="AT3395" s="24" t="str">
        <f t="shared" si="1003"/>
        <v/>
      </c>
      <c r="AU3395" s="22">
        <v>0</v>
      </c>
    </row>
    <row r="3396" spans="1:47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1004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1005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1006"/>
        <v>28065694.408805311</v>
      </c>
      <c r="AJ3396" s="19">
        <f t="shared" si="1007"/>
        <v>4157433.2906989697</v>
      </c>
      <c r="AK3396" s="20">
        <f t="shared" si="998"/>
        <v>0.14813220831602228</v>
      </c>
      <c r="AL3396" s="55"/>
      <c r="AM3396" s="55"/>
      <c r="AN3396" s="55"/>
      <c r="AO3396" s="55"/>
      <c r="AP3396" s="28" t="str">
        <f t="shared" si="999"/>
        <v>20205</v>
      </c>
      <c r="AQ3396" s="28" t="str">
        <f t="shared" si="1000"/>
        <v/>
      </c>
      <c r="AR3396" s="206" t="str">
        <f t="shared" si="1001"/>
        <v>C66 SERVICE</v>
      </c>
      <c r="AS3396" s="22" t="str">
        <f t="shared" si="1002"/>
        <v/>
      </c>
      <c r="AT3396" s="24" t="str">
        <f t="shared" si="1003"/>
        <v/>
      </c>
      <c r="AU3396" s="22">
        <v>0</v>
      </c>
    </row>
    <row r="3397" spans="1:47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1004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1005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1006"/>
        <v>28065694.408805311</v>
      </c>
      <c r="AJ3397" s="19">
        <f t="shared" si="1007"/>
        <v>4157433.2906989697</v>
      </c>
      <c r="AK3397" s="20">
        <f t="shared" si="998"/>
        <v>0.14813220831602228</v>
      </c>
      <c r="AL3397" s="55"/>
      <c r="AM3397" s="55"/>
      <c r="AN3397" s="55"/>
      <c r="AO3397" s="55"/>
      <c r="AP3397" s="28" t="str">
        <f t="shared" si="999"/>
        <v>20205</v>
      </c>
      <c r="AQ3397" s="28" t="str">
        <f t="shared" si="1000"/>
        <v/>
      </c>
      <c r="AR3397" s="206" t="str">
        <f t="shared" si="1001"/>
        <v>C66 SERVICE</v>
      </c>
      <c r="AS3397" s="22" t="str">
        <f t="shared" si="1002"/>
        <v/>
      </c>
      <c r="AT3397" s="24" t="str">
        <f t="shared" si="1003"/>
        <v/>
      </c>
      <c r="AU3397" s="22">
        <v>0</v>
      </c>
    </row>
    <row r="3398" spans="1:47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1004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1005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si="1006"/>
        <v>28065694.408805311</v>
      </c>
      <c r="AJ3398" s="19">
        <f t="shared" si="1007"/>
        <v>4157433.2906989697</v>
      </c>
      <c r="AK3398" s="20">
        <f t="shared" ref="AK3398:AK3461" si="1013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4">IF(F3398="","",F3398&amp;G3398)</f>
        <v>20205</v>
      </c>
      <c r="AQ3398" s="28" t="str">
        <f t="shared" ref="AQ3398:AQ3461" si="1015">IF(W3398="","",F3398&amp;G3398&amp;W3398)</f>
        <v/>
      </c>
      <c r="AR3398" s="206" t="str">
        <f t="shared" ref="AR3398:AR3461" si="1016">IFERROR(IF(AND(M3398="YAMAHA", R3398="C28"), "YAMAHA_Non_Mounter", IF(AND(M3398="YAMAHA", R3398="C49"), "YAMAHA_Mounter", M3398)),"")</f>
        <v>C66 SERVICE</v>
      </c>
      <c r="AS3398" s="22" t="str">
        <f t="shared" ref="AS3398:AS3461" si="1017">IFERROR(IF(OR(G3398="TBA", G3398=""), "", DATEDIF(DATE(B3398, C3398, 1), DATE(F3398, G3398, 1), "M")),"")</f>
        <v/>
      </c>
      <c r="AT3398" s="24" t="str">
        <f t="shared" ref="AT3398:AT3461" si="1018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1004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1005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06"/>
        <v>33477255.428389374</v>
      </c>
      <c r="AJ3399" s="19">
        <f t="shared" si="1007"/>
        <v>4578663.362915583</v>
      </c>
      <c r="AK3399" s="20">
        <f t="shared" si="1013"/>
        <v>0.13676937682988152</v>
      </c>
      <c r="AL3399" s="55"/>
      <c r="AM3399" s="55"/>
      <c r="AN3399" s="55"/>
      <c r="AO3399" s="55"/>
      <c r="AP3399" s="28" t="str">
        <f t="shared" si="1014"/>
        <v>20204</v>
      </c>
      <c r="AQ3399" s="28" t="str">
        <f t="shared" si="1015"/>
        <v/>
      </c>
      <c r="AR3399" s="206" t="str">
        <f t="shared" si="1016"/>
        <v>C66 SERVICE</v>
      </c>
      <c r="AS3399" s="22" t="str">
        <f t="shared" si="1017"/>
        <v/>
      </c>
      <c r="AT3399" s="24" t="str">
        <f t="shared" si="1018"/>
        <v/>
      </c>
      <c r="AU3399" s="22">
        <v>0</v>
      </c>
    </row>
    <row r="3400" spans="1:47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1004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1005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06"/>
        <v>33477255.428389374</v>
      </c>
      <c r="AJ3400" s="19">
        <f t="shared" si="1007"/>
        <v>4578663.362915583</v>
      </c>
      <c r="AK3400" s="20">
        <f t="shared" si="1013"/>
        <v>0.13676937682988152</v>
      </c>
      <c r="AL3400" s="55"/>
      <c r="AM3400" s="55"/>
      <c r="AN3400" s="55"/>
      <c r="AO3400" s="55"/>
      <c r="AP3400" s="28" t="str">
        <f t="shared" si="1014"/>
        <v>20204</v>
      </c>
      <c r="AQ3400" s="28" t="str">
        <f t="shared" si="1015"/>
        <v/>
      </c>
      <c r="AR3400" s="206" t="str">
        <f t="shared" si="1016"/>
        <v>C66 SERVICE</v>
      </c>
      <c r="AS3400" s="22" t="str">
        <f t="shared" si="1017"/>
        <v/>
      </c>
      <c r="AT3400" s="24" t="str">
        <f t="shared" si="1018"/>
        <v/>
      </c>
      <c r="AU3400" s="22">
        <v>0</v>
      </c>
    </row>
    <row r="3401" spans="1:47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1004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1005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06"/>
        <v>33477255.428389374</v>
      </c>
      <c r="AJ3401" s="19">
        <f t="shared" si="1007"/>
        <v>4578663.362915583</v>
      </c>
      <c r="AK3401" s="20">
        <f t="shared" si="1013"/>
        <v>0.13676937682988152</v>
      </c>
      <c r="AL3401" s="55"/>
      <c r="AM3401" s="55"/>
      <c r="AN3401" s="55"/>
      <c r="AO3401" s="55"/>
      <c r="AP3401" s="28" t="str">
        <f t="shared" si="1014"/>
        <v>20204</v>
      </c>
      <c r="AQ3401" s="28" t="str">
        <f t="shared" si="1015"/>
        <v/>
      </c>
      <c r="AR3401" s="206" t="str">
        <f t="shared" si="1016"/>
        <v>C66 SERVICE</v>
      </c>
      <c r="AS3401" s="22" t="str">
        <f t="shared" si="1017"/>
        <v/>
      </c>
      <c r="AT3401" s="24" t="str">
        <f t="shared" si="1018"/>
        <v/>
      </c>
      <c r="AU3401" s="22">
        <v>0</v>
      </c>
    </row>
    <row r="3402" spans="1:47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1004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1005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06"/>
        <v>33477255.428389374</v>
      </c>
      <c r="AJ3402" s="19">
        <f t="shared" si="1007"/>
        <v>4578663.362915583</v>
      </c>
      <c r="AK3402" s="20">
        <f t="shared" si="1013"/>
        <v>0.13676937682988152</v>
      </c>
      <c r="AL3402" s="55"/>
      <c r="AM3402" s="55"/>
      <c r="AN3402" s="55"/>
      <c r="AO3402" s="55"/>
      <c r="AP3402" s="28" t="str">
        <f t="shared" si="1014"/>
        <v>20204</v>
      </c>
      <c r="AQ3402" s="28" t="str">
        <f t="shared" si="1015"/>
        <v/>
      </c>
      <c r="AR3402" s="206" t="str">
        <f t="shared" si="1016"/>
        <v>C66 SERVICE</v>
      </c>
      <c r="AS3402" s="22" t="str">
        <f t="shared" si="1017"/>
        <v/>
      </c>
      <c r="AT3402" s="24" t="str">
        <f t="shared" si="1018"/>
        <v/>
      </c>
      <c r="AU3402" s="22">
        <v>0</v>
      </c>
    </row>
    <row r="3403" spans="1:47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1004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1005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06"/>
        <v>23168285.927433632</v>
      </c>
      <c r="AJ3403" s="19">
        <f t="shared" si="1007"/>
        <v>2764878.916878053</v>
      </c>
      <c r="AK3403" s="20">
        <f t="shared" si="1013"/>
        <v>0.11933895004309111</v>
      </c>
      <c r="AL3403" s="55"/>
      <c r="AM3403" s="55"/>
      <c r="AN3403" s="55"/>
      <c r="AO3403" s="55"/>
      <c r="AP3403" s="28" t="str">
        <f t="shared" si="1014"/>
        <v>20203</v>
      </c>
      <c r="AQ3403" s="28" t="str">
        <f t="shared" si="1015"/>
        <v/>
      </c>
      <c r="AR3403" s="206" t="str">
        <f t="shared" si="1016"/>
        <v>C66 SERVICE</v>
      </c>
      <c r="AS3403" s="22" t="str">
        <f t="shared" si="1017"/>
        <v/>
      </c>
      <c r="AT3403" s="24" t="str">
        <f t="shared" si="1018"/>
        <v/>
      </c>
      <c r="AU3403" s="22">
        <v>0</v>
      </c>
    </row>
    <row r="3404" spans="1:47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1004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1005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06"/>
        <v>14005204.685000001</v>
      </c>
      <c r="AJ3404" s="19">
        <f t="shared" si="1007"/>
        <v>1436995.246084</v>
      </c>
      <c r="AK3404" s="20">
        <f t="shared" si="1013"/>
        <v>0.10260437304590525</v>
      </c>
      <c r="AL3404" s="55"/>
      <c r="AM3404" s="55"/>
      <c r="AN3404" s="55"/>
      <c r="AO3404" s="55"/>
      <c r="AP3404" s="28" t="str">
        <f t="shared" si="1014"/>
        <v>20202</v>
      </c>
      <c r="AQ3404" s="28" t="str">
        <f t="shared" si="1015"/>
        <v/>
      </c>
      <c r="AR3404" s="206" t="str">
        <f t="shared" si="1016"/>
        <v>C66 SERVICE</v>
      </c>
      <c r="AS3404" s="22" t="str">
        <f t="shared" si="1017"/>
        <v/>
      </c>
      <c r="AT3404" s="24" t="str">
        <f t="shared" si="1018"/>
        <v/>
      </c>
      <c r="AU3404" s="22">
        <v>0</v>
      </c>
    </row>
    <row r="3405" spans="1:47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1004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1005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06"/>
        <v>11620538.477876106</v>
      </c>
      <c r="AJ3405" s="19">
        <f t="shared" si="1007"/>
        <v>1598596.3145221241</v>
      </c>
      <c r="AK3405" s="20">
        <f t="shared" si="1013"/>
        <v>0.13756645766163331</v>
      </c>
      <c r="AL3405" s="55"/>
      <c r="AM3405" s="55"/>
      <c r="AN3405" s="55"/>
      <c r="AO3405" s="55"/>
      <c r="AP3405" s="28" t="str">
        <f t="shared" si="1014"/>
        <v>20201</v>
      </c>
      <c r="AQ3405" s="28" t="str">
        <f t="shared" si="1015"/>
        <v/>
      </c>
      <c r="AR3405" s="206" t="str">
        <f t="shared" si="1016"/>
        <v>C66 SERVICE</v>
      </c>
      <c r="AS3405" s="22" t="str">
        <f t="shared" si="1017"/>
        <v/>
      </c>
      <c r="AT3405" s="24" t="str">
        <f t="shared" si="1018"/>
        <v/>
      </c>
      <c r="AU3405" s="22">
        <v>0</v>
      </c>
    </row>
    <row r="3406" spans="1:47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1004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1005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06"/>
        <v>57778307.282035396</v>
      </c>
      <c r="AJ3406" s="19">
        <f t="shared" si="1007"/>
        <v>7259860.7225420559</v>
      </c>
      <c r="AK3406" s="20">
        <f t="shared" si="1013"/>
        <v>0.12565028406083667</v>
      </c>
      <c r="AL3406" s="55"/>
      <c r="AM3406" s="55"/>
      <c r="AN3406" s="55"/>
      <c r="AO3406" s="55"/>
      <c r="AP3406" s="28" t="str">
        <f t="shared" si="1014"/>
        <v>20213</v>
      </c>
      <c r="AQ3406" s="28" t="str">
        <f t="shared" si="1015"/>
        <v/>
      </c>
      <c r="AR3406" s="206" t="str">
        <f t="shared" si="1016"/>
        <v>C66 SERVICE</v>
      </c>
      <c r="AS3406" s="22" t="str">
        <f t="shared" si="1017"/>
        <v/>
      </c>
      <c r="AT3406" s="24" t="str">
        <f t="shared" si="1018"/>
        <v/>
      </c>
      <c r="AU3406" s="22">
        <v>0</v>
      </c>
    </row>
    <row r="3407" spans="1:47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1004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1005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06"/>
        <v>57778307.282035396</v>
      </c>
      <c r="AJ3407" s="19">
        <f t="shared" si="1007"/>
        <v>7259860.7225420559</v>
      </c>
      <c r="AK3407" s="20">
        <f t="shared" si="1013"/>
        <v>0.12565028406083667</v>
      </c>
      <c r="AL3407" s="55"/>
      <c r="AM3407" s="55"/>
      <c r="AN3407" s="55"/>
      <c r="AO3407" s="55"/>
      <c r="AP3407" s="28" t="str">
        <f t="shared" si="1014"/>
        <v>20213</v>
      </c>
      <c r="AQ3407" s="28" t="str">
        <f t="shared" si="1015"/>
        <v/>
      </c>
      <c r="AR3407" s="206" t="str">
        <f t="shared" si="1016"/>
        <v>C66 SERVICE</v>
      </c>
      <c r="AS3407" s="22" t="str">
        <f t="shared" si="1017"/>
        <v/>
      </c>
      <c r="AT3407" s="24" t="str">
        <f t="shared" si="1018"/>
        <v/>
      </c>
      <c r="AU3407" s="22">
        <v>0</v>
      </c>
    </row>
    <row r="3408" spans="1:47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1004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1005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06"/>
        <v>57778307.282035396</v>
      </c>
      <c r="AJ3408" s="19">
        <f t="shared" si="1007"/>
        <v>7259860.7225420559</v>
      </c>
      <c r="AK3408" s="20">
        <f t="shared" si="1013"/>
        <v>0.12565028406083667</v>
      </c>
      <c r="AL3408" s="55"/>
      <c r="AM3408" s="55"/>
      <c r="AN3408" s="55"/>
      <c r="AO3408" s="55"/>
      <c r="AP3408" s="28" t="str">
        <f t="shared" si="1014"/>
        <v>20213</v>
      </c>
      <c r="AQ3408" s="28" t="str">
        <f t="shared" si="1015"/>
        <v/>
      </c>
      <c r="AR3408" s="206" t="str">
        <f t="shared" si="1016"/>
        <v>C66 SERVICE</v>
      </c>
      <c r="AS3408" s="22" t="str">
        <f t="shared" si="1017"/>
        <v/>
      </c>
      <c r="AT3408" s="24" t="str">
        <f t="shared" si="1018"/>
        <v/>
      </c>
      <c r="AU3408" s="22">
        <v>0</v>
      </c>
    </row>
    <row r="3409" spans="1:47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1004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1005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06"/>
        <v>57778307.282035396</v>
      </c>
      <c r="AJ3409" s="19">
        <f t="shared" si="1007"/>
        <v>7259860.7225420559</v>
      </c>
      <c r="AK3409" s="20">
        <f t="shared" si="1013"/>
        <v>0.12565028406083667</v>
      </c>
      <c r="AL3409" s="55"/>
      <c r="AM3409" s="55"/>
      <c r="AN3409" s="55"/>
      <c r="AO3409" s="55"/>
      <c r="AP3409" s="28" t="str">
        <f t="shared" si="1014"/>
        <v>20213</v>
      </c>
      <c r="AQ3409" s="28" t="str">
        <f t="shared" si="1015"/>
        <v/>
      </c>
      <c r="AR3409" s="206" t="str">
        <f t="shared" si="1016"/>
        <v>C66 SERVICE</v>
      </c>
      <c r="AS3409" s="22" t="str">
        <f t="shared" si="1017"/>
        <v/>
      </c>
      <c r="AT3409" s="24" t="str">
        <f t="shared" si="1018"/>
        <v/>
      </c>
      <c r="AU3409" s="22">
        <v>0</v>
      </c>
    </row>
    <row r="3410" spans="1:47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1004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1005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06"/>
        <v>31097187.02948761</v>
      </c>
      <c r="AJ3410" s="19">
        <f t="shared" si="1007"/>
        <v>3892353.6644401965</v>
      </c>
      <c r="AK3410" s="20">
        <f t="shared" si="1013"/>
        <v>0.12516738767237401</v>
      </c>
      <c r="AL3410" s="55"/>
      <c r="AM3410" s="55"/>
      <c r="AN3410" s="55"/>
      <c r="AO3410" s="55"/>
      <c r="AP3410" s="28" t="str">
        <f t="shared" si="1014"/>
        <v>20212</v>
      </c>
      <c r="AQ3410" s="28" t="str">
        <f t="shared" si="1015"/>
        <v/>
      </c>
      <c r="AR3410" s="206" t="str">
        <f t="shared" si="1016"/>
        <v>C66 SERVICE</v>
      </c>
      <c r="AS3410" s="22" t="str">
        <f t="shared" si="1017"/>
        <v/>
      </c>
      <c r="AT3410" s="24" t="str">
        <f t="shared" si="1018"/>
        <v/>
      </c>
      <c r="AU3410" s="22">
        <v>0</v>
      </c>
    </row>
    <row r="3411" spans="1:47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1004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1005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06"/>
        <v>31097187.02948761</v>
      </c>
      <c r="AJ3411" s="19">
        <f t="shared" si="1007"/>
        <v>3892353.6644401965</v>
      </c>
      <c r="AK3411" s="20">
        <f t="shared" si="1013"/>
        <v>0.12516738767237401</v>
      </c>
      <c r="AL3411" s="55"/>
      <c r="AM3411" s="55"/>
      <c r="AN3411" s="55"/>
      <c r="AO3411" s="55"/>
      <c r="AP3411" s="28" t="str">
        <f t="shared" si="1014"/>
        <v>20212</v>
      </c>
      <c r="AQ3411" s="28" t="str">
        <f t="shared" si="1015"/>
        <v/>
      </c>
      <c r="AR3411" s="206" t="str">
        <f t="shared" si="1016"/>
        <v>C66 SERVICE</v>
      </c>
      <c r="AS3411" s="22" t="str">
        <f t="shared" si="1017"/>
        <v/>
      </c>
      <c r="AT3411" s="24" t="str">
        <f t="shared" si="1018"/>
        <v/>
      </c>
      <c r="AU3411" s="22">
        <v>0</v>
      </c>
    </row>
    <row r="3412" spans="1:47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1004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1005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06"/>
        <v>31097187.02948761</v>
      </c>
      <c r="AJ3412" s="19">
        <f t="shared" si="1007"/>
        <v>3892353.6644401965</v>
      </c>
      <c r="AK3412" s="20">
        <f t="shared" si="1013"/>
        <v>0.12516738767237401</v>
      </c>
      <c r="AL3412" s="55"/>
      <c r="AM3412" s="55"/>
      <c r="AN3412" s="55"/>
      <c r="AO3412" s="55"/>
      <c r="AP3412" s="28" t="str">
        <f t="shared" si="1014"/>
        <v>20212</v>
      </c>
      <c r="AQ3412" s="28" t="str">
        <f t="shared" si="1015"/>
        <v/>
      </c>
      <c r="AR3412" s="206" t="str">
        <f t="shared" si="1016"/>
        <v>C66 SERVICE</v>
      </c>
      <c r="AS3412" s="22" t="str">
        <f t="shared" si="1017"/>
        <v/>
      </c>
      <c r="AT3412" s="24" t="str">
        <f t="shared" si="1018"/>
        <v/>
      </c>
      <c r="AU3412" s="22">
        <v>0</v>
      </c>
    </row>
    <row r="3413" spans="1:47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1004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1005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06"/>
        <v>31097187.02948761</v>
      </c>
      <c r="AJ3413" s="19">
        <f t="shared" si="1007"/>
        <v>3892353.6644401965</v>
      </c>
      <c r="AK3413" s="20">
        <f t="shared" si="1013"/>
        <v>0.12516738767237401</v>
      </c>
      <c r="AL3413" s="55"/>
      <c r="AM3413" s="55"/>
      <c r="AN3413" s="55"/>
      <c r="AO3413" s="55"/>
      <c r="AP3413" s="28" t="str">
        <f t="shared" si="1014"/>
        <v>20212</v>
      </c>
      <c r="AQ3413" s="28" t="str">
        <f t="shared" si="1015"/>
        <v/>
      </c>
      <c r="AR3413" s="206" t="str">
        <f t="shared" si="1016"/>
        <v>C66 SERVICE</v>
      </c>
      <c r="AS3413" s="22" t="str">
        <f t="shared" si="1017"/>
        <v/>
      </c>
      <c r="AT3413" s="24" t="str">
        <f t="shared" si="1018"/>
        <v/>
      </c>
      <c r="AU3413" s="22">
        <v>0</v>
      </c>
    </row>
    <row r="3414" spans="1:47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1019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1005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06"/>
        <v>45803245.025628321</v>
      </c>
      <c r="AJ3414" s="19">
        <f t="shared" si="1007"/>
        <v>5664636.2584379362</v>
      </c>
      <c r="AK3414" s="20">
        <f t="shared" si="1013"/>
        <v>0.12367325186825515</v>
      </c>
      <c r="AL3414" s="55"/>
      <c r="AM3414" s="55"/>
      <c r="AN3414" s="55"/>
      <c r="AO3414" s="55"/>
      <c r="AP3414" s="28" t="str">
        <f t="shared" si="1014"/>
        <v>20211</v>
      </c>
      <c r="AQ3414" s="28" t="str">
        <f t="shared" si="1015"/>
        <v/>
      </c>
      <c r="AR3414" s="206" t="str">
        <f t="shared" si="1016"/>
        <v>C66 SERVICE</v>
      </c>
      <c r="AS3414" s="22" t="str">
        <f t="shared" si="1017"/>
        <v/>
      </c>
      <c r="AT3414" s="24" t="str">
        <f t="shared" si="1018"/>
        <v/>
      </c>
      <c r="AU3414" s="22">
        <v>0</v>
      </c>
    </row>
    <row r="3415" spans="1:47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1019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1005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06"/>
        <v>45803245.025628321</v>
      </c>
      <c r="AJ3415" s="19">
        <f t="shared" si="1007"/>
        <v>5664636.2584379362</v>
      </c>
      <c r="AK3415" s="20">
        <f t="shared" si="1013"/>
        <v>0.12367325186825515</v>
      </c>
      <c r="AL3415" s="55"/>
      <c r="AM3415" s="55"/>
      <c r="AN3415" s="55"/>
      <c r="AO3415" s="55"/>
      <c r="AP3415" s="28" t="str">
        <f t="shared" si="1014"/>
        <v>20211</v>
      </c>
      <c r="AQ3415" s="28" t="str">
        <f t="shared" si="1015"/>
        <v/>
      </c>
      <c r="AR3415" s="206" t="str">
        <f t="shared" si="1016"/>
        <v>C66 SERVICE</v>
      </c>
      <c r="AS3415" s="22" t="str">
        <f t="shared" si="1017"/>
        <v/>
      </c>
      <c r="AT3415" s="24" t="str">
        <f t="shared" si="1018"/>
        <v/>
      </c>
      <c r="AU3415" s="22">
        <v>0</v>
      </c>
    </row>
    <row r="3416" spans="1:47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1019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1005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06"/>
        <v>45803245.025628321</v>
      </c>
      <c r="AJ3416" s="19">
        <f t="shared" si="1007"/>
        <v>5664636.2584379362</v>
      </c>
      <c r="AK3416" s="20">
        <f t="shared" si="1013"/>
        <v>0.12367325186825515</v>
      </c>
      <c r="AL3416" s="55"/>
      <c r="AM3416" s="55"/>
      <c r="AN3416" s="55"/>
      <c r="AO3416" s="55"/>
      <c r="AP3416" s="28" t="str">
        <f t="shared" si="1014"/>
        <v>20211</v>
      </c>
      <c r="AQ3416" s="28" t="str">
        <f t="shared" si="1015"/>
        <v/>
      </c>
      <c r="AR3416" s="206" t="str">
        <f t="shared" si="1016"/>
        <v>C66 SERVICE</v>
      </c>
      <c r="AS3416" s="22" t="str">
        <f t="shared" si="1017"/>
        <v/>
      </c>
      <c r="AT3416" s="24" t="str">
        <f t="shared" si="1018"/>
        <v/>
      </c>
      <c r="AU3416" s="22">
        <v>0</v>
      </c>
    </row>
    <row r="3417" spans="1:47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1019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1005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06"/>
        <v>45803245.025628321</v>
      </c>
      <c r="AJ3417" s="19">
        <f t="shared" si="1007"/>
        <v>5664636.2584379362</v>
      </c>
      <c r="AK3417" s="20">
        <f t="shared" si="1013"/>
        <v>0.12367325186825515</v>
      </c>
      <c r="AL3417" s="55"/>
      <c r="AM3417" s="55"/>
      <c r="AN3417" s="55"/>
      <c r="AO3417" s="55"/>
      <c r="AP3417" s="28" t="str">
        <f t="shared" si="1014"/>
        <v>20211</v>
      </c>
      <c r="AQ3417" s="28" t="str">
        <f t="shared" si="1015"/>
        <v/>
      </c>
      <c r="AR3417" s="206" t="str">
        <f t="shared" si="1016"/>
        <v>C66 SERVICE</v>
      </c>
      <c r="AS3417" s="22" t="str">
        <f t="shared" si="1017"/>
        <v/>
      </c>
      <c r="AT3417" s="24" t="str">
        <f t="shared" si="1018"/>
        <v/>
      </c>
      <c r="AU3417" s="22">
        <v>0</v>
      </c>
    </row>
    <row r="3418" spans="1:47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1019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1005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06"/>
        <v>43684091.636631854</v>
      </c>
      <c r="AJ3418" s="19">
        <f t="shared" si="1007"/>
        <v>6483951.8242071122</v>
      </c>
      <c r="AK3418" s="20">
        <f t="shared" si="1013"/>
        <v>0.14842821680123736</v>
      </c>
      <c r="AL3418" s="55"/>
      <c r="AM3418" s="55"/>
      <c r="AN3418" s="55"/>
      <c r="AO3418" s="55"/>
      <c r="AP3418" s="28" t="str">
        <f t="shared" si="1014"/>
        <v>20214</v>
      </c>
      <c r="AQ3418" s="28" t="str">
        <f t="shared" si="1015"/>
        <v/>
      </c>
      <c r="AR3418" s="206" t="str">
        <f t="shared" si="1016"/>
        <v>C66 SERVICE</v>
      </c>
      <c r="AS3418" s="22" t="str">
        <f t="shared" si="1017"/>
        <v/>
      </c>
      <c r="AT3418" s="24" t="str">
        <f t="shared" si="1018"/>
        <v/>
      </c>
      <c r="AU3418" s="22">
        <v>0</v>
      </c>
    </row>
    <row r="3419" spans="1:47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1019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1005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06"/>
        <v>43684091.636631854</v>
      </c>
      <c r="AJ3419" s="19">
        <f t="shared" si="1007"/>
        <v>6483951.8242071122</v>
      </c>
      <c r="AK3419" s="20">
        <f t="shared" si="1013"/>
        <v>0.14842821680123736</v>
      </c>
      <c r="AL3419" s="55"/>
      <c r="AM3419" s="55"/>
      <c r="AN3419" s="55"/>
      <c r="AO3419" s="55"/>
      <c r="AP3419" s="28" t="str">
        <f t="shared" si="1014"/>
        <v>20214</v>
      </c>
      <c r="AQ3419" s="28" t="str">
        <f t="shared" si="1015"/>
        <v/>
      </c>
      <c r="AR3419" s="206" t="str">
        <f t="shared" si="1016"/>
        <v>C66 SERVICE</v>
      </c>
      <c r="AS3419" s="22" t="str">
        <f t="shared" si="1017"/>
        <v/>
      </c>
      <c r="AT3419" s="24" t="str">
        <f t="shared" si="1018"/>
        <v/>
      </c>
      <c r="AU3419" s="22">
        <v>0</v>
      </c>
    </row>
    <row r="3420" spans="1:47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1019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1005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06"/>
        <v>43684091.636631854</v>
      </c>
      <c r="AJ3420" s="19">
        <f t="shared" si="1007"/>
        <v>6483951.8242071122</v>
      </c>
      <c r="AK3420" s="20">
        <f t="shared" si="1013"/>
        <v>0.14842821680123736</v>
      </c>
      <c r="AL3420" s="55"/>
      <c r="AM3420" s="55"/>
      <c r="AN3420" s="55"/>
      <c r="AO3420" s="55"/>
      <c r="AP3420" s="28" t="str">
        <f t="shared" si="1014"/>
        <v>20214</v>
      </c>
      <c r="AQ3420" s="28" t="str">
        <f t="shared" si="1015"/>
        <v/>
      </c>
      <c r="AR3420" s="206" t="str">
        <f t="shared" si="1016"/>
        <v>C66 SERVICE</v>
      </c>
      <c r="AS3420" s="22" t="str">
        <f t="shared" si="1017"/>
        <v/>
      </c>
      <c r="AT3420" s="24" t="str">
        <f t="shared" si="1018"/>
        <v/>
      </c>
      <c r="AU3420" s="22">
        <v>0</v>
      </c>
    </row>
    <row r="3421" spans="1:47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1019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1005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06"/>
        <v>43684091.636631854</v>
      </c>
      <c r="AJ3421" s="19">
        <f t="shared" si="1007"/>
        <v>6483951.8242071122</v>
      </c>
      <c r="AK3421" s="20">
        <f t="shared" si="1013"/>
        <v>0.14842821680123736</v>
      </c>
      <c r="AL3421" s="55"/>
      <c r="AM3421" s="55"/>
      <c r="AN3421" s="55"/>
      <c r="AO3421" s="55"/>
      <c r="AP3421" s="28" t="str">
        <f t="shared" si="1014"/>
        <v>20214</v>
      </c>
      <c r="AQ3421" s="28" t="str">
        <f t="shared" si="1015"/>
        <v/>
      </c>
      <c r="AR3421" s="206" t="str">
        <f t="shared" si="1016"/>
        <v>C66 SERVICE</v>
      </c>
      <c r="AS3421" s="22" t="str">
        <f t="shared" si="1017"/>
        <v/>
      </c>
      <c r="AT3421" s="24" t="str">
        <f t="shared" si="1018"/>
        <v/>
      </c>
      <c r="AU3421" s="22">
        <v>0</v>
      </c>
    </row>
    <row r="3422" spans="1:47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1019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1020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06"/>
        <v>63006605.696460173</v>
      </c>
      <c r="AJ3422" s="19">
        <f t="shared" si="1007"/>
        <v>8897485.660753984</v>
      </c>
      <c r="AK3422" s="20">
        <f t="shared" si="1013"/>
        <v>0.141215124388995</v>
      </c>
      <c r="AL3422" s="55"/>
      <c r="AM3422" s="55"/>
      <c r="AN3422" s="55"/>
      <c r="AO3422" s="55"/>
      <c r="AP3422" s="28" t="str">
        <f t="shared" si="1014"/>
        <v>20215</v>
      </c>
      <c r="AQ3422" s="28" t="str">
        <f t="shared" si="1015"/>
        <v/>
      </c>
      <c r="AR3422" s="206" t="str">
        <f t="shared" si="1016"/>
        <v>C66 SERVICE</v>
      </c>
      <c r="AS3422" s="22" t="str">
        <f t="shared" si="1017"/>
        <v/>
      </c>
      <c r="AT3422" s="24" t="str">
        <f t="shared" si="1018"/>
        <v/>
      </c>
      <c r="AU3422" s="22">
        <v>0</v>
      </c>
    </row>
    <row r="3423" spans="1:47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1019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1020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06"/>
        <v>63006605.696460173</v>
      </c>
      <c r="AJ3423" s="19">
        <f t="shared" si="1007"/>
        <v>8897485.660753984</v>
      </c>
      <c r="AK3423" s="20">
        <f t="shared" si="1013"/>
        <v>0.141215124388995</v>
      </c>
      <c r="AL3423" s="55"/>
      <c r="AM3423" s="55"/>
      <c r="AN3423" s="55"/>
      <c r="AO3423" s="55"/>
      <c r="AP3423" s="28" t="str">
        <f t="shared" si="1014"/>
        <v>20215</v>
      </c>
      <c r="AQ3423" s="28" t="str">
        <f t="shared" si="1015"/>
        <v/>
      </c>
      <c r="AR3423" s="206" t="str">
        <f t="shared" si="1016"/>
        <v>C66 SERVICE</v>
      </c>
      <c r="AS3423" s="22" t="str">
        <f t="shared" si="1017"/>
        <v/>
      </c>
      <c r="AT3423" s="24" t="str">
        <f t="shared" si="1018"/>
        <v/>
      </c>
      <c r="AU3423" s="22">
        <v>0</v>
      </c>
    </row>
    <row r="3424" spans="1:47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1019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1020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06"/>
        <v>63006605.696460173</v>
      </c>
      <c r="AJ3424" s="19">
        <f t="shared" si="1007"/>
        <v>8897485.660753984</v>
      </c>
      <c r="AK3424" s="20">
        <f t="shared" si="1013"/>
        <v>0.141215124388995</v>
      </c>
      <c r="AL3424" s="55"/>
      <c r="AM3424" s="55"/>
      <c r="AN3424" s="55"/>
      <c r="AO3424" s="55"/>
      <c r="AP3424" s="28" t="str">
        <f t="shared" si="1014"/>
        <v>20215</v>
      </c>
      <c r="AQ3424" s="28" t="str">
        <f t="shared" si="1015"/>
        <v/>
      </c>
      <c r="AR3424" s="206" t="str">
        <f t="shared" si="1016"/>
        <v>C66 SERVICE</v>
      </c>
      <c r="AS3424" s="22" t="str">
        <f t="shared" si="1017"/>
        <v/>
      </c>
      <c r="AT3424" s="24" t="str">
        <f t="shared" si="1018"/>
        <v/>
      </c>
      <c r="AU3424" s="22">
        <v>0</v>
      </c>
    </row>
    <row r="3425" spans="1:47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1019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1020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06"/>
        <v>63006605.696460173</v>
      </c>
      <c r="AJ3425" s="19">
        <f t="shared" si="1007"/>
        <v>8897485.660753984</v>
      </c>
      <c r="AK3425" s="20">
        <f t="shared" si="1013"/>
        <v>0.141215124388995</v>
      </c>
      <c r="AL3425" s="55"/>
      <c r="AM3425" s="55"/>
      <c r="AN3425" s="55"/>
      <c r="AO3425" s="55"/>
      <c r="AP3425" s="28" t="str">
        <f t="shared" si="1014"/>
        <v>20215</v>
      </c>
      <c r="AQ3425" s="28" t="str">
        <f t="shared" si="1015"/>
        <v/>
      </c>
      <c r="AR3425" s="206" t="str">
        <f t="shared" si="1016"/>
        <v>C66 SERVICE</v>
      </c>
      <c r="AS3425" s="22" t="str">
        <f t="shared" si="1017"/>
        <v/>
      </c>
      <c r="AT3425" s="24" t="str">
        <f t="shared" si="1018"/>
        <v/>
      </c>
      <c r="AU3425" s="22">
        <v>0</v>
      </c>
    </row>
    <row r="3426" spans="1:47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1019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1020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06"/>
        <v>54700260.692079648</v>
      </c>
      <c r="AJ3426" s="19">
        <f t="shared" si="1007"/>
        <v>7482899.5749188727</v>
      </c>
      <c r="AK3426" s="20">
        <f t="shared" si="1013"/>
        <v>0.13679824337660537</v>
      </c>
      <c r="AL3426" s="55"/>
      <c r="AM3426" s="55"/>
      <c r="AN3426" s="55"/>
      <c r="AO3426" s="55"/>
      <c r="AP3426" s="28" t="str">
        <f t="shared" si="1014"/>
        <v>20216</v>
      </c>
      <c r="AQ3426" s="28" t="str">
        <f t="shared" si="1015"/>
        <v/>
      </c>
      <c r="AR3426" s="206" t="str">
        <f t="shared" si="1016"/>
        <v>C66 SERVICE</v>
      </c>
      <c r="AS3426" s="22" t="str">
        <f t="shared" si="1017"/>
        <v/>
      </c>
      <c r="AT3426" s="24" t="str">
        <f t="shared" si="1018"/>
        <v/>
      </c>
      <c r="AU3426" s="22">
        <v>0</v>
      </c>
    </row>
    <row r="3427" spans="1:47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1019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1020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06"/>
        <v>54700260.692079648</v>
      </c>
      <c r="AJ3427" s="19">
        <f t="shared" si="1007"/>
        <v>7482899.5749188727</v>
      </c>
      <c r="AK3427" s="20">
        <f t="shared" si="1013"/>
        <v>0.13679824337660537</v>
      </c>
      <c r="AL3427" s="55"/>
      <c r="AM3427" s="55"/>
      <c r="AN3427" s="55"/>
      <c r="AO3427" s="55"/>
      <c r="AP3427" s="28" t="str">
        <f t="shared" si="1014"/>
        <v>20216</v>
      </c>
      <c r="AQ3427" s="28" t="str">
        <f t="shared" si="1015"/>
        <v/>
      </c>
      <c r="AR3427" s="206" t="str">
        <f t="shared" si="1016"/>
        <v>C66 SERVICE</v>
      </c>
      <c r="AS3427" s="22" t="str">
        <f t="shared" si="1017"/>
        <v/>
      </c>
      <c r="AT3427" s="24" t="str">
        <f t="shared" si="1018"/>
        <v/>
      </c>
      <c r="AU3427" s="22">
        <v>0</v>
      </c>
    </row>
    <row r="3428" spans="1:47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1019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1020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06"/>
        <v>54700260.692079648</v>
      </c>
      <c r="AJ3428" s="19">
        <f t="shared" si="1007"/>
        <v>7482899.5749188727</v>
      </c>
      <c r="AK3428" s="20">
        <f t="shared" si="1013"/>
        <v>0.13679824337660537</v>
      </c>
      <c r="AL3428" s="55"/>
      <c r="AM3428" s="55"/>
      <c r="AN3428" s="55"/>
      <c r="AO3428" s="55"/>
      <c r="AP3428" s="28" t="str">
        <f t="shared" si="1014"/>
        <v>20216</v>
      </c>
      <c r="AQ3428" s="28" t="str">
        <f t="shared" si="1015"/>
        <v/>
      </c>
      <c r="AR3428" s="206" t="str">
        <f t="shared" si="1016"/>
        <v>C66 SERVICE</v>
      </c>
      <c r="AS3428" s="22" t="str">
        <f t="shared" si="1017"/>
        <v/>
      </c>
      <c r="AT3428" s="24" t="str">
        <f t="shared" si="1018"/>
        <v/>
      </c>
      <c r="AU3428" s="22">
        <v>0</v>
      </c>
    </row>
    <row r="3429" spans="1:47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1019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1020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06"/>
        <v>54700260.692079648</v>
      </c>
      <c r="AJ3429" s="19">
        <f t="shared" si="1007"/>
        <v>7482899.5749188727</v>
      </c>
      <c r="AK3429" s="20">
        <f t="shared" si="1013"/>
        <v>0.13679824337660537</v>
      </c>
      <c r="AL3429" s="55"/>
      <c r="AM3429" s="55"/>
      <c r="AN3429" s="55"/>
      <c r="AO3429" s="55"/>
      <c r="AP3429" s="28" t="str">
        <f t="shared" si="1014"/>
        <v>20216</v>
      </c>
      <c r="AQ3429" s="28" t="str">
        <f t="shared" si="1015"/>
        <v/>
      </c>
      <c r="AR3429" s="206" t="str">
        <f t="shared" si="1016"/>
        <v>C66 SERVICE</v>
      </c>
      <c r="AS3429" s="22" t="str">
        <f t="shared" si="1017"/>
        <v/>
      </c>
      <c r="AT3429" s="24" t="str">
        <f t="shared" si="1018"/>
        <v/>
      </c>
      <c r="AU3429" s="22">
        <v>0</v>
      </c>
    </row>
    <row r="3430" spans="1:47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1019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1020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06"/>
        <v>41443303.53761062</v>
      </c>
      <c r="AJ3430" s="19">
        <f t="shared" si="1007"/>
        <v>6194988.76643031</v>
      </c>
      <c r="AK3430" s="20">
        <f t="shared" si="1013"/>
        <v>0.1494810557466355</v>
      </c>
      <c r="AL3430" s="55"/>
      <c r="AM3430" s="55"/>
      <c r="AN3430" s="55"/>
      <c r="AO3430" s="55"/>
      <c r="AP3430" s="28" t="str">
        <f t="shared" si="1014"/>
        <v>20217</v>
      </c>
      <c r="AQ3430" s="28" t="str">
        <f t="shared" si="1015"/>
        <v/>
      </c>
      <c r="AR3430" s="206" t="str">
        <f t="shared" si="1016"/>
        <v>C66 SERVICE</v>
      </c>
      <c r="AS3430" s="22" t="str">
        <f t="shared" si="1017"/>
        <v/>
      </c>
      <c r="AT3430" s="24" t="str">
        <f t="shared" si="1018"/>
        <v/>
      </c>
      <c r="AU3430" s="22">
        <v>0</v>
      </c>
    </row>
    <row r="3431" spans="1:47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1019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1020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06"/>
        <v>41443303.53761062</v>
      </c>
      <c r="AJ3431" s="19">
        <f t="shared" si="1007"/>
        <v>6194988.76643031</v>
      </c>
      <c r="AK3431" s="20">
        <f t="shared" si="1013"/>
        <v>0.1494810557466355</v>
      </c>
      <c r="AL3431" s="55"/>
      <c r="AM3431" s="55"/>
      <c r="AN3431" s="55"/>
      <c r="AO3431" s="55"/>
      <c r="AP3431" s="28" t="str">
        <f t="shared" si="1014"/>
        <v>20217</v>
      </c>
      <c r="AQ3431" s="28" t="str">
        <f t="shared" si="1015"/>
        <v/>
      </c>
      <c r="AR3431" s="206" t="str">
        <f t="shared" si="1016"/>
        <v>C66 SERVICE</v>
      </c>
      <c r="AS3431" s="22" t="str">
        <f t="shared" si="1017"/>
        <v/>
      </c>
      <c r="AT3431" s="24" t="str">
        <f t="shared" si="1018"/>
        <v/>
      </c>
      <c r="AU3431" s="22">
        <v>0</v>
      </c>
    </row>
    <row r="3432" spans="1:47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1019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1020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06"/>
        <v>41443303.53761062</v>
      </c>
      <c r="AJ3432" s="19">
        <f t="shared" si="1007"/>
        <v>6194988.76643031</v>
      </c>
      <c r="AK3432" s="20">
        <f t="shared" si="1013"/>
        <v>0.1494810557466355</v>
      </c>
      <c r="AL3432" s="55"/>
      <c r="AM3432" s="55"/>
      <c r="AN3432" s="55"/>
      <c r="AO3432" s="55"/>
      <c r="AP3432" s="28" t="str">
        <f t="shared" si="1014"/>
        <v>20217</v>
      </c>
      <c r="AQ3432" s="28" t="str">
        <f t="shared" si="1015"/>
        <v/>
      </c>
      <c r="AR3432" s="206" t="str">
        <f t="shared" si="1016"/>
        <v>C66 SERVICE</v>
      </c>
      <c r="AS3432" s="22" t="str">
        <f t="shared" si="1017"/>
        <v/>
      </c>
      <c r="AT3432" s="24" t="str">
        <f t="shared" si="1018"/>
        <v/>
      </c>
      <c r="AU3432" s="22">
        <v>0</v>
      </c>
    </row>
    <row r="3433" spans="1:47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1019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1020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06"/>
        <v>41443303.53761062</v>
      </c>
      <c r="AJ3433" s="19">
        <f t="shared" si="1007"/>
        <v>6194988.76643031</v>
      </c>
      <c r="AK3433" s="20">
        <f t="shared" si="1013"/>
        <v>0.1494810557466355</v>
      </c>
      <c r="AL3433" s="55"/>
      <c r="AM3433" s="55"/>
      <c r="AN3433" s="55"/>
      <c r="AO3433" s="55"/>
      <c r="AP3433" s="28" t="str">
        <f t="shared" si="1014"/>
        <v>20217</v>
      </c>
      <c r="AQ3433" s="28" t="str">
        <f t="shared" si="1015"/>
        <v/>
      </c>
      <c r="AR3433" s="206" t="str">
        <f t="shared" si="1016"/>
        <v>C66 SERVICE</v>
      </c>
      <c r="AS3433" s="22" t="str">
        <f t="shared" si="1017"/>
        <v/>
      </c>
      <c r="AT3433" s="24" t="str">
        <f t="shared" si="1018"/>
        <v/>
      </c>
      <c r="AU3433" s="22">
        <v>0</v>
      </c>
    </row>
    <row r="3434" spans="1:47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1019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1020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06"/>
        <v>47458373.787610628</v>
      </c>
      <c r="AJ3434" s="19">
        <f t="shared" si="1007"/>
        <v>7436880.1411522133</v>
      </c>
      <c r="AK3434" s="20">
        <f t="shared" si="1013"/>
        <v>0.15670322321692506</v>
      </c>
      <c r="AL3434" s="55"/>
      <c r="AM3434" s="55"/>
      <c r="AN3434" s="55"/>
      <c r="AO3434" s="55"/>
      <c r="AP3434" s="28" t="str">
        <f t="shared" si="1014"/>
        <v>20218</v>
      </c>
      <c r="AQ3434" s="28" t="str">
        <f t="shared" si="1015"/>
        <v/>
      </c>
      <c r="AR3434" s="206" t="str">
        <f t="shared" si="1016"/>
        <v>C66 SERVICE</v>
      </c>
      <c r="AS3434" s="22" t="str">
        <f t="shared" si="1017"/>
        <v/>
      </c>
      <c r="AT3434" s="24" t="str">
        <f t="shared" si="1018"/>
        <v/>
      </c>
      <c r="AU3434" s="22">
        <v>0</v>
      </c>
    </row>
    <row r="3435" spans="1:47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1019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1020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06"/>
        <v>47458373.787610628</v>
      </c>
      <c r="AJ3435" s="19">
        <f t="shared" si="1007"/>
        <v>7436880.1411522133</v>
      </c>
      <c r="AK3435" s="20">
        <f t="shared" si="1013"/>
        <v>0.15670322321692506</v>
      </c>
      <c r="AL3435" s="55"/>
      <c r="AM3435" s="55"/>
      <c r="AN3435" s="55"/>
      <c r="AO3435" s="55"/>
      <c r="AP3435" s="28" t="str">
        <f t="shared" si="1014"/>
        <v>20218</v>
      </c>
      <c r="AQ3435" s="28" t="str">
        <f t="shared" si="1015"/>
        <v/>
      </c>
      <c r="AR3435" s="206" t="str">
        <f t="shared" si="1016"/>
        <v>C66 SERVICE</v>
      </c>
      <c r="AS3435" s="22" t="str">
        <f t="shared" si="1017"/>
        <v/>
      </c>
      <c r="AT3435" s="24" t="str">
        <f t="shared" si="1018"/>
        <v/>
      </c>
      <c r="AU3435" s="22">
        <v>0</v>
      </c>
    </row>
    <row r="3436" spans="1:47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1019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1020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06"/>
        <v>47458373.787610628</v>
      </c>
      <c r="AJ3436" s="19">
        <f t="shared" si="1007"/>
        <v>7436880.1411522133</v>
      </c>
      <c r="AK3436" s="20">
        <f t="shared" si="1013"/>
        <v>0.15670322321692506</v>
      </c>
      <c r="AL3436" s="55"/>
      <c r="AM3436" s="55"/>
      <c r="AN3436" s="55"/>
      <c r="AO3436" s="55"/>
      <c r="AP3436" s="28" t="str">
        <f t="shared" si="1014"/>
        <v>20218</v>
      </c>
      <c r="AQ3436" s="28" t="str">
        <f t="shared" si="1015"/>
        <v/>
      </c>
      <c r="AR3436" s="206" t="str">
        <f t="shared" si="1016"/>
        <v>C66 SERVICE</v>
      </c>
      <c r="AS3436" s="22" t="str">
        <f t="shared" si="1017"/>
        <v/>
      </c>
      <c r="AT3436" s="24" t="str">
        <f t="shared" si="1018"/>
        <v/>
      </c>
      <c r="AU3436" s="22">
        <v>0</v>
      </c>
    </row>
    <row r="3437" spans="1:47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1019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1020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06"/>
        <v>47458373.787610628</v>
      </c>
      <c r="AJ3437" s="19">
        <f t="shared" si="1007"/>
        <v>7436880.1411522133</v>
      </c>
      <c r="AK3437" s="20">
        <f t="shared" si="1013"/>
        <v>0.15670322321692506</v>
      </c>
      <c r="AL3437" s="55"/>
      <c r="AM3437" s="55"/>
      <c r="AN3437" s="55"/>
      <c r="AO3437" s="55"/>
      <c r="AP3437" s="28" t="str">
        <f t="shared" si="1014"/>
        <v>20218</v>
      </c>
      <c r="AQ3437" s="28" t="str">
        <f t="shared" si="1015"/>
        <v/>
      </c>
      <c r="AR3437" s="206" t="str">
        <f t="shared" si="1016"/>
        <v>C66 SERVICE</v>
      </c>
      <c r="AS3437" s="22" t="str">
        <f t="shared" si="1017"/>
        <v/>
      </c>
      <c r="AT3437" s="24" t="str">
        <f t="shared" si="1018"/>
        <v/>
      </c>
      <c r="AU3437" s="22">
        <v>0</v>
      </c>
    </row>
    <row r="3438" spans="1:47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1019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1020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06"/>
        <v>10844605.840707963</v>
      </c>
      <c r="AJ3438" s="19">
        <f t="shared" si="1007"/>
        <v>1523130.9860707966</v>
      </c>
      <c r="AK3438" s="20">
        <f t="shared" si="1013"/>
        <v>0.14045056209911663</v>
      </c>
      <c r="AL3438" s="55"/>
      <c r="AM3438" s="55"/>
      <c r="AN3438" s="55"/>
      <c r="AO3438" s="55"/>
      <c r="AP3438" s="28" t="str">
        <f t="shared" si="1014"/>
        <v>20219</v>
      </c>
      <c r="AQ3438" s="28" t="str">
        <f t="shared" si="1015"/>
        <v/>
      </c>
      <c r="AR3438" s="206" t="str">
        <f t="shared" si="1016"/>
        <v>C66 SERVICE</v>
      </c>
      <c r="AS3438" s="22" t="str">
        <f t="shared" si="1017"/>
        <v/>
      </c>
      <c r="AT3438" s="24" t="str">
        <f t="shared" si="1018"/>
        <v/>
      </c>
      <c r="AU3438" s="22">
        <v>0</v>
      </c>
    </row>
    <row r="3439" spans="1:47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1019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1020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06"/>
        <v>10844605.840707963</v>
      </c>
      <c r="AJ3439" s="19">
        <f t="shared" si="1007"/>
        <v>1523130.9860707966</v>
      </c>
      <c r="AK3439" s="20">
        <f t="shared" si="1013"/>
        <v>0.14045056209911663</v>
      </c>
      <c r="AL3439" s="55"/>
      <c r="AM3439" s="55"/>
      <c r="AN3439" s="55"/>
      <c r="AO3439" s="55"/>
      <c r="AP3439" s="28" t="str">
        <f t="shared" si="1014"/>
        <v>20219</v>
      </c>
      <c r="AQ3439" s="28" t="str">
        <f t="shared" si="1015"/>
        <v/>
      </c>
      <c r="AR3439" s="206" t="str">
        <f t="shared" si="1016"/>
        <v>C66 SERVICE</v>
      </c>
      <c r="AS3439" s="22" t="str">
        <f t="shared" si="1017"/>
        <v/>
      </c>
      <c r="AT3439" s="24" t="str">
        <f t="shared" si="1018"/>
        <v/>
      </c>
      <c r="AU3439" s="22">
        <v>0</v>
      </c>
    </row>
    <row r="3440" spans="1:47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1019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1020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06"/>
        <v>10844605.840707963</v>
      </c>
      <c r="AJ3440" s="19">
        <f t="shared" si="1007"/>
        <v>1523130.9860707966</v>
      </c>
      <c r="AK3440" s="20">
        <f t="shared" si="1013"/>
        <v>0.14045056209911663</v>
      </c>
      <c r="AL3440" s="55"/>
      <c r="AM3440" s="55"/>
      <c r="AN3440" s="55"/>
      <c r="AO3440" s="55"/>
      <c r="AP3440" s="28" t="str">
        <f t="shared" si="1014"/>
        <v>20219</v>
      </c>
      <c r="AQ3440" s="28" t="str">
        <f t="shared" si="1015"/>
        <v/>
      </c>
      <c r="AR3440" s="206" t="str">
        <f t="shared" si="1016"/>
        <v>C66 SERVICE</v>
      </c>
      <c r="AS3440" s="22" t="str">
        <f t="shared" si="1017"/>
        <v/>
      </c>
      <c r="AT3440" s="24" t="str">
        <f t="shared" si="1018"/>
        <v/>
      </c>
      <c r="AU3440" s="22">
        <v>0</v>
      </c>
    </row>
    <row r="3441" spans="1:47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1019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1020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06"/>
        <v>10844605.840707963</v>
      </c>
      <c r="AJ3441" s="19">
        <f t="shared" si="1007"/>
        <v>1523130.9860707966</v>
      </c>
      <c r="AK3441" s="20">
        <f t="shared" si="1013"/>
        <v>0.14045056209911663</v>
      </c>
      <c r="AL3441" s="55"/>
      <c r="AM3441" s="55"/>
      <c r="AN3441" s="55"/>
      <c r="AO3441" s="55"/>
      <c r="AP3441" s="28" t="str">
        <f t="shared" si="1014"/>
        <v>20219</v>
      </c>
      <c r="AQ3441" s="28" t="str">
        <f t="shared" si="1015"/>
        <v/>
      </c>
      <c r="AR3441" s="206" t="str">
        <f t="shared" si="1016"/>
        <v>C66 SERVICE</v>
      </c>
      <c r="AS3441" s="22" t="str">
        <f t="shared" si="1017"/>
        <v/>
      </c>
      <c r="AT3441" s="24" t="str">
        <f t="shared" si="1018"/>
        <v/>
      </c>
      <c r="AU3441" s="22">
        <v>0</v>
      </c>
    </row>
    <row r="3442" spans="1:47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1019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1020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06"/>
        <v>15533177.71460177</v>
      </c>
      <c r="AJ3442" s="19">
        <f t="shared" si="1007"/>
        <v>1819298.5437526547</v>
      </c>
      <c r="AK3442" s="20">
        <f t="shared" si="1013"/>
        <v>0.11712339723265033</v>
      </c>
      <c r="AL3442" s="55"/>
      <c r="AM3442" s="55"/>
      <c r="AN3442" s="55"/>
      <c r="AO3442" s="55"/>
      <c r="AP3442" s="28" t="str">
        <f t="shared" si="1014"/>
        <v>202110</v>
      </c>
      <c r="AQ3442" s="28" t="str">
        <f t="shared" si="1015"/>
        <v/>
      </c>
      <c r="AR3442" s="206" t="str">
        <f t="shared" si="1016"/>
        <v>C66 SERVICE</v>
      </c>
      <c r="AS3442" s="22" t="str">
        <f t="shared" si="1017"/>
        <v/>
      </c>
      <c r="AT3442" s="24" t="str">
        <f t="shared" si="1018"/>
        <v/>
      </c>
      <c r="AU3442" s="22">
        <v>0</v>
      </c>
    </row>
    <row r="3443" spans="1:47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1019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1020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06"/>
        <v>15533177.71460177</v>
      </c>
      <c r="AJ3443" s="19">
        <f t="shared" si="1007"/>
        <v>1819298.5437526547</v>
      </c>
      <c r="AK3443" s="20">
        <f t="shared" si="1013"/>
        <v>0.11712339723265033</v>
      </c>
      <c r="AL3443" s="55"/>
      <c r="AM3443" s="55"/>
      <c r="AN3443" s="55"/>
      <c r="AO3443" s="55"/>
      <c r="AP3443" s="28" t="str">
        <f t="shared" si="1014"/>
        <v>202110</v>
      </c>
      <c r="AQ3443" s="28" t="str">
        <f t="shared" si="1015"/>
        <v/>
      </c>
      <c r="AR3443" s="206" t="str">
        <f t="shared" si="1016"/>
        <v>C66 SERVICE</v>
      </c>
      <c r="AS3443" s="22" t="str">
        <f t="shared" si="1017"/>
        <v/>
      </c>
      <c r="AT3443" s="24" t="str">
        <f t="shared" si="1018"/>
        <v/>
      </c>
      <c r="AU3443" s="22">
        <v>0</v>
      </c>
    </row>
    <row r="3444" spans="1:47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1019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1020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06"/>
        <v>15533177.71460177</v>
      </c>
      <c r="AJ3444" s="19">
        <f t="shared" si="1007"/>
        <v>1819298.5437526547</v>
      </c>
      <c r="AK3444" s="20">
        <f t="shared" si="1013"/>
        <v>0.11712339723265033</v>
      </c>
      <c r="AL3444" s="55"/>
      <c r="AM3444" s="55"/>
      <c r="AN3444" s="55"/>
      <c r="AO3444" s="55"/>
      <c r="AP3444" s="28" t="str">
        <f t="shared" si="1014"/>
        <v>202110</v>
      </c>
      <c r="AQ3444" s="28" t="str">
        <f t="shared" si="1015"/>
        <v/>
      </c>
      <c r="AR3444" s="206" t="str">
        <f t="shared" si="1016"/>
        <v>C66 SERVICE</v>
      </c>
      <c r="AS3444" s="22" t="str">
        <f t="shared" si="1017"/>
        <v/>
      </c>
      <c r="AT3444" s="24" t="str">
        <f t="shared" si="1018"/>
        <v/>
      </c>
      <c r="AU3444" s="22">
        <v>0</v>
      </c>
    </row>
    <row r="3445" spans="1:47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1019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1020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06"/>
        <v>15533177.71460177</v>
      </c>
      <c r="AJ3445" s="19">
        <f t="shared" si="1007"/>
        <v>1819298.5437526547</v>
      </c>
      <c r="AK3445" s="20">
        <f t="shared" si="1013"/>
        <v>0.11712339723265033</v>
      </c>
      <c r="AL3445" s="55"/>
      <c r="AM3445" s="55"/>
      <c r="AN3445" s="55"/>
      <c r="AO3445" s="55"/>
      <c r="AP3445" s="28" t="str">
        <f t="shared" si="1014"/>
        <v>202110</v>
      </c>
      <c r="AQ3445" s="28" t="str">
        <f t="shared" si="1015"/>
        <v/>
      </c>
      <c r="AR3445" s="206" t="str">
        <f t="shared" si="1016"/>
        <v>C66 SERVICE</v>
      </c>
      <c r="AS3445" s="22" t="str">
        <f t="shared" si="1017"/>
        <v/>
      </c>
      <c r="AT3445" s="24" t="str">
        <f t="shared" si="1018"/>
        <v/>
      </c>
      <c r="AU3445" s="22">
        <v>0</v>
      </c>
    </row>
    <row r="3446" spans="1:47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1019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1020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06"/>
        <v>29500529.005044252</v>
      </c>
      <c r="AJ3446" s="19">
        <f t="shared" si="1007"/>
        <v>3253064.846231177</v>
      </c>
      <c r="AK3446" s="20">
        <f t="shared" si="1013"/>
        <v>0.11027140718984871</v>
      </c>
      <c r="AL3446" s="55"/>
      <c r="AM3446" s="55"/>
      <c r="AN3446" s="55"/>
      <c r="AO3446" s="55"/>
      <c r="AP3446" s="28" t="str">
        <f t="shared" si="1014"/>
        <v>202111</v>
      </c>
      <c r="AQ3446" s="28" t="str">
        <f t="shared" si="1015"/>
        <v/>
      </c>
      <c r="AR3446" s="206" t="str">
        <f t="shared" si="1016"/>
        <v>C66 SERVICE</v>
      </c>
      <c r="AS3446" s="22" t="str">
        <f t="shared" si="1017"/>
        <v/>
      </c>
      <c r="AT3446" s="24" t="str">
        <f t="shared" si="1018"/>
        <v/>
      </c>
      <c r="AU3446" s="22">
        <v>0</v>
      </c>
    </row>
    <row r="3447" spans="1:47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1019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1020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06"/>
        <v>29500529.005044252</v>
      </c>
      <c r="AJ3447" s="19">
        <f t="shared" si="1007"/>
        <v>3253064.846231177</v>
      </c>
      <c r="AK3447" s="20">
        <f t="shared" si="1013"/>
        <v>0.11027140718984871</v>
      </c>
      <c r="AL3447" s="55"/>
      <c r="AM3447" s="55"/>
      <c r="AN3447" s="55"/>
      <c r="AO3447" s="55"/>
      <c r="AP3447" s="28" t="str">
        <f t="shared" si="1014"/>
        <v>202111</v>
      </c>
      <c r="AQ3447" s="28" t="str">
        <f t="shared" si="1015"/>
        <v/>
      </c>
      <c r="AR3447" s="206" t="str">
        <f t="shared" si="1016"/>
        <v>C66 SERVICE</v>
      </c>
      <c r="AS3447" s="22" t="str">
        <f t="shared" si="1017"/>
        <v/>
      </c>
      <c r="AT3447" s="24" t="str">
        <f t="shared" si="1018"/>
        <v/>
      </c>
      <c r="AU3447" s="22">
        <v>0</v>
      </c>
    </row>
    <row r="3448" spans="1:47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1019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1020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06"/>
        <v>29500529.005044252</v>
      </c>
      <c r="AJ3448" s="19">
        <f t="shared" si="1007"/>
        <v>3253064.846231177</v>
      </c>
      <c r="AK3448" s="20">
        <f t="shared" si="1013"/>
        <v>0.11027140718984871</v>
      </c>
      <c r="AL3448" s="55"/>
      <c r="AM3448" s="55"/>
      <c r="AN3448" s="55"/>
      <c r="AO3448" s="55"/>
      <c r="AP3448" s="28" t="str">
        <f t="shared" si="1014"/>
        <v>202111</v>
      </c>
      <c r="AQ3448" s="28" t="str">
        <f t="shared" si="1015"/>
        <v/>
      </c>
      <c r="AR3448" s="206" t="str">
        <f t="shared" si="1016"/>
        <v>C66 SERVICE</v>
      </c>
      <c r="AS3448" s="22" t="str">
        <f t="shared" si="1017"/>
        <v/>
      </c>
      <c r="AT3448" s="24" t="str">
        <f t="shared" si="1018"/>
        <v/>
      </c>
      <c r="AU3448" s="22">
        <v>0</v>
      </c>
    </row>
    <row r="3449" spans="1:47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1019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1020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06"/>
        <v>29500529.005044252</v>
      </c>
      <c r="AJ3449" s="19">
        <f t="shared" si="1007"/>
        <v>3253064.846231177</v>
      </c>
      <c r="AK3449" s="20">
        <f t="shared" si="1013"/>
        <v>0.11027140718984871</v>
      </c>
      <c r="AL3449" s="55"/>
      <c r="AM3449" s="55"/>
      <c r="AN3449" s="55"/>
      <c r="AO3449" s="55"/>
      <c r="AP3449" s="28" t="str">
        <f t="shared" si="1014"/>
        <v>202111</v>
      </c>
      <c r="AQ3449" s="28" t="str">
        <f t="shared" si="1015"/>
        <v/>
      </c>
      <c r="AR3449" s="206" t="str">
        <f t="shared" si="1016"/>
        <v>C66 SERVICE</v>
      </c>
      <c r="AS3449" s="22" t="str">
        <f t="shared" si="1017"/>
        <v/>
      </c>
      <c r="AT3449" s="24" t="str">
        <f t="shared" si="1018"/>
        <v/>
      </c>
      <c r="AU3449" s="22">
        <v>0</v>
      </c>
    </row>
    <row r="3450" spans="1:47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1019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1020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06"/>
        <v>25380121.402654871</v>
      </c>
      <c r="AJ3450" s="19">
        <f t="shared" si="1007"/>
        <v>3850343.1237796471</v>
      </c>
      <c r="AK3450" s="20">
        <f t="shared" si="1013"/>
        <v>0.1517070412191521</v>
      </c>
      <c r="AL3450" s="55"/>
      <c r="AM3450" s="55"/>
      <c r="AN3450" s="55"/>
      <c r="AO3450" s="55"/>
      <c r="AP3450" s="28" t="str">
        <f t="shared" si="1014"/>
        <v>202112</v>
      </c>
      <c r="AQ3450" s="28" t="str">
        <f t="shared" si="1015"/>
        <v/>
      </c>
      <c r="AR3450" s="206" t="str">
        <f t="shared" si="1016"/>
        <v>C66 SERVICE</v>
      </c>
      <c r="AS3450" s="22" t="str">
        <f t="shared" si="1017"/>
        <v/>
      </c>
      <c r="AT3450" s="24" t="str">
        <f t="shared" si="1018"/>
        <v/>
      </c>
      <c r="AU3450" s="22">
        <v>0</v>
      </c>
    </row>
    <row r="3451" spans="1:47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1019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1020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06"/>
        <v>25380121.402654871</v>
      </c>
      <c r="AJ3451" s="19">
        <f t="shared" si="1007"/>
        <v>3850343.1237796471</v>
      </c>
      <c r="AK3451" s="20">
        <f t="shared" si="1013"/>
        <v>0.1517070412191521</v>
      </c>
      <c r="AL3451" s="55"/>
      <c r="AM3451" s="55"/>
      <c r="AN3451" s="55"/>
      <c r="AO3451" s="55"/>
      <c r="AP3451" s="28" t="str">
        <f t="shared" si="1014"/>
        <v>202112</v>
      </c>
      <c r="AQ3451" s="28" t="str">
        <f t="shared" si="1015"/>
        <v/>
      </c>
      <c r="AR3451" s="206" t="str">
        <f t="shared" si="1016"/>
        <v>C66 SERVICE</v>
      </c>
      <c r="AS3451" s="22" t="str">
        <f t="shared" si="1017"/>
        <v/>
      </c>
      <c r="AT3451" s="24" t="str">
        <f t="shared" si="1018"/>
        <v/>
      </c>
      <c r="AU3451" s="22">
        <v>0</v>
      </c>
    </row>
    <row r="3452" spans="1:47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1019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1020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06"/>
        <v>25380121.402654871</v>
      </c>
      <c r="AJ3452" s="19">
        <f t="shared" si="1007"/>
        <v>3850343.1237796471</v>
      </c>
      <c r="AK3452" s="20">
        <f t="shared" si="1013"/>
        <v>0.1517070412191521</v>
      </c>
      <c r="AL3452" s="55"/>
      <c r="AM3452" s="55"/>
      <c r="AN3452" s="55"/>
      <c r="AO3452" s="55"/>
      <c r="AP3452" s="28" t="str">
        <f t="shared" si="1014"/>
        <v>202112</v>
      </c>
      <c r="AQ3452" s="28" t="str">
        <f t="shared" si="1015"/>
        <v/>
      </c>
      <c r="AR3452" s="206" t="str">
        <f t="shared" si="1016"/>
        <v>C66 SERVICE</v>
      </c>
      <c r="AS3452" s="22" t="str">
        <f t="shared" si="1017"/>
        <v/>
      </c>
      <c r="AT3452" s="24" t="str">
        <f t="shared" si="1018"/>
        <v/>
      </c>
      <c r="AU3452" s="22">
        <v>0</v>
      </c>
    </row>
    <row r="3453" spans="1:47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1019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1020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06"/>
        <v>25380121.402654871</v>
      </c>
      <c r="AJ3453" s="19">
        <f t="shared" si="1007"/>
        <v>3850343.1237796471</v>
      </c>
      <c r="AK3453" s="20">
        <f t="shared" si="1013"/>
        <v>0.1517070412191521</v>
      </c>
      <c r="AL3453" s="55"/>
      <c r="AM3453" s="55"/>
      <c r="AN3453" s="55"/>
      <c r="AO3453" s="55"/>
      <c r="AP3453" s="28" t="str">
        <f t="shared" si="1014"/>
        <v>202112</v>
      </c>
      <c r="AQ3453" s="28" t="str">
        <f t="shared" si="1015"/>
        <v/>
      </c>
      <c r="AR3453" s="206" t="str">
        <f t="shared" si="1016"/>
        <v>C66 SERVICE</v>
      </c>
      <c r="AS3453" s="22" t="str">
        <f t="shared" si="1017"/>
        <v/>
      </c>
      <c r="AT3453" s="24" t="str">
        <f t="shared" si="1018"/>
        <v/>
      </c>
      <c r="AU3453" s="22">
        <v>0</v>
      </c>
    </row>
    <row r="3454" spans="1:47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1019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1020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06"/>
        <v>26407088.359292038</v>
      </c>
      <c r="AJ3454" s="19">
        <f t="shared" si="1007"/>
        <v>3424510.6998470789</v>
      </c>
      <c r="AK3454" s="20">
        <f t="shared" si="1013"/>
        <v>0.12968149510667554</v>
      </c>
      <c r="AL3454" s="55"/>
      <c r="AM3454" s="55"/>
      <c r="AN3454" s="55"/>
      <c r="AO3454" s="55"/>
      <c r="AP3454" s="28" t="str">
        <f t="shared" si="1014"/>
        <v>20221</v>
      </c>
      <c r="AQ3454" s="28" t="str">
        <f t="shared" si="1015"/>
        <v/>
      </c>
      <c r="AR3454" s="206" t="str">
        <f t="shared" si="1016"/>
        <v>C66 SERVICE</v>
      </c>
      <c r="AS3454" s="22" t="str">
        <f t="shared" si="1017"/>
        <v/>
      </c>
      <c r="AT3454" s="24" t="str">
        <f t="shared" si="1018"/>
        <v/>
      </c>
      <c r="AU3454" s="22">
        <v>0</v>
      </c>
    </row>
    <row r="3455" spans="1:47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1019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1020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06"/>
        <v>26407088.359292038</v>
      </c>
      <c r="AJ3455" s="19">
        <f t="shared" si="1007"/>
        <v>3424510.6998470789</v>
      </c>
      <c r="AK3455" s="20">
        <f t="shared" si="1013"/>
        <v>0.12968149510667554</v>
      </c>
      <c r="AL3455" s="55"/>
      <c r="AM3455" s="55"/>
      <c r="AN3455" s="55"/>
      <c r="AO3455" s="55"/>
      <c r="AP3455" s="28" t="str">
        <f t="shared" si="1014"/>
        <v>20221</v>
      </c>
      <c r="AQ3455" s="28" t="str">
        <f t="shared" si="1015"/>
        <v/>
      </c>
      <c r="AR3455" s="206" t="str">
        <f t="shared" si="1016"/>
        <v>C66 SERVICE</v>
      </c>
      <c r="AS3455" s="22" t="str">
        <f t="shared" si="1017"/>
        <v/>
      </c>
      <c r="AT3455" s="24" t="str">
        <f t="shared" si="1018"/>
        <v/>
      </c>
      <c r="AU3455" s="22">
        <v>0</v>
      </c>
    </row>
    <row r="3456" spans="1:47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1019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1020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06"/>
        <v>26407088.359292038</v>
      </c>
      <c r="AJ3456" s="19">
        <f t="shared" si="1007"/>
        <v>3424510.6998470789</v>
      </c>
      <c r="AK3456" s="20">
        <f t="shared" si="1013"/>
        <v>0.12968149510667554</v>
      </c>
      <c r="AL3456" s="55"/>
      <c r="AM3456" s="55"/>
      <c r="AN3456" s="55"/>
      <c r="AO3456" s="55"/>
      <c r="AP3456" s="28" t="str">
        <f t="shared" si="1014"/>
        <v>20221</v>
      </c>
      <c r="AQ3456" s="28" t="str">
        <f t="shared" si="1015"/>
        <v/>
      </c>
      <c r="AR3456" s="206" t="str">
        <f t="shared" si="1016"/>
        <v>C66 SERVICE</v>
      </c>
      <c r="AS3456" s="22" t="str">
        <f t="shared" si="1017"/>
        <v/>
      </c>
      <c r="AT3456" s="24" t="str">
        <f t="shared" si="1018"/>
        <v/>
      </c>
      <c r="AU3456" s="22">
        <v>0</v>
      </c>
    </row>
    <row r="3457" spans="1:47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1019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1020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06"/>
        <v>26407088.359292038</v>
      </c>
      <c r="AJ3457" s="19">
        <f t="shared" si="1007"/>
        <v>3424510.6998470789</v>
      </c>
      <c r="AK3457" s="20">
        <f t="shared" si="1013"/>
        <v>0.12968149510667554</v>
      </c>
      <c r="AL3457" s="55"/>
      <c r="AM3457" s="55"/>
      <c r="AN3457" s="55"/>
      <c r="AO3457" s="55"/>
      <c r="AP3457" s="28" t="str">
        <f t="shared" si="1014"/>
        <v>20221</v>
      </c>
      <c r="AQ3457" s="28" t="str">
        <f t="shared" si="1015"/>
        <v/>
      </c>
      <c r="AR3457" s="206" t="str">
        <f t="shared" si="1016"/>
        <v>C66 SERVICE</v>
      </c>
      <c r="AS3457" s="22" t="str">
        <f t="shared" si="1017"/>
        <v/>
      </c>
      <c r="AT3457" s="24" t="str">
        <f t="shared" si="1018"/>
        <v/>
      </c>
      <c r="AU3457" s="22">
        <v>0</v>
      </c>
    </row>
    <row r="3458" spans="1:47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1019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1020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ref="AI3458:AI3521" si="1021">IF(P3458="C66 SERVICE","",SUMIFS(AB:AB,F:F,F3458,G:G,G3458,E:E,E3458))</f>
        <v>31750699.113741599</v>
      </c>
      <c r="AJ3458" s="19">
        <f t="shared" ref="AJ3458:AJ3521" si="1022">IF(P3458="C66 SERVICE","",SUMIFS(AC:AC,F:F,F3458,G:G,G3458,E:E,E3458))</f>
        <v>4396077.3195289988</v>
      </c>
      <c r="AK3458" s="20">
        <f t="shared" si="1013"/>
        <v>0.13845607946397598</v>
      </c>
      <c r="AL3458" s="55"/>
      <c r="AM3458" s="55"/>
      <c r="AN3458" s="55"/>
      <c r="AO3458" s="55"/>
      <c r="AP3458" s="28" t="str">
        <f t="shared" si="1014"/>
        <v>20222</v>
      </c>
      <c r="AQ3458" s="28" t="str">
        <f t="shared" si="1015"/>
        <v/>
      </c>
      <c r="AR3458" s="206" t="str">
        <f t="shared" si="1016"/>
        <v>C66 SERVICE</v>
      </c>
      <c r="AS3458" s="22" t="str">
        <f t="shared" si="1017"/>
        <v/>
      </c>
      <c r="AT3458" s="24" t="str">
        <f t="shared" si="1018"/>
        <v/>
      </c>
      <c r="AU3458" s="22">
        <v>0</v>
      </c>
    </row>
    <row r="3459" spans="1:47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1019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1020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21"/>
        <v>31750699.113741599</v>
      </c>
      <c r="AJ3459" s="19">
        <f t="shared" si="1022"/>
        <v>4396077.3195289988</v>
      </c>
      <c r="AK3459" s="20">
        <f t="shared" si="1013"/>
        <v>0.13845607946397598</v>
      </c>
      <c r="AL3459" s="55"/>
      <c r="AM3459" s="55"/>
      <c r="AN3459" s="55"/>
      <c r="AO3459" s="55"/>
      <c r="AP3459" s="28" t="str">
        <f t="shared" si="1014"/>
        <v>20222</v>
      </c>
      <c r="AQ3459" s="28" t="str">
        <f t="shared" si="1015"/>
        <v/>
      </c>
      <c r="AR3459" s="206" t="str">
        <f t="shared" si="1016"/>
        <v>C66 SERVICE</v>
      </c>
      <c r="AS3459" s="22" t="str">
        <f t="shared" si="1017"/>
        <v/>
      </c>
      <c r="AT3459" s="24" t="str">
        <f t="shared" si="1018"/>
        <v/>
      </c>
      <c r="AU3459" s="22">
        <v>0</v>
      </c>
    </row>
    <row r="3460" spans="1:47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1019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1020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21"/>
        <v>31750699.113741599</v>
      </c>
      <c r="AJ3460" s="19">
        <f t="shared" si="1022"/>
        <v>4396077.3195289988</v>
      </c>
      <c r="AK3460" s="20">
        <f t="shared" si="1013"/>
        <v>0.13845607946397598</v>
      </c>
      <c r="AL3460" s="55"/>
      <c r="AM3460" s="55"/>
      <c r="AN3460" s="55"/>
      <c r="AO3460" s="55"/>
      <c r="AP3460" s="28" t="str">
        <f t="shared" si="1014"/>
        <v>20222</v>
      </c>
      <c r="AQ3460" s="28" t="str">
        <f t="shared" si="1015"/>
        <v/>
      </c>
      <c r="AR3460" s="206" t="str">
        <f t="shared" si="1016"/>
        <v>C66 SERVICE</v>
      </c>
      <c r="AS3460" s="22" t="str">
        <f t="shared" si="1017"/>
        <v/>
      </c>
      <c r="AT3460" s="24" t="str">
        <f t="shared" si="1018"/>
        <v/>
      </c>
      <c r="AU3460" s="22">
        <v>0</v>
      </c>
    </row>
    <row r="3461" spans="1:47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1019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1020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21"/>
        <v>31750699.113741599</v>
      </c>
      <c r="AJ3461" s="19">
        <f t="shared" si="1022"/>
        <v>4396077.3195289988</v>
      </c>
      <c r="AK3461" s="20">
        <f t="shared" si="1013"/>
        <v>0.13845607946397598</v>
      </c>
      <c r="AL3461" s="55"/>
      <c r="AM3461" s="55"/>
      <c r="AN3461" s="55"/>
      <c r="AO3461" s="55"/>
      <c r="AP3461" s="28" t="str">
        <f t="shared" si="1014"/>
        <v>20222</v>
      </c>
      <c r="AQ3461" s="28" t="str">
        <f t="shared" si="1015"/>
        <v/>
      </c>
      <c r="AR3461" s="206" t="str">
        <f t="shared" si="1016"/>
        <v>C66 SERVICE</v>
      </c>
      <c r="AS3461" s="22" t="str">
        <f t="shared" si="1017"/>
        <v/>
      </c>
      <c r="AT3461" s="24" t="str">
        <f t="shared" si="1018"/>
        <v/>
      </c>
      <c r="AU3461" s="22">
        <v>0</v>
      </c>
    </row>
    <row r="3462" spans="1:47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1019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1020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si="1021"/>
        <v>28726768.133805312</v>
      </c>
      <c r="AJ3462" s="19">
        <f t="shared" si="1022"/>
        <v>3853638.1988864429</v>
      </c>
      <c r="AK3462" s="20">
        <f t="shared" ref="AK3462:AK3525" si="1028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29">IF(F3462="","",F3462&amp;G3462)</f>
        <v>20223</v>
      </c>
      <c r="AQ3462" s="28" t="str">
        <f t="shared" ref="AQ3462:AQ3525" si="1030">IF(W3462="","",F3462&amp;G3462&amp;W3462)</f>
        <v/>
      </c>
      <c r="AR3462" s="206" t="str">
        <f t="shared" ref="AR3462:AR3525" si="1031">IFERROR(IF(AND(M3462="YAMAHA", R3462="C28"), "YAMAHA_Non_Mounter", IF(AND(M3462="YAMAHA", R3462="C49"), "YAMAHA_Mounter", M3462)),"")</f>
        <v>C66 SERVICE</v>
      </c>
      <c r="AS3462" s="22" t="str">
        <f t="shared" ref="AS3462:AS3525" si="1032">IFERROR(IF(OR(G3462="TBA", G3462=""), "", DATEDIF(DATE(B3462, C3462, 1), DATE(F3462, G3462, 1), "M")),"")</f>
        <v/>
      </c>
      <c r="AT3462" s="24" t="str">
        <f t="shared" ref="AT3462:AT3525" si="1033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1019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1020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1"/>
        <v>28726768.133805312</v>
      </c>
      <c r="AJ3463" s="19">
        <f t="shared" si="1022"/>
        <v>3853638.1988864429</v>
      </c>
      <c r="AK3463" s="20">
        <f t="shared" si="1028"/>
        <v>0.1341479898099476</v>
      </c>
      <c r="AL3463" s="55"/>
      <c r="AM3463" s="55"/>
      <c r="AN3463" s="55"/>
      <c r="AO3463" s="55"/>
      <c r="AP3463" s="28" t="str">
        <f t="shared" si="1029"/>
        <v>20223</v>
      </c>
      <c r="AQ3463" s="28" t="str">
        <f t="shared" si="1030"/>
        <v/>
      </c>
      <c r="AR3463" s="206" t="str">
        <f t="shared" si="1031"/>
        <v>C66 SERVICE</v>
      </c>
      <c r="AS3463" s="22" t="str">
        <f t="shared" si="1032"/>
        <v/>
      </c>
      <c r="AT3463" s="24" t="str">
        <f t="shared" si="1033"/>
        <v/>
      </c>
      <c r="AU3463" s="22">
        <v>0</v>
      </c>
    </row>
    <row r="3464" spans="1:47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1019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1020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1"/>
        <v>28726768.133805312</v>
      </c>
      <c r="AJ3464" s="19">
        <f t="shared" si="1022"/>
        <v>3853638.1988864429</v>
      </c>
      <c r="AK3464" s="20">
        <f t="shared" si="1028"/>
        <v>0.1341479898099476</v>
      </c>
      <c r="AL3464" s="55"/>
      <c r="AM3464" s="55"/>
      <c r="AN3464" s="55"/>
      <c r="AO3464" s="55"/>
      <c r="AP3464" s="28" t="str">
        <f t="shared" si="1029"/>
        <v>20223</v>
      </c>
      <c r="AQ3464" s="28" t="str">
        <f t="shared" si="1030"/>
        <v/>
      </c>
      <c r="AR3464" s="206" t="str">
        <f t="shared" si="1031"/>
        <v>C66 SERVICE</v>
      </c>
      <c r="AS3464" s="22" t="str">
        <f t="shared" si="1032"/>
        <v/>
      </c>
      <c r="AT3464" s="24" t="str">
        <f t="shared" si="1033"/>
        <v/>
      </c>
      <c r="AU3464" s="22">
        <v>0</v>
      </c>
    </row>
    <row r="3465" spans="1:47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1019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1020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1"/>
        <v>28726768.133805312</v>
      </c>
      <c r="AJ3465" s="19">
        <f t="shared" si="1022"/>
        <v>3853638.1988864429</v>
      </c>
      <c r="AK3465" s="20">
        <f t="shared" si="1028"/>
        <v>0.1341479898099476</v>
      </c>
      <c r="AL3465" s="55"/>
      <c r="AM3465" s="55"/>
      <c r="AN3465" s="55"/>
      <c r="AO3465" s="55"/>
      <c r="AP3465" s="28" t="str">
        <f t="shared" si="1029"/>
        <v>20223</v>
      </c>
      <c r="AQ3465" s="28" t="str">
        <f t="shared" si="1030"/>
        <v/>
      </c>
      <c r="AR3465" s="206" t="str">
        <f t="shared" si="1031"/>
        <v>C66 SERVICE</v>
      </c>
      <c r="AS3465" s="22" t="str">
        <f t="shared" si="1032"/>
        <v/>
      </c>
      <c r="AT3465" s="24" t="str">
        <f t="shared" si="1033"/>
        <v/>
      </c>
      <c r="AU3465" s="22">
        <v>0</v>
      </c>
    </row>
    <row r="3466" spans="1:47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1019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1020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1"/>
        <v>7502645.9971681423</v>
      </c>
      <c r="AJ3466" s="19">
        <f t="shared" si="1022"/>
        <v>664841.72044240718</v>
      </c>
      <c r="AK3466" s="20">
        <f t="shared" si="1028"/>
        <v>8.861429963420242E-2</v>
      </c>
      <c r="AL3466" s="55"/>
      <c r="AM3466" s="55"/>
      <c r="AN3466" s="55"/>
      <c r="AO3466" s="55"/>
      <c r="AP3466" s="28" t="str">
        <f t="shared" si="1029"/>
        <v>20231</v>
      </c>
      <c r="AQ3466" s="28" t="str">
        <f t="shared" si="1030"/>
        <v/>
      </c>
      <c r="AR3466" s="206" t="str">
        <f t="shared" si="1031"/>
        <v>C66 SERVICE</v>
      </c>
      <c r="AS3466" s="22" t="str">
        <f t="shared" si="1032"/>
        <v/>
      </c>
      <c r="AT3466" s="24" t="str">
        <f t="shared" si="1033"/>
        <v/>
      </c>
      <c r="AU3466" s="22">
        <v>0</v>
      </c>
    </row>
    <row r="3467" spans="1:47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1019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1020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1"/>
        <v>7502645.9971681423</v>
      </c>
      <c r="AJ3467" s="19">
        <f t="shared" si="1022"/>
        <v>664841.72044240718</v>
      </c>
      <c r="AK3467" s="20">
        <f t="shared" si="1028"/>
        <v>8.861429963420242E-2</v>
      </c>
      <c r="AL3467" s="55"/>
      <c r="AM3467" s="55"/>
      <c r="AN3467" s="55"/>
      <c r="AO3467" s="55"/>
      <c r="AP3467" s="28" t="str">
        <f t="shared" si="1029"/>
        <v>20231</v>
      </c>
      <c r="AQ3467" s="28" t="str">
        <f t="shared" si="1030"/>
        <v/>
      </c>
      <c r="AR3467" s="206" t="str">
        <f t="shared" si="1031"/>
        <v>C66 SERVICE</v>
      </c>
      <c r="AS3467" s="22" t="str">
        <f t="shared" si="1032"/>
        <v/>
      </c>
      <c r="AT3467" s="24" t="str">
        <f t="shared" si="1033"/>
        <v/>
      </c>
      <c r="AU3467" s="22">
        <v>0</v>
      </c>
    </row>
    <row r="3468" spans="1:47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1019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1020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1"/>
        <v>7502645.9971681423</v>
      </c>
      <c r="AJ3468" s="19">
        <f t="shared" si="1022"/>
        <v>664841.72044240718</v>
      </c>
      <c r="AK3468" s="20">
        <f t="shared" si="1028"/>
        <v>8.861429963420242E-2</v>
      </c>
      <c r="AL3468" s="55"/>
      <c r="AM3468" s="55"/>
      <c r="AN3468" s="55"/>
      <c r="AO3468" s="55"/>
      <c r="AP3468" s="28" t="str">
        <f t="shared" si="1029"/>
        <v>20231</v>
      </c>
      <c r="AQ3468" s="28" t="str">
        <f t="shared" si="1030"/>
        <v/>
      </c>
      <c r="AR3468" s="206" t="str">
        <f t="shared" si="1031"/>
        <v>C66 SERVICE</v>
      </c>
      <c r="AS3468" s="22" t="str">
        <f t="shared" si="1032"/>
        <v/>
      </c>
      <c r="AT3468" s="24" t="str">
        <f t="shared" si="1033"/>
        <v/>
      </c>
      <c r="AU3468" s="22">
        <v>0</v>
      </c>
    </row>
    <row r="3469" spans="1:47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1019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1020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1"/>
        <v>7502645.9971681423</v>
      </c>
      <c r="AJ3469" s="19">
        <f t="shared" si="1022"/>
        <v>664841.72044240718</v>
      </c>
      <c r="AK3469" s="20">
        <f t="shared" si="1028"/>
        <v>8.861429963420242E-2</v>
      </c>
      <c r="AL3469" s="55"/>
      <c r="AM3469" s="55"/>
      <c r="AN3469" s="55"/>
      <c r="AO3469" s="55"/>
      <c r="AP3469" s="28" t="str">
        <f t="shared" si="1029"/>
        <v>20231</v>
      </c>
      <c r="AQ3469" s="28" t="str">
        <f t="shared" si="1030"/>
        <v/>
      </c>
      <c r="AR3469" s="206" t="str">
        <f t="shared" si="1031"/>
        <v>C66 SERVICE</v>
      </c>
      <c r="AS3469" s="22" t="str">
        <f t="shared" si="1032"/>
        <v/>
      </c>
      <c r="AT3469" s="24" t="str">
        <f t="shared" si="1033"/>
        <v/>
      </c>
      <c r="AU3469" s="22">
        <v>0</v>
      </c>
    </row>
    <row r="3470" spans="1:47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1019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1020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1"/>
        <v>21045012.884955753</v>
      </c>
      <c r="AJ3470" s="19">
        <f t="shared" si="1022"/>
        <v>2650260.9603327443</v>
      </c>
      <c r="AK3470" s="20">
        <f t="shared" si="1028"/>
        <v>0.12593296924172048</v>
      </c>
      <c r="AL3470" s="55"/>
      <c r="AM3470" s="55"/>
      <c r="AN3470" s="55"/>
      <c r="AO3470" s="55"/>
      <c r="AP3470" s="28" t="str">
        <f t="shared" si="1029"/>
        <v>20232</v>
      </c>
      <c r="AQ3470" s="28" t="str">
        <f t="shared" si="1030"/>
        <v/>
      </c>
      <c r="AR3470" s="206" t="str">
        <f t="shared" si="1031"/>
        <v>C66 SERVICE</v>
      </c>
      <c r="AS3470" s="22" t="str">
        <f t="shared" si="1032"/>
        <v/>
      </c>
      <c r="AT3470" s="24" t="str">
        <f t="shared" si="1033"/>
        <v/>
      </c>
      <c r="AU3470" s="22">
        <v>0</v>
      </c>
    </row>
    <row r="3471" spans="1:47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1019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1020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1"/>
        <v>21045012.884955753</v>
      </c>
      <c r="AJ3471" s="19">
        <f t="shared" si="1022"/>
        <v>2650260.9603327443</v>
      </c>
      <c r="AK3471" s="20">
        <f t="shared" si="1028"/>
        <v>0.12593296924172048</v>
      </c>
      <c r="AL3471" s="55"/>
      <c r="AM3471" s="55"/>
      <c r="AN3471" s="55"/>
      <c r="AO3471" s="55"/>
      <c r="AP3471" s="28" t="str">
        <f t="shared" si="1029"/>
        <v>20232</v>
      </c>
      <c r="AQ3471" s="28" t="str">
        <f t="shared" si="1030"/>
        <v/>
      </c>
      <c r="AR3471" s="206" t="str">
        <f t="shared" si="1031"/>
        <v>C66 SERVICE</v>
      </c>
      <c r="AS3471" s="22" t="str">
        <f t="shared" si="1032"/>
        <v/>
      </c>
      <c r="AT3471" s="24" t="str">
        <f t="shared" si="1033"/>
        <v/>
      </c>
      <c r="AU3471" s="22">
        <v>0</v>
      </c>
    </row>
    <row r="3472" spans="1:47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1019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1020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1"/>
        <v>21045012.884955753</v>
      </c>
      <c r="AJ3472" s="19">
        <f t="shared" si="1022"/>
        <v>2650260.9603327443</v>
      </c>
      <c r="AK3472" s="20">
        <f t="shared" si="1028"/>
        <v>0.12593296924172048</v>
      </c>
      <c r="AL3472" s="55"/>
      <c r="AM3472" s="55"/>
      <c r="AN3472" s="55"/>
      <c r="AO3472" s="55"/>
      <c r="AP3472" s="28" t="str">
        <f t="shared" si="1029"/>
        <v>20232</v>
      </c>
      <c r="AQ3472" s="28" t="str">
        <f t="shared" si="1030"/>
        <v/>
      </c>
      <c r="AR3472" s="206" t="str">
        <f t="shared" si="1031"/>
        <v>C66 SERVICE</v>
      </c>
      <c r="AS3472" s="22" t="str">
        <f t="shared" si="1032"/>
        <v/>
      </c>
      <c r="AT3472" s="24" t="str">
        <f t="shared" si="1033"/>
        <v/>
      </c>
      <c r="AU3472" s="22">
        <v>0</v>
      </c>
    </row>
    <row r="3473" spans="1:47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1019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1020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1"/>
        <v>21045012.884955753</v>
      </c>
      <c r="AJ3473" s="19">
        <f t="shared" si="1022"/>
        <v>2650260.9603327443</v>
      </c>
      <c r="AK3473" s="20">
        <f t="shared" si="1028"/>
        <v>0.12593296924172048</v>
      </c>
      <c r="AL3473" s="55"/>
      <c r="AM3473" s="55"/>
      <c r="AN3473" s="55"/>
      <c r="AO3473" s="55"/>
      <c r="AP3473" s="28" t="str">
        <f t="shared" si="1029"/>
        <v>20232</v>
      </c>
      <c r="AQ3473" s="28" t="str">
        <f t="shared" si="1030"/>
        <v/>
      </c>
      <c r="AR3473" s="206" t="str">
        <f t="shared" si="1031"/>
        <v>C66 SERVICE</v>
      </c>
      <c r="AS3473" s="22" t="str">
        <f t="shared" si="1032"/>
        <v/>
      </c>
      <c r="AT3473" s="24" t="str">
        <f t="shared" si="1033"/>
        <v/>
      </c>
      <c r="AU3473" s="22">
        <v>0</v>
      </c>
    </row>
    <row r="3474" spans="1:47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1019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1020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1"/>
        <v>30573205.452778768</v>
      </c>
      <c r="AJ3474" s="19">
        <f t="shared" si="1022"/>
        <v>3790930.1683151261</v>
      </c>
      <c r="AK3474" s="20">
        <f t="shared" si="1028"/>
        <v>0.12399518179964254</v>
      </c>
      <c r="AL3474" s="55"/>
      <c r="AM3474" s="55"/>
      <c r="AN3474" s="55"/>
      <c r="AO3474" s="55"/>
      <c r="AP3474" s="28" t="str">
        <f t="shared" si="1029"/>
        <v>20234</v>
      </c>
      <c r="AQ3474" s="28" t="str">
        <f t="shared" si="1030"/>
        <v/>
      </c>
      <c r="AR3474" s="206" t="str">
        <f t="shared" si="1031"/>
        <v>C66 SERVICE</v>
      </c>
      <c r="AS3474" s="22" t="str">
        <f t="shared" si="1032"/>
        <v/>
      </c>
      <c r="AT3474" s="24" t="str">
        <f t="shared" si="1033"/>
        <v/>
      </c>
      <c r="AU3474" s="22">
        <v>0</v>
      </c>
    </row>
    <row r="3475" spans="1:47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1019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1020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1"/>
        <v>30573205.452778768</v>
      </c>
      <c r="AJ3475" s="19">
        <f t="shared" si="1022"/>
        <v>3790930.1683151261</v>
      </c>
      <c r="AK3475" s="20">
        <f t="shared" si="1028"/>
        <v>0.12399518179964254</v>
      </c>
      <c r="AL3475" s="55"/>
      <c r="AM3475" s="55"/>
      <c r="AN3475" s="55"/>
      <c r="AO3475" s="55"/>
      <c r="AP3475" s="28" t="str">
        <f t="shared" si="1029"/>
        <v>20234</v>
      </c>
      <c r="AQ3475" s="28" t="str">
        <f t="shared" si="1030"/>
        <v/>
      </c>
      <c r="AR3475" s="206" t="str">
        <f t="shared" si="1031"/>
        <v>C66 SERVICE</v>
      </c>
      <c r="AS3475" s="22" t="str">
        <f t="shared" si="1032"/>
        <v/>
      </c>
      <c r="AT3475" s="24" t="str">
        <f t="shared" si="1033"/>
        <v/>
      </c>
      <c r="AU3475" s="22">
        <v>0</v>
      </c>
    </row>
    <row r="3476" spans="1:47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1019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1020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1"/>
        <v>30573205.452778768</v>
      </c>
      <c r="AJ3476" s="19">
        <f t="shared" si="1022"/>
        <v>3790930.1683151261</v>
      </c>
      <c r="AK3476" s="20">
        <f t="shared" si="1028"/>
        <v>0.12399518179964254</v>
      </c>
      <c r="AL3476" s="55"/>
      <c r="AM3476" s="55"/>
      <c r="AN3476" s="55"/>
      <c r="AO3476" s="55"/>
      <c r="AP3476" s="28" t="str">
        <f t="shared" si="1029"/>
        <v>20234</v>
      </c>
      <c r="AQ3476" s="28" t="str">
        <f t="shared" si="1030"/>
        <v/>
      </c>
      <c r="AR3476" s="206" t="str">
        <f t="shared" si="1031"/>
        <v>C66 SERVICE</v>
      </c>
      <c r="AS3476" s="22" t="str">
        <f t="shared" si="1032"/>
        <v/>
      </c>
      <c r="AT3476" s="24" t="str">
        <f t="shared" si="1033"/>
        <v/>
      </c>
      <c r="AU3476" s="22">
        <v>0</v>
      </c>
    </row>
    <row r="3477" spans="1:47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1019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1020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1"/>
        <v>30573205.452778768</v>
      </c>
      <c r="AJ3477" s="19">
        <f t="shared" si="1022"/>
        <v>3790930.1683151261</v>
      </c>
      <c r="AK3477" s="20">
        <f t="shared" si="1028"/>
        <v>0.12399518179964254</v>
      </c>
      <c r="AL3477" s="55"/>
      <c r="AM3477" s="55"/>
      <c r="AN3477" s="55"/>
      <c r="AO3477" s="55"/>
      <c r="AP3477" s="28" t="str">
        <f t="shared" si="1029"/>
        <v>20234</v>
      </c>
      <c r="AQ3477" s="28" t="str">
        <f t="shared" si="1030"/>
        <v/>
      </c>
      <c r="AR3477" s="206" t="str">
        <f t="shared" si="1031"/>
        <v>C66 SERVICE</v>
      </c>
      <c r="AS3477" s="22" t="str">
        <f t="shared" si="1032"/>
        <v/>
      </c>
      <c r="AT3477" s="24" t="str">
        <f t="shared" si="1033"/>
        <v/>
      </c>
      <c r="AU3477" s="22">
        <v>0</v>
      </c>
    </row>
    <row r="3478" spans="1:47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1034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1020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1"/>
        <v>28177779.013274338</v>
      </c>
      <c r="AJ3478" s="19">
        <f t="shared" si="1022"/>
        <v>4727216.6376190251</v>
      </c>
      <c r="AK3478" s="20">
        <f t="shared" si="1028"/>
        <v>0.1677639900359808</v>
      </c>
      <c r="AL3478" s="55"/>
      <c r="AM3478" s="55"/>
      <c r="AN3478" s="55"/>
      <c r="AO3478" s="55"/>
      <c r="AP3478" s="28" t="str">
        <f t="shared" si="1029"/>
        <v>20235</v>
      </c>
      <c r="AQ3478" s="28" t="str">
        <f t="shared" si="1030"/>
        <v/>
      </c>
      <c r="AR3478" s="206" t="str">
        <f t="shared" si="1031"/>
        <v>C66 SERVICE</v>
      </c>
      <c r="AS3478" s="22" t="str">
        <f t="shared" si="1032"/>
        <v/>
      </c>
      <c r="AT3478" s="24" t="str">
        <f t="shared" si="1033"/>
        <v/>
      </c>
      <c r="AU3478" s="22">
        <v>0</v>
      </c>
    </row>
    <row r="3479" spans="1:47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1034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1020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1"/>
        <v>28177779.013274338</v>
      </c>
      <c r="AJ3479" s="19">
        <f t="shared" si="1022"/>
        <v>4727216.6376190251</v>
      </c>
      <c r="AK3479" s="20">
        <f t="shared" si="1028"/>
        <v>0.1677639900359808</v>
      </c>
      <c r="AL3479" s="55"/>
      <c r="AM3479" s="55"/>
      <c r="AN3479" s="55"/>
      <c r="AO3479" s="55"/>
      <c r="AP3479" s="28" t="str">
        <f t="shared" si="1029"/>
        <v>20235</v>
      </c>
      <c r="AQ3479" s="28" t="str">
        <f t="shared" si="1030"/>
        <v/>
      </c>
      <c r="AR3479" s="206" t="str">
        <f t="shared" si="1031"/>
        <v>C66 SERVICE</v>
      </c>
      <c r="AS3479" s="22" t="str">
        <f t="shared" si="1032"/>
        <v/>
      </c>
      <c r="AT3479" s="24" t="str">
        <f t="shared" si="1033"/>
        <v/>
      </c>
      <c r="AU3479" s="22">
        <v>0</v>
      </c>
    </row>
    <row r="3480" spans="1:47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1034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1020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1"/>
        <v>28177779.013274338</v>
      </c>
      <c r="AJ3480" s="19">
        <f t="shared" si="1022"/>
        <v>4727216.6376190251</v>
      </c>
      <c r="AK3480" s="20">
        <f t="shared" si="1028"/>
        <v>0.1677639900359808</v>
      </c>
      <c r="AL3480" s="55"/>
      <c r="AM3480" s="55"/>
      <c r="AN3480" s="55"/>
      <c r="AO3480" s="55"/>
      <c r="AP3480" s="28" t="str">
        <f t="shared" si="1029"/>
        <v>20235</v>
      </c>
      <c r="AQ3480" s="28" t="str">
        <f t="shared" si="1030"/>
        <v/>
      </c>
      <c r="AR3480" s="206" t="str">
        <f t="shared" si="1031"/>
        <v>C66 SERVICE</v>
      </c>
      <c r="AS3480" s="22" t="str">
        <f t="shared" si="1032"/>
        <v/>
      </c>
      <c r="AT3480" s="24" t="str">
        <f t="shared" si="1033"/>
        <v/>
      </c>
      <c r="AU3480" s="22">
        <v>0</v>
      </c>
    </row>
    <row r="3481" spans="1:47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1034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1020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1"/>
        <v>28177779.013274338</v>
      </c>
      <c r="AJ3481" s="19">
        <f t="shared" si="1022"/>
        <v>4727216.6376190251</v>
      </c>
      <c r="AK3481" s="20">
        <f t="shared" si="1028"/>
        <v>0.1677639900359808</v>
      </c>
      <c r="AL3481" s="55"/>
      <c r="AM3481" s="55"/>
      <c r="AN3481" s="55"/>
      <c r="AO3481" s="55"/>
      <c r="AP3481" s="28" t="str">
        <f t="shared" si="1029"/>
        <v>20235</v>
      </c>
      <c r="AQ3481" s="28" t="str">
        <f t="shared" si="1030"/>
        <v/>
      </c>
      <c r="AR3481" s="206" t="str">
        <f t="shared" si="1031"/>
        <v>C66 SERVICE</v>
      </c>
      <c r="AS3481" s="22" t="str">
        <f t="shared" si="1032"/>
        <v/>
      </c>
      <c r="AT3481" s="24" t="str">
        <f t="shared" si="1033"/>
        <v/>
      </c>
      <c r="AU3481" s="22">
        <v>0</v>
      </c>
    </row>
    <row r="3482" spans="1:47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1034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1020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1"/>
        <v>13640480.497522123</v>
      </c>
      <c r="AJ3482" s="19">
        <f t="shared" si="1022"/>
        <v>1928605.8020906283</v>
      </c>
      <c r="AK3482" s="20">
        <f t="shared" si="1028"/>
        <v>0.1413884065477731</v>
      </c>
      <c r="AL3482" s="55"/>
      <c r="AM3482" s="55"/>
      <c r="AN3482" s="55"/>
      <c r="AO3482" s="55"/>
      <c r="AP3482" s="28" t="str">
        <f t="shared" si="1029"/>
        <v>20236</v>
      </c>
      <c r="AQ3482" s="28" t="str">
        <f t="shared" si="1030"/>
        <v/>
      </c>
      <c r="AR3482" s="206" t="str">
        <f t="shared" si="1031"/>
        <v>C66 SERVICE</v>
      </c>
      <c r="AS3482" s="22" t="str">
        <f t="shared" si="1032"/>
        <v/>
      </c>
      <c r="AT3482" s="24" t="str">
        <f t="shared" si="1033"/>
        <v/>
      </c>
      <c r="AU3482" s="22">
        <v>0</v>
      </c>
    </row>
    <row r="3483" spans="1:47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1034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1020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1"/>
        <v>13640480.497522123</v>
      </c>
      <c r="AJ3483" s="19">
        <f t="shared" si="1022"/>
        <v>1928605.8020906283</v>
      </c>
      <c r="AK3483" s="20">
        <f t="shared" si="1028"/>
        <v>0.1413884065477731</v>
      </c>
      <c r="AL3483" s="55"/>
      <c r="AM3483" s="55"/>
      <c r="AN3483" s="55"/>
      <c r="AO3483" s="55"/>
      <c r="AP3483" s="28" t="str">
        <f t="shared" si="1029"/>
        <v>20236</v>
      </c>
      <c r="AQ3483" s="28" t="str">
        <f t="shared" si="1030"/>
        <v/>
      </c>
      <c r="AR3483" s="206" t="str">
        <f t="shared" si="1031"/>
        <v>C66 SERVICE</v>
      </c>
      <c r="AS3483" s="22" t="str">
        <f t="shared" si="1032"/>
        <v/>
      </c>
      <c r="AT3483" s="24" t="str">
        <f t="shared" si="1033"/>
        <v/>
      </c>
      <c r="AU3483" s="22">
        <v>0</v>
      </c>
    </row>
    <row r="3484" spans="1:47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1034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1020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1"/>
        <v>13640480.497522123</v>
      </c>
      <c r="AJ3484" s="19">
        <f t="shared" si="1022"/>
        <v>1928605.8020906283</v>
      </c>
      <c r="AK3484" s="20">
        <f t="shared" si="1028"/>
        <v>0.1413884065477731</v>
      </c>
      <c r="AL3484" s="55"/>
      <c r="AM3484" s="55"/>
      <c r="AN3484" s="55"/>
      <c r="AO3484" s="55"/>
      <c r="AP3484" s="28" t="str">
        <f t="shared" si="1029"/>
        <v>20236</v>
      </c>
      <c r="AQ3484" s="28" t="str">
        <f t="shared" si="1030"/>
        <v/>
      </c>
      <c r="AR3484" s="206" t="str">
        <f t="shared" si="1031"/>
        <v>C66 SERVICE</v>
      </c>
      <c r="AS3484" s="22" t="str">
        <f t="shared" si="1032"/>
        <v/>
      </c>
      <c r="AT3484" s="24" t="str">
        <f t="shared" si="1033"/>
        <v/>
      </c>
      <c r="AU3484" s="22">
        <v>0</v>
      </c>
    </row>
    <row r="3485" spans="1:47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1034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1020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1"/>
        <v>13640480.497522123</v>
      </c>
      <c r="AJ3485" s="19">
        <f t="shared" si="1022"/>
        <v>1928605.8020906283</v>
      </c>
      <c r="AK3485" s="20">
        <f t="shared" si="1028"/>
        <v>0.1413884065477731</v>
      </c>
      <c r="AL3485" s="55"/>
      <c r="AM3485" s="55"/>
      <c r="AN3485" s="55"/>
      <c r="AO3485" s="55"/>
      <c r="AP3485" s="28" t="str">
        <f t="shared" si="1029"/>
        <v>20236</v>
      </c>
      <c r="AQ3485" s="28" t="str">
        <f t="shared" si="1030"/>
        <v/>
      </c>
      <c r="AR3485" s="206" t="str">
        <f t="shared" si="1031"/>
        <v>C66 SERVICE</v>
      </c>
      <c r="AS3485" s="22" t="str">
        <f t="shared" si="1032"/>
        <v/>
      </c>
      <c r="AT3485" s="24" t="str">
        <f t="shared" si="1033"/>
        <v/>
      </c>
      <c r="AU3485" s="22">
        <v>0</v>
      </c>
    </row>
    <row r="3486" spans="1:47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1034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1035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1"/>
        <v>15951056.41591504</v>
      </c>
      <c r="AJ3486" s="19">
        <f t="shared" si="1022"/>
        <v>1966354.6022462982</v>
      </c>
      <c r="AK3486" s="20">
        <f t="shared" si="1028"/>
        <v>0.12327425538313459</v>
      </c>
      <c r="AL3486" s="55"/>
      <c r="AM3486" s="55"/>
      <c r="AN3486" s="55"/>
      <c r="AO3486" s="55"/>
      <c r="AP3486" s="28" t="str">
        <f t="shared" si="1029"/>
        <v>20237</v>
      </c>
      <c r="AQ3486" s="28" t="str">
        <f t="shared" si="1030"/>
        <v/>
      </c>
      <c r="AR3486" s="206" t="str">
        <f t="shared" si="1031"/>
        <v>C66 SERVICE</v>
      </c>
      <c r="AS3486" s="22" t="str">
        <f t="shared" si="1032"/>
        <v/>
      </c>
      <c r="AT3486" s="24" t="str">
        <f t="shared" si="1033"/>
        <v/>
      </c>
      <c r="AU3486" s="22">
        <v>0</v>
      </c>
    </row>
    <row r="3487" spans="1:47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1034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1035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1"/>
        <v>15951056.41591504</v>
      </c>
      <c r="AJ3487" s="19">
        <f t="shared" si="1022"/>
        <v>1966354.6022462982</v>
      </c>
      <c r="AK3487" s="20">
        <f t="shared" si="1028"/>
        <v>0.12327425538313459</v>
      </c>
      <c r="AL3487" s="55"/>
      <c r="AM3487" s="55"/>
      <c r="AN3487" s="55"/>
      <c r="AO3487" s="55"/>
      <c r="AP3487" s="28" t="str">
        <f t="shared" si="1029"/>
        <v>20237</v>
      </c>
      <c r="AQ3487" s="28" t="str">
        <f t="shared" si="1030"/>
        <v/>
      </c>
      <c r="AR3487" s="206" t="str">
        <f t="shared" si="1031"/>
        <v>C66 SERVICE</v>
      </c>
      <c r="AS3487" s="22" t="str">
        <f t="shared" si="1032"/>
        <v/>
      </c>
      <c r="AT3487" s="24" t="str">
        <f t="shared" si="1033"/>
        <v/>
      </c>
      <c r="AU3487" s="22">
        <v>0</v>
      </c>
    </row>
    <row r="3488" spans="1:47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1034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1035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1"/>
        <v>15951056.41591504</v>
      </c>
      <c r="AJ3488" s="19">
        <f t="shared" si="1022"/>
        <v>1966354.6022462982</v>
      </c>
      <c r="AK3488" s="20">
        <f t="shared" si="1028"/>
        <v>0.12327425538313459</v>
      </c>
      <c r="AL3488" s="55"/>
      <c r="AM3488" s="55"/>
      <c r="AN3488" s="55"/>
      <c r="AO3488" s="55"/>
      <c r="AP3488" s="28" t="str">
        <f t="shared" si="1029"/>
        <v>20237</v>
      </c>
      <c r="AQ3488" s="28" t="str">
        <f t="shared" si="1030"/>
        <v/>
      </c>
      <c r="AR3488" s="206" t="str">
        <f t="shared" si="1031"/>
        <v>C66 SERVICE</v>
      </c>
      <c r="AS3488" s="22" t="str">
        <f t="shared" si="1032"/>
        <v/>
      </c>
      <c r="AT3488" s="24" t="str">
        <f t="shared" si="1033"/>
        <v/>
      </c>
      <c r="AU3488" s="22">
        <v>0</v>
      </c>
    </row>
    <row r="3489" spans="1:47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1034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1035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1"/>
        <v>15951056.41591504</v>
      </c>
      <c r="AJ3489" s="19">
        <f t="shared" si="1022"/>
        <v>1966354.6022462982</v>
      </c>
      <c r="AK3489" s="20">
        <f t="shared" si="1028"/>
        <v>0.12327425538313459</v>
      </c>
      <c r="AL3489" s="55"/>
      <c r="AM3489" s="55"/>
      <c r="AN3489" s="55"/>
      <c r="AO3489" s="55"/>
      <c r="AP3489" s="28" t="str">
        <f t="shared" si="1029"/>
        <v>20237</v>
      </c>
      <c r="AQ3489" s="28" t="str">
        <f t="shared" si="1030"/>
        <v/>
      </c>
      <c r="AR3489" s="206" t="str">
        <f t="shared" si="1031"/>
        <v>C66 SERVICE</v>
      </c>
      <c r="AS3489" s="22" t="str">
        <f t="shared" si="1032"/>
        <v/>
      </c>
      <c r="AT3489" s="24" t="str">
        <f t="shared" si="1033"/>
        <v/>
      </c>
      <c r="AU3489" s="22">
        <v>0</v>
      </c>
    </row>
    <row r="3490" spans="1:47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1034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1035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1"/>
        <v>22953677.784070797</v>
      </c>
      <c r="AJ3490" s="19">
        <f t="shared" si="1022"/>
        <v>4168706.6744155753</v>
      </c>
      <c r="AK3490" s="20">
        <f t="shared" si="1028"/>
        <v>0.18161388835511752</v>
      </c>
      <c r="AL3490" s="55"/>
      <c r="AM3490" s="55"/>
      <c r="AN3490" s="55"/>
      <c r="AO3490" s="55"/>
      <c r="AP3490" s="28" t="str">
        <f t="shared" si="1029"/>
        <v>20238</v>
      </c>
      <c r="AQ3490" s="28" t="str">
        <f t="shared" si="1030"/>
        <v/>
      </c>
      <c r="AR3490" s="206" t="str">
        <f t="shared" si="1031"/>
        <v>C66 SERVICE</v>
      </c>
      <c r="AS3490" s="22" t="str">
        <f t="shared" si="1032"/>
        <v/>
      </c>
      <c r="AT3490" s="24" t="str">
        <f t="shared" si="1033"/>
        <v/>
      </c>
      <c r="AU3490" s="22">
        <v>0</v>
      </c>
    </row>
    <row r="3491" spans="1:47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1034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1035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1"/>
        <v>22953677.784070797</v>
      </c>
      <c r="AJ3491" s="19">
        <f t="shared" si="1022"/>
        <v>4168706.6744155753</v>
      </c>
      <c r="AK3491" s="20">
        <f t="shared" si="1028"/>
        <v>0.18161388835511752</v>
      </c>
      <c r="AL3491" s="55"/>
      <c r="AM3491" s="55"/>
      <c r="AN3491" s="55"/>
      <c r="AO3491" s="55"/>
      <c r="AP3491" s="28" t="str">
        <f t="shared" si="1029"/>
        <v>20238</v>
      </c>
      <c r="AQ3491" s="28" t="str">
        <f t="shared" si="1030"/>
        <v/>
      </c>
      <c r="AR3491" s="206" t="str">
        <f t="shared" si="1031"/>
        <v>C66 SERVICE</v>
      </c>
      <c r="AS3491" s="22" t="str">
        <f t="shared" si="1032"/>
        <v/>
      </c>
      <c r="AT3491" s="24" t="str">
        <f t="shared" si="1033"/>
        <v/>
      </c>
      <c r="AU3491" s="22">
        <v>0</v>
      </c>
    </row>
    <row r="3492" spans="1:47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1034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1035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1"/>
        <v>22953677.784070797</v>
      </c>
      <c r="AJ3492" s="19">
        <f t="shared" si="1022"/>
        <v>4168706.6744155753</v>
      </c>
      <c r="AK3492" s="20">
        <f t="shared" si="1028"/>
        <v>0.18161388835511752</v>
      </c>
      <c r="AL3492" s="55"/>
      <c r="AM3492" s="55"/>
      <c r="AN3492" s="55"/>
      <c r="AO3492" s="55"/>
      <c r="AP3492" s="28" t="str">
        <f t="shared" si="1029"/>
        <v>20238</v>
      </c>
      <c r="AQ3492" s="28" t="str">
        <f t="shared" si="1030"/>
        <v/>
      </c>
      <c r="AR3492" s="206" t="str">
        <f t="shared" si="1031"/>
        <v>C66 SERVICE</v>
      </c>
      <c r="AS3492" s="22" t="str">
        <f t="shared" si="1032"/>
        <v/>
      </c>
      <c r="AT3492" s="24" t="str">
        <f t="shared" si="1033"/>
        <v/>
      </c>
      <c r="AU3492" s="22">
        <v>0</v>
      </c>
    </row>
    <row r="3493" spans="1:47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1034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1035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1"/>
        <v>22953677.784070797</v>
      </c>
      <c r="AJ3493" s="19">
        <f t="shared" si="1022"/>
        <v>4168706.6744155753</v>
      </c>
      <c r="AK3493" s="20">
        <f t="shared" si="1028"/>
        <v>0.18161388835511752</v>
      </c>
      <c r="AL3493" s="55"/>
      <c r="AM3493" s="55"/>
      <c r="AN3493" s="55"/>
      <c r="AO3493" s="55"/>
      <c r="AP3493" s="28" t="str">
        <f t="shared" si="1029"/>
        <v>20238</v>
      </c>
      <c r="AQ3493" s="28" t="str">
        <f t="shared" si="1030"/>
        <v/>
      </c>
      <c r="AR3493" s="206" t="str">
        <f t="shared" si="1031"/>
        <v>C66 SERVICE</v>
      </c>
      <c r="AS3493" s="22" t="str">
        <f t="shared" si="1032"/>
        <v/>
      </c>
      <c r="AT3493" s="24" t="str">
        <f t="shared" si="1033"/>
        <v/>
      </c>
      <c r="AU3493" s="22">
        <v>0</v>
      </c>
    </row>
    <row r="3494" spans="1:47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1034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1035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1"/>
        <v>26078226.463097349</v>
      </c>
      <c r="AJ3494" s="19">
        <f t="shared" si="1022"/>
        <v>3137870.4427774516</v>
      </c>
      <c r="AK3494" s="20">
        <f t="shared" si="1028"/>
        <v>0.12032530077218917</v>
      </c>
      <c r="AL3494" s="55"/>
      <c r="AM3494" s="55"/>
      <c r="AN3494" s="55"/>
      <c r="AO3494" s="55"/>
      <c r="AP3494" s="28" t="str">
        <f t="shared" si="1029"/>
        <v>20239</v>
      </c>
      <c r="AQ3494" s="28" t="str">
        <f t="shared" si="1030"/>
        <v/>
      </c>
      <c r="AR3494" s="206" t="str">
        <f t="shared" si="1031"/>
        <v>C66 SERVICE</v>
      </c>
      <c r="AS3494" s="22" t="str">
        <f t="shared" si="1032"/>
        <v/>
      </c>
      <c r="AT3494" s="24" t="str">
        <f t="shared" si="1033"/>
        <v/>
      </c>
      <c r="AU3494" s="22">
        <v>0</v>
      </c>
    </row>
    <row r="3495" spans="1:47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1034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1035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1"/>
        <v>26078226.463097349</v>
      </c>
      <c r="AJ3495" s="19">
        <f t="shared" si="1022"/>
        <v>3137870.4427774516</v>
      </c>
      <c r="AK3495" s="20">
        <f t="shared" si="1028"/>
        <v>0.12032530077218917</v>
      </c>
      <c r="AL3495" s="55"/>
      <c r="AM3495" s="55"/>
      <c r="AN3495" s="55"/>
      <c r="AO3495" s="55"/>
      <c r="AP3495" s="28" t="str">
        <f t="shared" si="1029"/>
        <v>20239</v>
      </c>
      <c r="AQ3495" s="28" t="str">
        <f t="shared" si="1030"/>
        <v/>
      </c>
      <c r="AR3495" s="206" t="str">
        <f t="shared" si="1031"/>
        <v>C66 SERVICE</v>
      </c>
      <c r="AS3495" s="22" t="str">
        <f t="shared" si="1032"/>
        <v/>
      </c>
      <c r="AT3495" s="24" t="str">
        <f t="shared" si="1033"/>
        <v/>
      </c>
      <c r="AU3495" s="22">
        <v>0</v>
      </c>
    </row>
    <row r="3496" spans="1:47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1034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1035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1"/>
        <v>26078226.463097349</v>
      </c>
      <c r="AJ3496" s="19">
        <f t="shared" si="1022"/>
        <v>3137870.4427774516</v>
      </c>
      <c r="AK3496" s="20">
        <f t="shared" si="1028"/>
        <v>0.12032530077218917</v>
      </c>
      <c r="AL3496" s="55"/>
      <c r="AM3496" s="55"/>
      <c r="AN3496" s="55"/>
      <c r="AO3496" s="55"/>
      <c r="AP3496" s="28" t="str">
        <f t="shared" si="1029"/>
        <v>20239</v>
      </c>
      <c r="AQ3496" s="28" t="str">
        <f t="shared" si="1030"/>
        <v/>
      </c>
      <c r="AR3496" s="206" t="str">
        <f t="shared" si="1031"/>
        <v>C66 SERVICE</v>
      </c>
      <c r="AS3496" s="22" t="str">
        <f t="shared" si="1032"/>
        <v/>
      </c>
      <c r="AT3496" s="24" t="str">
        <f t="shared" si="1033"/>
        <v/>
      </c>
      <c r="AU3496" s="22">
        <v>0</v>
      </c>
    </row>
    <row r="3497" spans="1:47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1034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1035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1"/>
        <v>26078226.463097349</v>
      </c>
      <c r="AJ3497" s="19">
        <f t="shared" si="1022"/>
        <v>3137870.4427774516</v>
      </c>
      <c r="AK3497" s="20">
        <f t="shared" si="1028"/>
        <v>0.12032530077218917</v>
      </c>
      <c r="AL3497" s="55"/>
      <c r="AM3497" s="55"/>
      <c r="AN3497" s="55"/>
      <c r="AO3497" s="55"/>
      <c r="AP3497" s="28" t="str">
        <f t="shared" si="1029"/>
        <v>20239</v>
      </c>
      <c r="AQ3497" s="28" t="str">
        <f t="shared" si="1030"/>
        <v/>
      </c>
      <c r="AR3497" s="206" t="str">
        <f t="shared" si="1031"/>
        <v>C66 SERVICE</v>
      </c>
      <c r="AS3497" s="22" t="str">
        <f t="shared" si="1032"/>
        <v/>
      </c>
      <c r="AT3497" s="24" t="str">
        <f t="shared" si="1033"/>
        <v/>
      </c>
      <c r="AU3497" s="22">
        <v>0</v>
      </c>
    </row>
    <row r="3498" spans="1:47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1034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1"/>
        <v>5219988.5752212387</v>
      </c>
      <c r="AJ3498" s="19">
        <f t="shared" si="1022"/>
        <v>631627.0013460177</v>
      </c>
      <c r="AK3498" s="20">
        <f t="shared" si="1028"/>
        <v>0.12100160608478869</v>
      </c>
      <c r="AL3498" s="55"/>
      <c r="AM3498" s="55"/>
      <c r="AN3498" s="55"/>
      <c r="AO3498" s="55"/>
      <c r="AP3498" s="28" t="str">
        <f t="shared" si="1029"/>
        <v>202310</v>
      </c>
      <c r="AQ3498" s="28" t="str">
        <f t="shared" si="1030"/>
        <v/>
      </c>
      <c r="AR3498" s="206" t="str">
        <f t="shared" si="1031"/>
        <v>C66 SERVICE</v>
      </c>
      <c r="AS3498" s="22" t="str">
        <f t="shared" si="1032"/>
        <v/>
      </c>
      <c r="AT3498" s="24" t="str">
        <f t="shared" si="1033"/>
        <v/>
      </c>
      <c r="AU3498" s="22">
        <v>0</v>
      </c>
    </row>
    <row r="3499" spans="1:47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1034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1"/>
        <v>5219988.5752212387</v>
      </c>
      <c r="AJ3499" s="19">
        <f t="shared" si="1022"/>
        <v>631627.0013460177</v>
      </c>
      <c r="AK3499" s="20">
        <f t="shared" si="1028"/>
        <v>0.12100160608478869</v>
      </c>
      <c r="AL3499" s="55"/>
      <c r="AM3499" s="55"/>
      <c r="AN3499" s="55"/>
      <c r="AO3499" s="55"/>
      <c r="AP3499" s="28" t="str">
        <f t="shared" si="1029"/>
        <v>202310</v>
      </c>
      <c r="AQ3499" s="28" t="str">
        <f t="shared" si="1030"/>
        <v/>
      </c>
      <c r="AR3499" s="206" t="str">
        <f t="shared" si="1031"/>
        <v>C66 SERVICE</v>
      </c>
      <c r="AS3499" s="22" t="str">
        <f t="shared" si="1032"/>
        <v/>
      </c>
      <c r="AT3499" s="24" t="str">
        <f t="shared" si="1033"/>
        <v/>
      </c>
      <c r="AU3499" s="22">
        <v>0</v>
      </c>
    </row>
    <row r="3500" spans="1:47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1034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1"/>
        <v>5219988.5752212387</v>
      </c>
      <c r="AJ3500" s="19">
        <f t="shared" si="1022"/>
        <v>631627.0013460177</v>
      </c>
      <c r="AK3500" s="20">
        <f t="shared" si="1028"/>
        <v>0.12100160608478869</v>
      </c>
      <c r="AL3500" s="55"/>
      <c r="AM3500" s="55"/>
      <c r="AN3500" s="55"/>
      <c r="AO3500" s="55"/>
      <c r="AP3500" s="28" t="str">
        <f t="shared" si="1029"/>
        <v>202310</v>
      </c>
      <c r="AQ3500" s="28" t="str">
        <f t="shared" si="1030"/>
        <v/>
      </c>
      <c r="AR3500" s="206" t="str">
        <f t="shared" si="1031"/>
        <v>C66 SERVICE</v>
      </c>
      <c r="AS3500" s="22" t="str">
        <f t="shared" si="1032"/>
        <v/>
      </c>
      <c r="AT3500" s="24" t="str">
        <f t="shared" si="1033"/>
        <v/>
      </c>
      <c r="AU3500" s="22">
        <v>0</v>
      </c>
    </row>
    <row r="3501" spans="1:47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1034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1"/>
        <v>5219988.5752212387</v>
      </c>
      <c r="AJ3501" s="19">
        <f t="shared" si="1022"/>
        <v>631627.0013460177</v>
      </c>
      <c r="AK3501" s="20">
        <f t="shared" si="1028"/>
        <v>0.12100160608478869</v>
      </c>
      <c r="AL3501" s="55"/>
      <c r="AM3501" s="55"/>
      <c r="AN3501" s="55"/>
      <c r="AO3501" s="55"/>
      <c r="AP3501" s="28" t="str">
        <f t="shared" si="1029"/>
        <v>202310</v>
      </c>
      <c r="AQ3501" s="28" t="str">
        <f t="shared" si="1030"/>
        <v/>
      </c>
      <c r="AR3501" s="206" t="str">
        <f t="shared" si="1031"/>
        <v>C66 SERVICE</v>
      </c>
      <c r="AS3501" s="22" t="str">
        <f t="shared" si="1032"/>
        <v/>
      </c>
      <c r="AT3501" s="24" t="str">
        <f t="shared" si="1033"/>
        <v/>
      </c>
      <c r="AU3501" s="22">
        <v>0</v>
      </c>
    </row>
    <row r="3502" spans="1:47" s="12" customFormat="1" ht="39.6">
      <c r="A3502" s="57" t="str">
        <f t="shared" si="102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1034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1"/>
        <v>11730565.00042478</v>
      </c>
      <c r="AJ3502" s="19">
        <f t="shared" si="1022"/>
        <v>1439625.5685810833</v>
      </c>
      <c r="AK3502" s="20">
        <f t="shared" si="1028"/>
        <v>0.12272431622253084</v>
      </c>
      <c r="AL3502" s="55"/>
      <c r="AM3502" s="55"/>
      <c r="AN3502" s="55"/>
      <c r="AO3502" s="55"/>
      <c r="AP3502" s="28" t="str">
        <f t="shared" si="1029"/>
        <v>202311</v>
      </c>
      <c r="AQ3502" s="28" t="str">
        <f t="shared" si="1030"/>
        <v/>
      </c>
      <c r="AR3502" s="206" t="str">
        <f t="shared" si="1031"/>
        <v>C66 SERVICE</v>
      </c>
      <c r="AS3502" s="22" t="str">
        <f t="shared" si="1032"/>
        <v/>
      </c>
      <c r="AT3502" s="24" t="str">
        <f t="shared" si="1033"/>
        <v/>
      </c>
      <c r="AU3502" s="22">
        <v>0</v>
      </c>
    </row>
    <row r="3503" spans="1:47" s="12" customFormat="1" ht="39.6">
      <c r="A3503" s="57" t="str">
        <f t="shared" si="102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1034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1"/>
        <v>11730565.00042478</v>
      </c>
      <c r="AJ3503" s="19">
        <f t="shared" si="1022"/>
        <v>1439625.5685810833</v>
      </c>
      <c r="AK3503" s="20">
        <f t="shared" si="1028"/>
        <v>0.12272431622253084</v>
      </c>
      <c r="AL3503" s="55"/>
      <c r="AM3503" s="55"/>
      <c r="AN3503" s="55"/>
      <c r="AO3503" s="55"/>
      <c r="AP3503" s="28" t="str">
        <f t="shared" si="1029"/>
        <v>202311</v>
      </c>
      <c r="AQ3503" s="28" t="str">
        <f t="shared" si="1030"/>
        <v/>
      </c>
      <c r="AR3503" s="206" t="str">
        <f t="shared" si="1031"/>
        <v>C66 SERVICE</v>
      </c>
      <c r="AS3503" s="22" t="str">
        <f t="shared" si="1032"/>
        <v/>
      </c>
      <c r="AT3503" s="24" t="str">
        <f t="shared" si="1033"/>
        <v/>
      </c>
      <c r="AU3503" s="22">
        <v>0</v>
      </c>
    </row>
    <row r="3504" spans="1:47" s="12" customFormat="1" ht="39.6">
      <c r="A3504" s="57" t="str">
        <f t="shared" si="102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1034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1"/>
        <v>11730565.00042478</v>
      </c>
      <c r="AJ3504" s="19">
        <f t="shared" si="1022"/>
        <v>1439625.5685810833</v>
      </c>
      <c r="AK3504" s="20">
        <f t="shared" si="1028"/>
        <v>0.12272431622253084</v>
      </c>
      <c r="AL3504" s="55"/>
      <c r="AM3504" s="55"/>
      <c r="AN3504" s="55"/>
      <c r="AO3504" s="55"/>
      <c r="AP3504" s="28" t="str">
        <f t="shared" si="1029"/>
        <v>202311</v>
      </c>
      <c r="AQ3504" s="28" t="str">
        <f t="shared" si="1030"/>
        <v/>
      </c>
      <c r="AR3504" s="206" t="str">
        <f t="shared" si="1031"/>
        <v>C66 SERVICE</v>
      </c>
      <c r="AS3504" s="22" t="str">
        <f t="shared" si="1032"/>
        <v/>
      </c>
      <c r="AT3504" s="24" t="str">
        <f t="shared" si="1033"/>
        <v/>
      </c>
      <c r="AU3504" s="22">
        <v>0</v>
      </c>
    </row>
    <row r="3505" spans="1:47" s="12" customFormat="1" ht="39.6">
      <c r="A3505" s="57" t="str">
        <f t="shared" si="102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1034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1"/>
        <v>11730565.00042478</v>
      </c>
      <c r="AJ3505" s="19">
        <f t="shared" si="1022"/>
        <v>1439625.5685810833</v>
      </c>
      <c r="AK3505" s="20">
        <f t="shared" si="1028"/>
        <v>0.12272431622253084</v>
      </c>
      <c r="AL3505" s="55"/>
      <c r="AM3505" s="55"/>
      <c r="AN3505" s="55"/>
      <c r="AO3505" s="55"/>
      <c r="AP3505" s="28" t="str">
        <f t="shared" si="1029"/>
        <v>202311</v>
      </c>
      <c r="AQ3505" s="28" t="str">
        <f t="shared" si="1030"/>
        <v/>
      </c>
      <c r="AR3505" s="206" t="str">
        <f t="shared" si="1031"/>
        <v>C66 SERVICE</v>
      </c>
      <c r="AS3505" s="22" t="str">
        <f t="shared" si="1032"/>
        <v/>
      </c>
      <c r="AT3505" s="24" t="str">
        <f t="shared" si="1033"/>
        <v/>
      </c>
      <c r="AU3505" s="22">
        <v>0</v>
      </c>
    </row>
    <row r="3506" spans="1:47" s="12" customFormat="1" ht="39.6">
      <c r="A3506" s="33" t="str">
        <f t="shared" si="1023"/>
        <v/>
      </c>
      <c r="B3506" s="52"/>
      <c r="C3506" s="52"/>
      <c r="D3506" s="33" t="str">
        <f t="shared" ref="D3506:D3569" si="1036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1034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1037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1"/>
        <v>33543315.897345133</v>
      </c>
      <c r="AJ3506" s="19">
        <f t="shared" si="1022"/>
        <v>4706169.3252984071</v>
      </c>
      <c r="AK3506" s="20">
        <f t="shared" si="1028"/>
        <v>0.14030125523967318</v>
      </c>
      <c r="AL3506" s="55"/>
      <c r="AM3506" s="55"/>
      <c r="AN3506" s="55"/>
      <c r="AO3506" s="55"/>
      <c r="AP3506" s="28" t="str">
        <f t="shared" si="1029"/>
        <v>20233</v>
      </c>
      <c r="AQ3506" s="28" t="str">
        <f t="shared" si="1030"/>
        <v/>
      </c>
      <c r="AR3506" s="206" t="str">
        <f t="shared" si="1031"/>
        <v>C66 SERVICE</v>
      </c>
      <c r="AS3506" s="22" t="str">
        <f t="shared" si="1032"/>
        <v/>
      </c>
      <c r="AT3506" s="24" t="str">
        <f t="shared" si="1033"/>
        <v/>
      </c>
      <c r="AU3506" s="22">
        <v>0</v>
      </c>
    </row>
    <row r="3507" spans="1:47" s="12" customFormat="1" ht="39.6">
      <c r="A3507" s="33" t="str">
        <f t="shared" si="1023"/>
        <v/>
      </c>
      <c r="B3507" s="52"/>
      <c r="C3507" s="52"/>
      <c r="D3507" s="33" t="str">
        <f t="shared" si="1036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1034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1037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1"/>
        <v>33543315.897345133</v>
      </c>
      <c r="AJ3507" s="19">
        <f t="shared" si="1022"/>
        <v>4706169.3252984071</v>
      </c>
      <c r="AK3507" s="20">
        <f t="shared" si="1028"/>
        <v>0.14030125523967318</v>
      </c>
      <c r="AL3507" s="55"/>
      <c r="AM3507" s="55"/>
      <c r="AN3507" s="55"/>
      <c r="AO3507" s="55"/>
      <c r="AP3507" s="28" t="str">
        <f t="shared" si="1029"/>
        <v>20233</v>
      </c>
      <c r="AQ3507" s="28" t="str">
        <f t="shared" si="1030"/>
        <v/>
      </c>
      <c r="AR3507" s="206" t="str">
        <f t="shared" si="1031"/>
        <v>C66 SERVICE</v>
      </c>
      <c r="AS3507" s="22" t="str">
        <f t="shared" si="1032"/>
        <v/>
      </c>
      <c r="AT3507" s="24" t="str">
        <f t="shared" si="1033"/>
        <v/>
      </c>
      <c r="AU3507" s="22">
        <v>0</v>
      </c>
    </row>
    <row r="3508" spans="1:47" s="12" customFormat="1" ht="39.6">
      <c r="A3508" s="33" t="str">
        <f t="shared" si="1023"/>
        <v/>
      </c>
      <c r="B3508" s="52"/>
      <c r="C3508" s="52"/>
      <c r="D3508" s="33" t="str">
        <f t="shared" si="1036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1034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1037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1"/>
        <v>33543315.897345133</v>
      </c>
      <c r="AJ3508" s="19">
        <f t="shared" si="1022"/>
        <v>4706169.3252984071</v>
      </c>
      <c r="AK3508" s="20">
        <f t="shared" si="1028"/>
        <v>0.14030125523967318</v>
      </c>
      <c r="AL3508" s="55"/>
      <c r="AM3508" s="55"/>
      <c r="AN3508" s="55"/>
      <c r="AO3508" s="55"/>
      <c r="AP3508" s="28" t="str">
        <f t="shared" si="1029"/>
        <v>20233</v>
      </c>
      <c r="AQ3508" s="28" t="str">
        <f t="shared" si="1030"/>
        <v/>
      </c>
      <c r="AR3508" s="206" t="str">
        <f t="shared" si="1031"/>
        <v>C66 SERVICE</v>
      </c>
      <c r="AS3508" s="22" t="str">
        <f t="shared" si="1032"/>
        <v/>
      </c>
      <c r="AT3508" s="24" t="str">
        <f t="shared" si="1033"/>
        <v/>
      </c>
      <c r="AU3508" s="22">
        <v>0</v>
      </c>
    </row>
    <row r="3509" spans="1:47" s="12" customFormat="1" ht="39.6">
      <c r="A3509" s="33" t="str">
        <f t="shared" si="1023"/>
        <v/>
      </c>
      <c r="B3509" s="52"/>
      <c r="C3509" s="52"/>
      <c r="D3509" s="33" t="str">
        <f t="shared" si="1036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1034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1037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1"/>
        <v>33543315.897345133</v>
      </c>
      <c r="AJ3509" s="19">
        <f t="shared" si="1022"/>
        <v>4706169.3252984071</v>
      </c>
      <c r="AK3509" s="20">
        <f t="shared" si="1028"/>
        <v>0.14030125523967318</v>
      </c>
      <c r="AL3509" s="55"/>
      <c r="AM3509" s="55"/>
      <c r="AN3509" s="55"/>
      <c r="AO3509" s="55"/>
      <c r="AP3509" s="28" t="str">
        <f t="shared" si="1029"/>
        <v>20233</v>
      </c>
      <c r="AQ3509" s="28" t="str">
        <f t="shared" si="1030"/>
        <v/>
      </c>
      <c r="AR3509" s="206" t="str">
        <f t="shared" si="1031"/>
        <v>C66 SERVICE</v>
      </c>
      <c r="AS3509" s="22" t="str">
        <f t="shared" si="1032"/>
        <v/>
      </c>
      <c r="AT3509" s="24" t="str">
        <f t="shared" si="1033"/>
        <v/>
      </c>
      <c r="AU3509" s="22">
        <v>0</v>
      </c>
    </row>
    <row r="3510" spans="1:47" ht="39.6">
      <c r="A3510" s="33" t="str">
        <f t="shared" si="1023"/>
        <v/>
      </c>
      <c r="B3510" s="52"/>
      <c r="C3510" s="52"/>
      <c r="D3510" s="33" t="str">
        <f t="shared" si="1036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1034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1037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1"/>
        <v>46600814.041769907</v>
      </c>
      <c r="AJ3510" s="19">
        <f t="shared" si="1022"/>
        <v>5956366.3435927071</v>
      </c>
      <c r="AK3510" s="20">
        <f t="shared" si="1028"/>
        <v>0.1278167874546958</v>
      </c>
      <c r="AL3510" s="55"/>
      <c r="AM3510" s="55"/>
      <c r="AN3510" s="55"/>
      <c r="AO3510" s="55"/>
      <c r="AP3510" s="95" t="str">
        <f t="shared" si="1029"/>
        <v>20224</v>
      </c>
      <c r="AQ3510" s="95" t="str">
        <f t="shared" si="1030"/>
        <v/>
      </c>
      <c r="AR3510" s="206" t="str">
        <f t="shared" si="1031"/>
        <v>C66 SERVICE</v>
      </c>
      <c r="AS3510" s="22" t="str">
        <f t="shared" si="1032"/>
        <v/>
      </c>
      <c r="AT3510" s="24" t="str">
        <f t="shared" si="1033"/>
        <v/>
      </c>
      <c r="AU3510" s="22">
        <v>0</v>
      </c>
    </row>
    <row r="3511" spans="1:47" ht="39.6">
      <c r="A3511" s="33" t="str">
        <f t="shared" si="1023"/>
        <v/>
      </c>
      <c r="B3511" s="52"/>
      <c r="C3511" s="52"/>
      <c r="D3511" s="33" t="str">
        <f t="shared" si="1036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1034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1037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1"/>
        <v>46600814.041769907</v>
      </c>
      <c r="AJ3511" s="19">
        <f t="shared" si="1022"/>
        <v>5956366.3435927071</v>
      </c>
      <c r="AK3511" s="20">
        <f t="shared" si="1028"/>
        <v>0.1278167874546958</v>
      </c>
      <c r="AL3511" s="55"/>
      <c r="AM3511" s="55"/>
      <c r="AN3511" s="55"/>
      <c r="AO3511" s="55"/>
      <c r="AP3511" s="95" t="str">
        <f t="shared" si="1029"/>
        <v>20224</v>
      </c>
      <c r="AQ3511" s="95" t="str">
        <f t="shared" si="1030"/>
        <v/>
      </c>
      <c r="AR3511" s="206" t="str">
        <f t="shared" si="1031"/>
        <v>C66 SERVICE</v>
      </c>
      <c r="AS3511" s="22" t="str">
        <f t="shared" si="1032"/>
        <v/>
      </c>
      <c r="AT3511" s="24" t="str">
        <f t="shared" si="1033"/>
        <v/>
      </c>
      <c r="AU3511" s="22">
        <v>0</v>
      </c>
    </row>
    <row r="3512" spans="1:47" ht="39.6">
      <c r="A3512" s="33" t="str">
        <f t="shared" si="1023"/>
        <v/>
      </c>
      <c r="B3512" s="52"/>
      <c r="C3512" s="52"/>
      <c r="D3512" s="33" t="str">
        <f t="shared" si="1036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1034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1037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1"/>
        <v>46600814.041769907</v>
      </c>
      <c r="AJ3512" s="19">
        <f t="shared" si="1022"/>
        <v>5956366.3435927071</v>
      </c>
      <c r="AK3512" s="20">
        <f t="shared" si="1028"/>
        <v>0.1278167874546958</v>
      </c>
      <c r="AL3512" s="55"/>
      <c r="AM3512" s="55"/>
      <c r="AN3512" s="55"/>
      <c r="AO3512" s="55"/>
      <c r="AP3512" s="95" t="str">
        <f t="shared" si="1029"/>
        <v>20224</v>
      </c>
      <c r="AQ3512" s="95" t="str">
        <f t="shared" si="1030"/>
        <v/>
      </c>
      <c r="AR3512" s="206" t="str">
        <f t="shared" si="1031"/>
        <v>C66 SERVICE</v>
      </c>
      <c r="AS3512" s="22" t="str">
        <f t="shared" si="1032"/>
        <v/>
      </c>
      <c r="AT3512" s="24" t="str">
        <f t="shared" si="1033"/>
        <v/>
      </c>
      <c r="AU3512" s="22">
        <v>0</v>
      </c>
    </row>
    <row r="3513" spans="1:47" ht="39.6">
      <c r="A3513" s="33" t="str">
        <f t="shared" si="1023"/>
        <v/>
      </c>
      <c r="B3513" s="52"/>
      <c r="C3513" s="52"/>
      <c r="D3513" s="33" t="str">
        <f t="shared" si="1036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1034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1037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1"/>
        <v>46600814.041769907</v>
      </c>
      <c r="AJ3513" s="19">
        <f t="shared" si="1022"/>
        <v>5956366.3435927071</v>
      </c>
      <c r="AK3513" s="20">
        <f t="shared" si="1028"/>
        <v>0.1278167874546958</v>
      </c>
      <c r="AL3513" s="55"/>
      <c r="AM3513" s="55"/>
      <c r="AN3513" s="55"/>
      <c r="AO3513" s="55"/>
      <c r="AP3513" s="95" t="str">
        <f t="shared" si="1029"/>
        <v>20224</v>
      </c>
      <c r="AQ3513" s="95" t="str">
        <f t="shared" si="1030"/>
        <v/>
      </c>
      <c r="AR3513" s="206" t="str">
        <f t="shared" si="1031"/>
        <v>C66 SERVICE</v>
      </c>
      <c r="AS3513" s="22" t="str">
        <f t="shared" si="1032"/>
        <v/>
      </c>
      <c r="AT3513" s="24" t="str">
        <f t="shared" si="1033"/>
        <v/>
      </c>
      <c r="AU3513" s="22">
        <v>0</v>
      </c>
    </row>
    <row r="3514" spans="1:47" ht="39.6">
      <c r="A3514" s="33" t="str">
        <f t="shared" si="1023"/>
        <v/>
      </c>
      <c r="B3514" s="52"/>
      <c r="C3514" s="52"/>
      <c r="D3514" s="33" t="str">
        <f t="shared" si="1036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1034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1037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1"/>
        <v>44014086.982070789</v>
      </c>
      <c r="AJ3514" s="19">
        <f t="shared" si="1022"/>
        <v>6419974.0221889298</v>
      </c>
      <c r="AK3514" s="20">
        <f t="shared" si="1028"/>
        <v>0.14586180158193709</v>
      </c>
      <c r="AL3514" s="55"/>
      <c r="AM3514" s="55"/>
      <c r="AN3514" s="55"/>
      <c r="AO3514" s="55"/>
      <c r="AP3514" s="95" t="str">
        <f t="shared" si="1029"/>
        <v>20225</v>
      </c>
      <c r="AQ3514" s="166" t="str">
        <f t="shared" si="1030"/>
        <v/>
      </c>
      <c r="AR3514" s="206" t="str">
        <f t="shared" si="1031"/>
        <v>C66 SERVICE</v>
      </c>
      <c r="AS3514" s="22" t="str">
        <f t="shared" si="1032"/>
        <v/>
      </c>
      <c r="AT3514" s="24" t="str">
        <f t="shared" si="1033"/>
        <v/>
      </c>
      <c r="AU3514" s="22">
        <v>0</v>
      </c>
    </row>
    <row r="3515" spans="1:47" s="12" customFormat="1" ht="39.6">
      <c r="A3515" s="33" t="str">
        <f t="shared" si="1023"/>
        <v/>
      </c>
      <c r="B3515" s="52"/>
      <c r="C3515" s="52"/>
      <c r="D3515" s="33" t="str">
        <f t="shared" si="1036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1034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1037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1"/>
        <v>44014086.982070789</v>
      </c>
      <c r="AJ3515" s="19">
        <f t="shared" si="1022"/>
        <v>6419974.0221889298</v>
      </c>
      <c r="AK3515" s="20">
        <f t="shared" si="1028"/>
        <v>0.14586180158193709</v>
      </c>
      <c r="AL3515" s="55"/>
      <c r="AM3515" s="55"/>
      <c r="AN3515" s="55"/>
      <c r="AO3515" s="55"/>
      <c r="AP3515" s="95" t="str">
        <f t="shared" si="1029"/>
        <v>20225</v>
      </c>
      <c r="AQ3515" s="203" t="str">
        <f t="shared" si="1030"/>
        <v/>
      </c>
      <c r="AR3515" s="206" t="str">
        <f t="shared" si="1031"/>
        <v>C66 SERVICE</v>
      </c>
      <c r="AS3515" s="22" t="str">
        <f t="shared" si="1032"/>
        <v/>
      </c>
      <c r="AT3515" s="24" t="str">
        <f t="shared" si="1033"/>
        <v/>
      </c>
      <c r="AU3515" s="22">
        <v>0</v>
      </c>
    </row>
    <row r="3516" spans="1:47" ht="39.6">
      <c r="A3516" s="33" t="str">
        <f t="shared" si="1023"/>
        <v/>
      </c>
      <c r="B3516" s="52"/>
      <c r="C3516" s="52"/>
      <c r="D3516" s="33" t="str">
        <f t="shared" si="1036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1034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1037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1"/>
        <v>44014086.982070789</v>
      </c>
      <c r="AJ3516" s="19">
        <f t="shared" si="1022"/>
        <v>6419974.0221889298</v>
      </c>
      <c r="AK3516" s="20">
        <f t="shared" si="1028"/>
        <v>0.14586180158193709</v>
      </c>
      <c r="AL3516" s="55"/>
      <c r="AM3516" s="55"/>
      <c r="AN3516" s="55"/>
      <c r="AO3516" s="55"/>
      <c r="AP3516" s="95" t="str">
        <f t="shared" si="1029"/>
        <v>20225</v>
      </c>
      <c r="AQ3516" s="203" t="str">
        <f t="shared" si="1030"/>
        <v/>
      </c>
      <c r="AR3516" s="206" t="str">
        <f t="shared" si="1031"/>
        <v>C66 SERVICE</v>
      </c>
      <c r="AS3516" s="22" t="str">
        <f t="shared" si="1032"/>
        <v/>
      </c>
      <c r="AT3516" s="24" t="str">
        <f t="shared" si="1033"/>
        <v/>
      </c>
      <c r="AU3516" s="22">
        <v>0</v>
      </c>
    </row>
    <row r="3517" spans="1:47" ht="39.6">
      <c r="A3517" s="33" t="str">
        <f t="shared" si="1023"/>
        <v/>
      </c>
      <c r="B3517" s="52"/>
      <c r="C3517" s="52"/>
      <c r="D3517" s="33" t="str">
        <f t="shared" si="1036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1034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1037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1"/>
        <v>44014086.982070789</v>
      </c>
      <c r="AJ3517" s="19">
        <f t="shared" si="1022"/>
        <v>6419974.0221889298</v>
      </c>
      <c r="AK3517" s="20">
        <f t="shared" si="1028"/>
        <v>0.14586180158193709</v>
      </c>
      <c r="AL3517" s="55"/>
      <c r="AM3517" s="55"/>
      <c r="AN3517" s="55"/>
      <c r="AO3517" s="55"/>
      <c r="AP3517" s="95" t="str">
        <f t="shared" si="1029"/>
        <v>20225</v>
      </c>
      <c r="AQ3517" s="203" t="str">
        <f t="shared" si="1030"/>
        <v/>
      </c>
      <c r="AR3517" s="206" t="str">
        <f t="shared" si="1031"/>
        <v>C66 SERVICE</v>
      </c>
      <c r="AS3517" s="22" t="str">
        <f t="shared" si="1032"/>
        <v/>
      </c>
      <c r="AT3517" s="24" t="str">
        <f t="shared" si="1033"/>
        <v/>
      </c>
      <c r="AU3517" s="22">
        <v>0</v>
      </c>
    </row>
    <row r="3518" spans="1:47" ht="39.6">
      <c r="A3518" s="33" t="str">
        <f t="shared" si="1023"/>
        <v/>
      </c>
      <c r="B3518" s="52"/>
      <c r="C3518" s="52"/>
      <c r="D3518" s="33" t="str">
        <f t="shared" si="1036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1034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1037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1"/>
        <v>35682787.057522126</v>
      </c>
      <c r="AJ3518" s="19">
        <f t="shared" si="1022"/>
        <v>5833368.3789623892</v>
      </c>
      <c r="AK3518" s="20">
        <f t="shared" si="1028"/>
        <v>0.16347849649632912</v>
      </c>
      <c r="AL3518" s="55"/>
      <c r="AM3518" s="55"/>
      <c r="AN3518" s="55"/>
      <c r="AO3518" s="55"/>
      <c r="AP3518" s="95" t="str">
        <f t="shared" si="1029"/>
        <v>20226</v>
      </c>
      <c r="AQ3518" s="203" t="str">
        <f t="shared" si="1030"/>
        <v/>
      </c>
      <c r="AR3518" s="206" t="str">
        <f t="shared" si="1031"/>
        <v>C66 SERVICE</v>
      </c>
      <c r="AS3518" s="22" t="str">
        <f t="shared" si="1032"/>
        <v/>
      </c>
      <c r="AT3518" s="24" t="str">
        <f t="shared" si="1033"/>
        <v/>
      </c>
      <c r="AU3518" s="22">
        <v>0</v>
      </c>
    </row>
    <row r="3519" spans="1:47" ht="39.6">
      <c r="A3519" s="33" t="str">
        <f t="shared" si="1023"/>
        <v/>
      </c>
      <c r="B3519" s="52"/>
      <c r="C3519" s="52"/>
      <c r="D3519" s="33" t="str">
        <f t="shared" si="1036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1034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1037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1"/>
        <v>35682787.057522126</v>
      </c>
      <c r="AJ3519" s="19">
        <f t="shared" si="1022"/>
        <v>5833368.3789623892</v>
      </c>
      <c r="AK3519" s="20">
        <f t="shared" si="1028"/>
        <v>0.16347849649632912</v>
      </c>
      <c r="AL3519" s="55"/>
      <c r="AM3519" s="55"/>
      <c r="AN3519" s="55"/>
      <c r="AO3519" s="55"/>
      <c r="AP3519" s="95" t="str">
        <f t="shared" si="1029"/>
        <v>20226</v>
      </c>
      <c r="AQ3519" s="203" t="str">
        <f t="shared" si="1030"/>
        <v/>
      </c>
      <c r="AR3519" s="206" t="str">
        <f t="shared" si="1031"/>
        <v>C66 SERVICE</v>
      </c>
      <c r="AS3519" s="22" t="str">
        <f t="shared" si="1032"/>
        <v/>
      </c>
      <c r="AT3519" s="24" t="str">
        <f t="shared" si="1033"/>
        <v/>
      </c>
      <c r="AU3519" s="22">
        <v>0</v>
      </c>
    </row>
    <row r="3520" spans="1:47" ht="39.6">
      <c r="A3520" s="33" t="str">
        <f t="shared" si="1023"/>
        <v/>
      </c>
      <c r="B3520" s="52"/>
      <c r="C3520" s="52"/>
      <c r="D3520" s="33" t="str">
        <f t="shared" si="1036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1034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1037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1"/>
        <v>35682787.057522126</v>
      </c>
      <c r="AJ3520" s="19">
        <f t="shared" si="1022"/>
        <v>5833368.3789623892</v>
      </c>
      <c r="AK3520" s="20">
        <f t="shared" si="1028"/>
        <v>0.16347849649632912</v>
      </c>
      <c r="AL3520" s="55"/>
      <c r="AM3520" s="55"/>
      <c r="AN3520" s="55"/>
      <c r="AO3520" s="55"/>
      <c r="AP3520" s="95" t="str">
        <f t="shared" si="1029"/>
        <v>20226</v>
      </c>
      <c r="AQ3520" s="203" t="str">
        <f t="shared" si="1030"/>
        <v/>
      </c>
      <c r="AR3520" s="206" t="str">
        <f t="shared" si="1031"/>
        <v>C66 SERVICE</v>
      </c>
      <c r="AS3520" s="22" t="str">
        <f t="shared" si="1032"/>
        <v/>
      </c>
      <c r="AT3520" s="24" t="str">
        <f t="shared" si="1033"/>
        <v/>
      </c>
      <c r="AU3520" s="22">
        <v>0</v>
      </c>
    </row>
    <row r="3521" spans="1:47" ht="39.6">
      <c r="A3521" s="33" t="str">
        <f t="shared" si="1023"/>
        <v/>
      </c>
      <c r="B3521" s="52"/>
      <c r="C3521" s="52"/>
      <c r="D3521" s="33" t="str">
        <f t="shared" si="1036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1034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1037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1"/>
        <v>35682787.057522126</v>
      </c>
      <c r="AJ3521" s="19">
        <f t="shared" si="1022"/>
        <v>5833368.3789623892</v>
      </c>
      <c r="AK3521" s="20">
        <f t="shared" si="1028"/>
        <v>0.16347849649632912</v>
      </c>
      <c r="AL3521" s="55"/>
      <c r="AM3521" s="55"/>
      <c r="AN3521" s="55"/>
      <c r="AO3521" s="55"/>
      <c r="AP3521" s="95" t="str">
        <f t="shared" si="1029"/>
        <v>20226</v>
      </c>
      <c r="AQ3521" s="203" t="str">
        <f t="shared" si="1030"/>
        <v/>
      </c>
      <c r="AR3521" s="206" t="str">
        <f t="shared" si="1031"/>
        <v>C66 SERVICE</v>
      </c>
      <c r="AS3521" s="22" t="str">
        <f t="shared" si="1032"/>
        <v/>
      </c>
      <c r="AT3521" s="24" t="str">
        <f t="shared" si="1033"/>
        <v/>
      </c>
      <c r="AU3521" s="22">
        <v>0</v>
      </c>
    </row>
    <row r="3522" spans="1:47" ht="39.6">
      <c r="A3522" s="33" t="str">
        <f t="shared" si="1023"/>
        <v/>
      </c>
      <c r="B3522" s="52"/>
      <c r="C3522" s="52"/>
      <c r="D3522" s="33" t="str">
        <f t="shared" si="1036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1034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1037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ref="AI3522:AI3585" si="1038">IF(P3522="C66 SERVICE","",SUMIFS(AB:AB,F:F,F3522,G:G,G3522,E:E,E3522))</f>
        <v>36480247.665929198</v>
      </c>
      <c r="AJ3522" s="19">
        <f t="shared" ref="AJ3522:AJ3585" si="1039">IF(P3522="C66 SERVICE","",SUMIFS(AC:AC,F:F,F3522,G:G,G3522,E:E,E3522))</f>
        <v>5330996.6372757526</v>
      </c>
      <c r="AK3522" s="20">
        <f t="shared" si="1028"/>
        <v>0.14613378412599562</v>
      </c>
      <c r="AL3522" s="55"/>
      <c r="AM3522" s="55"/>
      <c r="AN3522" s="55"/>
      <c r="AO3522" s="55"/>
      <c r="AP3522" s="95" t="str">
        <f t="shared" si="1029"/>
        <v>20227</v>
      </c>
      <c r="AQ3522" s="203" t="str">
        <f t="shared" si="1030"/>
        <v/>
      </c>
      <c r="AR3522" s="206" t="str">
        <f t="shared" si="1031"/>
        <v>C66 SERVICE</v>
      </c>
      <c r="AS3522" s="22" t="str">
        <f t="shared" si="1032"/>
        <v/>
      </c>
      <c r="AT3522" s="24" t="str">
        <f t="shared" si="1033"/>
        <v/>
      </c>
      <c r="AU3522" s="22">
        <v>0</v>
      </c>
    </row>
    <row r="3523" spans="1:47" ht="39.6">
      <c r="A3523" s="33" t="str">
        <f t="shared" si="1023"/>
        <v/>
      </c>
      <c r="B3523" s="52"/>
      <c r="C3523" s="52"/>
      <c r="D3523" s="33" t="str">
        <f t="shared" si="1036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1034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1037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38"/>
        <v>36480247.665929198</v>
      </c>
      <c r="AJ3523" s="19">
        <f t="shared" si="1039"/>
        <v>5330996.6372757526</v>
      </c>
      <c r="AK3523" s="20">
        <f t="shared" si="1028"/>
        <v>0.14613378412599562</v>
      </c>
      <c r="AL3523" s="55"/>
      <c r="AM3523" s="55"/>
      <c r="AN3523" s="55"/>
      <c r="AO3523" s="55"/>
      <c r="AP3523" s="95" t="str">
        <f t="shared" si="1029"/>
        <v>20227</v>
      </c>
      <c r="AQ3523" s="203" t="str">
        <f t="shared" si="1030"/>
        <v/>
      </c>
      <c r="AR3523" s="206" t="str">
        <f t="shared" si="1031"/>
        <v>C66 SERVICE</v>
      </c>
      <c r="AS3523" s="22" t="str">
        <f t="shared" si="1032"/>
        <v/>
      </c>
      <c r="AT3523" s="24" t="str">
        <f t="shared" si="1033"/>
        <v/>
      </c>
      <c r="AU3523" s="22">
        <v>0</v>
      </c>
    </row>
    <row r="3524" spans="1:47" ht="39.6">
      <c r="A3524" s="33" t="str">
        <f t="shared" si="1023"/>
        <v/>
      </c>
      <c r="B3524" s="52"/>
      <c r="C3524" s="52"/>
      <c r="D3524" s="33" t="str">
        <f t="shared" si="1036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1034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1037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38"/>
        <v>36480247.665929198</v>
      </c>
      <c r="AJ3524" s="19">
        <f t="shared" si="1039"/>
        <v>5330996.6372757526</v>
      </c>
      <c r="AK3524" s="20">
        <f t="shared" si="1028"/>
        <v>0.14613378412599562</v>
      </c>
      <c r="AL3524" s="55"/>
      <c r="AM3524" s="55"/>
      <c r="AN3524" s="55"/>
      <c r="AO3524" s="55"/>
      <c r="AP3524" s="95" t="str">
        <f t="shared" si="1029"/>
        <v>20227</v>
      </c>
      <c r="AQ3524" s="203" t="str">
        <f t="shared" si="1030"/>
        <v/>
      </c>
      <c r="AR3524" s="206" t="str">
        <f t="shared" si="1031"/>
        <v>C66 SERVICE</v>
      </c>
      <c r="AS3524" s="22" t="str">
        <f t="shared" si="1032"/>
        <v/>
      </c>
      <c r="AT3524" s="24" t="str">
        <f t="shared" si="1033"/>
        <v/>
      </c>
      <c r="AU3524" s="22">
        <v>0</v>
      </c>
    </row>
    <row r="3525" spans="1:47" ht="39.6">
      <c r="A3525" s="33" t="str">
        <f t="shared" si="1023"/>
        <v/>
      </c>
      <c r="B3525" s="52"/>
      <c r="C3525" s="52"/>
      <c r="D3525" s="33" t="str">
        <f t="shared" si="1036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1034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1037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38"/>
        <v>36480247.665929198</v>
      </c>
      <c r="AJ3525" s="19">
        <f t="shared" si="1039"/>
        <v>5330996.6372757526</v>
      </c>
      <c r="AK3525" s="20">
        <f t="shared" si="1028"/>
        <v>0.14613378412599562</v>
      </c>
      <c r="AL3525" s="55"/>
      <c r="AM3525" s="55"/>
      <c r="AN3525" s="55"/>
      <c r="AO3525" s="55"/>
      <c r="AP3525" s="95" t="str">
        <f t="shared" si="1029"/>
        <v>20227</v>
      </c>
      <c r="AQ3525" s="203" t="str">
        <f t="shared" si="1030"/>
        <v/>
      </c>
      <c r="AR3525" s="206" t="str">
        <f t="shared" si="1031"/>
        <v>C66 SERVICE</v>
      </c>
      <c r="AS3525" s="22" t="str">
        <f t="shared" si="1032"/>
        <v/>
      </c>
      <c r="AT3525" s="24" t="str">
        <f t="shared" si="1033"/>
        <v/>
      </c>
      <c r="AU3525" s="22">
        <v>0</v>
      </c>
    </row>
    <row r="3526" spans="1:47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6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1034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1037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si="1038"/>
        <v>35073581.838938057</v>
      </c>
      <c r="AJ3526" s="19">
        <f t="shared" si="1039"/>
        <v>5034113.9728989396</v>
      </c>
      <c r="AK3526" s="20">
        <f t="shared" ref="AK3526:AK3589" si="1044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5">IF(F3526="","",F3526&amp;G3526)</f>
        <v>20228</v>
      </c>
      <c r="AQ3526" s="203" t="str">
        <f t="shared" ref="AQ3526:AQ3589" si="1046">IF(W3526="","",F3526&amp;G3526&amp;W3526)</f>
        <v/>
      </c>
      <c r="AR3526" s="206" t="str">
        <f t="shared" ref="AR3526:AR3589" si="1047">IFERROR(IF(AND(M3526="YAMAHA", R3526="C28"), "YAMAHA_Non_Mounter", IF(AND(M3526="YAMAHA", R3526="C49"), "YAMAHA_Mounter", M3526)),"")</f>
        <v>C66 SERVICE</v>
      </c>
      <c r="AS3526" s="22" t="str">
        <f t="shared" ref="AS3526:AS3589" si="1048">IFERROR(IF(OR(G3526="TBA", G3526=""), "", DATEDIF(DATE(B3526, C3526, 1), DATE(F3526, G3526, 1), "M")),"")</f>
        <v/>
      </c>
      <c r="AT3526" s="24" t="str">
        <f t="shared" ref="AT3526:AT3589" si="1049">IF(ISNUMBER(AS3526), IF(AS3526&gt;=0, IF(AS3526&lt;=3, "0-3 months", IF(AS3526&lt;=6, "4-6 months", "&gt; 6 months"))), "")</f>
        <v/>
      </c>
      <c r="AU3526" s="22">
        <v>0</v>
      </c>
    </row>
    <row r="3527" spans="1:47" ht="39.6">
      <c r="A3527" s="33" t="str">
        <f t="shared" si="1040"/>
        <v/>
      </c>
      <c r="B3527" s="52"/>
      <c r="C3527" s="52"/>
      <c r="D3527" s="33" t="str">
        <f t="shared" si="1036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1034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1037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38"/>
        <v>35073581.838938057</v>
      </c>
      <c r="AJ3527" s="19">
        <f t="shared" si="1039"/>
        <v>5034113.9728989396</v>
      </c>
      <c r="AK3527" s="20">
        <f t="shared" si="1044"/>
        <v>0.14353007902118958</v>
      </c>
      <c r="AL3527" s="55"/>
      <c r="AM3527" s="55"/>
      <c r="AN3527" s="55"/>
      <c r="AO3527" s="55"/>
      <c r="AP3527" s="95" t="str">
        <f t="shared" si="1045"/>
        <v>20228</v>
      </c>
      <c r="AQ3527" s="203" t="str">
        <f t="shared" si="1046"/>
        <v/>
      </c>
      <c r="AR3527" s="206" t="str">
        <f t="shared" si="1047"/>
        <v>C66 SERVICE</v>
      </c>
      <c r="AS3527" s="22" t="str">
        <f t="shared" si="1048"/>
        <v/>
      </c>
      <c r="AT3527" s="24" t="str">
        <f t="shared" si="1049"/>
        <v/>
      </c>
      <c r="AU3527" s="22">
        <v>0</v>
      </c>
    </row>
    <row r="3528" spans="1:47" ht="39.6">
      <c r="A3528" s="33" t="str">
        <f t="shared" si="1040"/>
        <v/>
      </c>
      <c r="B3528" s="52"/>
      <c r="C3528" s="52"/>
      <c r="D3528" s="33" t="str">
        <f t="shared" si="1036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1034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1037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38"/>
        <v>35073581.838938057</v>
      </c>
      <c r="AJ3528" s="19">
        <f t="shared" si="1039"/>
        <v>5034113.9728989396</v>
      </c>
      <c r="AK3528" s="20">
        <f t="shared" si="1044"/>
        <v>0.14353007902118958</v>
      </c>
      <c r="AL3528" s="55"/>
      <c r="AM3528" s="55"/>
      <c r="AN3528" s="55"/>
      <c r="AO3528" s="55"/>
      <c r="AP3528" s="95" t="str">
        <f t="shared" si="1045"/>
        <v>20228</v>
      </c>
      <c r="AQ3528" s="203" t="str">
        <f t="shared" si="1046"/>
        <v/>
      </c>
      <c r="AR3528" s="206" t="str">
        <f t="shared" si="1047"/>
        <v>C66 SERVICE</v>
      </c>
      <c r="AS3528" s="22" t="str">
        <f t="shared" si="1048"/>
        <v/>
      </c>
      <c r="AT3528" s="24" t="str">
        <f t="shared" si="1049"/>
        <v/>
      </c>
      <c r="AU3528" s="22">
        <v>0</v>
      </c>
    </row>
    <row r="3529" spans="1:47" ht="39.6">
      <c r="A3529" s="33" t="str">
        <f t="shared" si="1040"/>
        <v/>
      </c>
      <c r="B3529" s="52"/>
      <c r="C3529" s="52"/>
      <c r="D3529" s="33" t="str">
        <f t="shared" si="1036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1034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1037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38"/>
        <v>35073581.838938057</v>
      </c>
      <c r="AJ3529" s="19">
        <f t="shared" si="1039"/>
        <v>5034113.9728989396</v>
      </c>
      <c r="AK3529" s="20">
        <f t="shared" si="1044"/>
        <v>0.14353007902118958</v>
      </c>
      <c r="AL3529" s="55"/>
      <c r="AM3529" s="55"/>
      <c r="AN3529" s="55"/>
      <c r="AO3529" s="55"/>
      <c r="AP3529" s="95" t="str">
        <f t="shared" si="1045"/>
        <v>20228</v>
      </c>
      <c r="AQ3529" s="203" t="str">
        <f t="shared" si="1046"/>
        <v/>
      </c>
      <c r="AR3529" s="206" t="str">
        <f t="shared" si="1047"/>
        <v>C66 SERVICE</v>
      </c>
      <c r="AS3529" s="22" t="str">
        <f t="shared" si="1048"/>
        <v/>
      </c>
      <c r="AT3529" s="24" t="str">
        <f t="shared" si="1049"/>
        <v/>
      </c>
      <c r="AU3529" s="22">
        <v>0</v>
      </c>
    </row>
    <row r="3530" spans="1:47" ht="39.6">
      <c r="A3530" s="33" t="str">
        <f t="shared" si="1040"/>
        <v/>
      </c>
      <c r="B3530" s="52"/>
      <c r="C3530" s="52"/>
      <c r="D3530" s="33" t="str">
        <f t="shared" si="1036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1034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1037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38"/>
        <v>15948576.102654871</v>
      </c>
      <c r="AJ3530" s="19">
        <f t="shared" si="1039"/>
        <v>2739848.7004853105</v>
      </c>
      <c r="AK3530" s="20">
        <f t="shared" si="1044"/>
        <v>0.17179268436567344</v>
      </c>
      <c r="AL3530" s="55"/>
      <c r="AM3530" s="55"/>
      <c r="AN3530" s="55"/>
      <c r="AO3530" s="55"/>
      <c r="AP3530" s="95" t="str">
        <f t="shared" si="1045"/>
        <v>20229</v>
      </c>
      <c r="AQ3530" s="203" t="str">
        <f t="shared" si="1046"/>
        <v/>
      </c>
      <c r="AR3530" s="206" t="str">
        <f t="shared" si="1047"/>
        <v>C66 SERVICE</v>
      </c>
      <c r="AS3530" s="22" t="str">
        <f t="shared" si="1048"/>
        <v/>
      </c>
      <c r="AT3530" s="24" t="str">
        <f t="shared" si="1049"/>
        <v/>
      </c>
      <c r="AU3530" s="22">
        <v>0</v>
      </c>
    </row>
    <row r="3531" spans="1:47" ht="39.6">
      <c r="A3531" s="33" t="str">
        <f t="shared" si="1040"/>
        <v/>
      </c>
      <c r="B3531" s="52"/>
      <c r="C3531" s="52"/>
      <c r="D3531" s="33" t="str">
        <f t="shared" si="1036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1034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1037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38"/>
        <v>15948576.102654871</v>
      </c>
      <c r="AJ3531" s="19">
        <f t="shared" si="1039"/>
        <v>2739848.7004853105</v>
      </c>
      <c r="AK3531" s="20">
        <f t="shared" si="1044"/>
        <v>0.17179268436567344</v>
      </c>
      <c r="AL3531" s="55"/>
      <c r="AM3531" s="55"/>
      <c r="AN3531" s="55"/>
      <c r="AO3531" s="55"/>
      <c r="AP3531" s="95" t="str">
        <f t="shared" si="1045"/>
        <v>20229</v>
      </c>
      <c r="AQ3531" s="203" t="str">
        <f t="shared" si="1046"/>
        <v/>
      </c>
      <c r="AR3531" s="206" t="str">
        <f t="shared" si="1047"/>
        <v>C66 SERVICE</v>
      </c>
      <c r="AS3531" s="22" t="str">
        <f t="shared" si="1048"/>
        <v/>
      </c>
      <c r="AT3531" s="24" t="str">
        <f t="shared" si="1049"/>
        <v/>
      </c>
      <c r="AU3531" s="22">
        <v>0</v>
      </c>
    </row>
    <row r="3532" spans="1:47" ht="39.6">
      <c r="A3532" s="33" t="str">
        <f t="shared" si="1040"/>
        <v/>
      </c>
      <c r="B3532" s="52"/>
      <c r="C3532" s="52"/>
      <c r="D3532" s="33" t="str">
        <f t="shared" si="1036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1034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1037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38"/>
        <v>15948576.102654871</v>
      </c>
      <c r="AJ3532" s="19">
        <f t="shared" si="1039"/>
        <v>2739848.7004853105</v>
      </c>
      <c r="AK3532" s="20">
        <f t="shared" si="1044"/>
        <v>0.17179268436567344</v>
      </c>
      <c r="AL3532" s="55"/>
      <c r="AM3532" s="55"/>
      <c r="AN3532" s="55"/>
      <c r="AO3532" s="55"/>
      <c r="AP3532" s="95" t="str">
        <f t="shared" si="1045"/>
        <v>20229</v>
      </c>
      <c r="AQ3532" s="203" t="str">
        <f t="shared" si="1046"/>
        <v/>
      </c>
      <c r="AR3532" s="206" t="str">
        <f t="shared" si="1047"/>
        <v>C66 SERVICE</v>
      </c>
      <c r="AS3532" s="22" t="str">
        <f t="shared" si="1048"/>
        <v/>
      </c>
      <c r="AT3532" s="24" t="str">
        <f t="shared" si="1049"/>
        <v/>
      </c>
      <c r="AU3532" s="22">
        <v>0</v>
      </c>
    </row>
    <row r="3533" spans="1:47" ht="39.6">
      <c r="A3533" s="33" t="str">
        <f t="shared" si="1040"/>
        <v/>
      </c>
      <c r="B3533" s="52"/>
      <c r="C3533" s="52"/>
      <c r="D3533" s="33" t="str">
        <f t="shared" si="1036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1034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1037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38"/>
        <v>15948576.102654871</v>
      </c>
      <c r="AJ3533" s="19">
        <f t="shared" si="1039"/>
        <v>2739848.7004853105</v>
      </c>
      <c r="AK3533" s="20">
        <f t="shared" si="1044"/>
        <v>0.17179268436567344</v>
      </c>
      <c r="AL3533" s="55"/>
      <c r="AM3533" s="55"/>
      <c r="AN3533" s="55"/>
      <c r="AO3533" s="55"/>
      <c r="AP3533" s="95" t="str">
        <f t="shared" si="1045"/>
        <v>20229</v>
      </c>
      <c r="AQ3533" s="203" t="str">
        <f t="shared" si="1046"/>
        <v/>
      </c>
      <c r="AR3533" s="206" t="str">
        <f t="shared" si="1047"/>
        <v>C66 SERVICE</v>
      </c>
      <c r="AS3533" s="22" t="str">
        <f t="shared" si="1048"/>
        <v/>
      </c>
      <c r="AT3533" s="24" t="str">
        <f t="shared" si="1049"/>
        <v/>
      </c>
      <c r="AU3533" s="22">
        <v>0</v>
      </c>
    </row>
    <row r="3534" spans="1:47" ht="39.6">
      <c r="A3534" s="33" t="str">
        <f t="shared" si="1040"/>
        <v/>
      </c>
      <c r="B3534" s="52"/>
      <c r="C3534" s="52"/>
      <c r="D3534" s="33" t="str">
        <f t="shared" si="1036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1034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1037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38"/>
        <v>22717528.991150443</v>
      </c>
      <c r="AJ3534" s="19">
        <f t="shared" si="1039"/>
        <v>3947747.192555753</v>
      </c>
      <c r="AK3534" s="20">
        <f t="shared" si="1044"/>
        <v>0.1737753782153679</v>
      </c>
      <c r="AL3534" s="55"/>
      <c r="AM3534" s="55"/>
      <c r="AN3534" s="55"/>
      <c r="AO3534" s="55"/>
      <c r="AP3534" s="95" t="str">
        <f t="shared" si="1045"/>
        <v>202210</v>
      </c>
      <c r="AQ3534" s="203" t="str">
        <f t="shared" si="1046"/>
        <v/>
      </c>
      <c r="AR3534" s="206" t="str">
        <f t="shared" si="1047"/>
        <v>C66 SERVICE</v>
      </c>
      <c r="AS3534" s="22" t="str">
        <f t="shared" si="1048"/>
        <v/>
      </c>
      <c r="AT3534" s="24" t="str">
        <f t="shared" si="1049"/>
        <v/>
      </c>
      <c r="AU3534" s="22">
        <v>0</v>
      </c>
    </row>
    <row r="3535" spans="1:47" ht="39.6">
      <c r="A3535" s="33" t="str">
        <f t="shared" si="1040"/>
        <v/>
      </c>
      <c r="B3535" s="52"/>
      <c r="C3535" s="52"/>
      <c r="D3535" s="33" t="str">
        <f t="shared" si="1036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1034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1037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38"/>
        <v>22717528.991150443</v>
      </c>
      <c r="AJ3535" s="19">
        <f t="shared" si="1039"/>
        <v>3947747.192555753</v>
      </c>
      <c r="AK3535" s="20">
        <f t="shared" si="1044"/>
        <v>0.1737753782153679</v>
      </c>
      <c r="AL3535" s="55"/>
      <c r="AM3535" s="55"/>
      <c r="AN3535" s="55"/>
      <c r="AO3535" s="55"/>
      <c r="AP3535" s="95" t="str">
        <f t="shared" si="1045"/>
        <v>202210</v>
      </c>
      <c r="AQ3535" s="203" t="str">
        <f t="shared" si="1046"/>
        <v/>
      </c>
      <c r="AR3535" s="206" t="str">
        <f t="shared" si="1047"/>
        <v>C66 SERVICE</v>
      </c>
      <c r="AS3535" s="22" t="str">
        <f t="shared" si="1048"/>
        <v/>
      </c>
      <c r="AT3535" s="24" t="str">
        <f t="shared" si="1049"/>
        <v/>
      </c>
      <c r="AU3535" s="22">
        <v>0</v>
      </c>
    </row>
    <row r="3536" spans="1:47" ht="39.6">
      <c r="A3536" s="33" t="str">
        <f t="shared" si="1040"/>
        <v/>
      </c>
      <c r="B3536" s="52"/>
      <c r="C3536" s="52"/>
      <c r="D3536" s="33" t="str">
        <f t="shared" si="1036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1034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1037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38"/>
        <v>22717528.991150443</v>
      </c>
      <c r="AJ3536" s="19">
        <f t="shared" si="1039"/>
        <v>3947747.192555753</v>
      </c>
      <c r="AK3536" s="20">
        <f t="shared" si="1044"/>
        <v>0.1737753782153679</v>
      </c>
      <c r="AL3536" s="55"/>
      <c r="AM3536" s="55"/>
      <c r="AN3536" s="55"/>
      <c r="AO3536" s="55"/>
      <c r="AP3536" s="95" t="str">
        <f t="shared" si="1045"/>
        <v>202210</v>
      </c>
      <c r="AQ3536" s="203" t="str">
        <f t="shared" si="1046"/>
        <v/>
      </c>
      <c r="AR3536" s="206" t="str">
        <f t="shared" si="1047"/>
        <v>C66 SERVICE</v>
      </c>
      <c r="AS3536" s="22" t="str">
        <f t="shared" si="1048"/>
        <v/>
      </c>
      <c r="AT3536" s="24" t="str">
        <f t="shared" si="1049"/>
        <v/>
      </c>
      <c r="AU3536" s="22">
        <v>0</v>
      </c>
    </row>
    <row r="3537" spans="1:47" ht="39.6">
      <c r="A3537" s="33" t="str">
        <f t="shared" si="1040"/>
        <v/>
      </c>
      <c r="B3537" s="52"/>
      <c r="C3537" s="52"/>
      <c r="D3537" s="33" t="str">
        <f t="shared" si="1036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1034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1037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38"/>
        <v>22717528.991150443</v>
      </c>
      <c r="AJ3537" s="19">
        <f t="shared" si="1039"/>
        <v>3947747.192555753</v>
      </c>
      <c r="AK3537" s="20">
        <f t="shared" si="1044"/>
        <v>0.1737753782153679</v>
      </c>
      <c r="AL3537" s="55"/>
      <c r="AM3537" s="55"/>
      <c r="AN3537" s="55"/>
      <c r="AO3537" s="55"/>
      <c r="AP3537" s="95" t="str">
        <f t="shared" si="1045"/>
        <v>202210</v>
      </c>
      <c r="AQ3537" s="203" t="str">
        <f t="shared" si="1046"/>
        <v/>
      </c>
      <c r="AR3537" s="206" t="str">
        <f t="shared" si="1047"/>
        <v>C66 SERVICE</v>
      </c>
      <c r="AS3537" s="22" t="str">
        <f t="shared" si="1048"/>
        <v/>
      </c>
      <c r="AT3537" s="24" t="str">
        <f t="shared" si="1049"/>
        <v/>
      </c>
      <c r="AU3537" s="22">
        <v>0</v>
      </c>
    </row>
    <row r="3538" spans="1:47" ht="39.6">
      <c r="A3538" s="33" t="str">
        <f t="shared" si="1040"/>
        <v/>
      </c>
      <c r="B3538" s="52"/>
      <c r="C3538" s="52"/>
      <c r="D3538" s="33" t="str">
        <f t="shared" si="1036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1034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1037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38"/>
        <v>31017966.201968137</v>
      </c>
      <c r="AJ3538" s="19">
        <f t="shared" si="1039"/>
        <v>4704250.3347305888</v>
      </c>
      <c r="AK3538" s="20">
        <f t="shared" si="1044"/>
        <v>0.15166211427595458</v>
      </c>
      <c r="AL3538" s="55"/>
      <c r="AM3538" s="55"/>
      <c r="AN3538" s="55"/>
      <c r="AO3538" s="55"/>
      <c r="AP3538" s="95" t="str">
        <f t="shared" si="1045"/>
        <v>202211</v>
      </c>
      <c r="AQ3538" s="203" t="str">
        <f t="shared" si="1046"/>
        <v/>
      </c>
      <c r="AR3538" s="206" t="str">
        <f t="shared" si="1047"/>
        <v>C66 SERVICE</v>
      </c>
      <c r="AS3538" s="22" t="str">
        <f t="shared" si="1048"/>
        <v/>
      </c>
      <c r="AT3538" s="24" t="str">
        <f t="shared" si="1049"/>
        <v/>
      </c>
      <c r="AU3538" s="22">
        <v>0</v>
      </c>
    </row>
    <row r="3539" spans="1:47" ht="39.6">
      <c r="A3539" s="33" t="str">
        <f t="shared" si="1040"/>
        <v/>
      </c>
      <c r="B3539" s="52"/>
      <c r="C3539" s="52"/>
      <c r="D3539" s="33" t="str">
        <f t="shared" si="1036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1034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1037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38"/>
        <v>31017966.201968137</v>
      </c>
      <c r="AJ3539" s="19">
        <f t="shared" si="1039"/>
        <v>4704250.3347305888</v>
      </c>
      <c r="AK3539" s="20">
        <f t="shared" si="1044"/>
        <v>0.15166211427595458</v>
      </c>
      <c r="AL3539" s="55"/>
      <c r="AM3539" s="55"/>
      <c r="AN3539" s="55"/>
      <c r="AO3539" s="55"/>
      <c r="AP3539" s="95" t="str">
        <f t="shared" si="1045"/>
        <v>202211</v>
      </c>
      <c r="AQ3539" s="203" t="str">
        <f t="shared" si="1046"/>
        <v/>
      </c>
      <c r="AR3539" s="206" t="str">
        <f t="shared" si="1047"/>
        <v>C66 SERVICE</v>
      </c>
      <c r="AS3539" s="22" t="str">
        <f t="shared" si="1048"/>
        <v/>
      </c>
      <c r="AT3539" s="24" t="str">
        <f t="shared" si="1049"/>
        <v/>
      </c>
      <c r="AU3539" s="22">
        <v>0</v>
      </c>
    </row>
    <row r="3540" spans="1:47" ht="39.6">
      <c r="A3540" s="33" t="str">
        <f t="shared" si="1040"/>
        <v/>
      </c>
      <c r="B3540" s="52"/>
      <c r="C3540" s="52"/>
      <c r="D3540" s="33" t="str">
        <f t="shared" si="1036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1034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1037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38"/>
        <v>31017966.201968137</v>
      </c>
      <c r="AJ3540" s="19">
        <f t="shared" si="1039"/>
        <v>4704250.3347305888</v>
      </c>
      <c r="AK3540" s="20">
        <f t="shared" si="1044"/>
        <v>0.15166211427595458</v>
      </c>
      <c r="AL3540" s="55"/>
      <c r="AM3540" s="55"/>
      <c r="AN3540" s="55"/>
      <c r="AO3540" s="55"/>
      <c r="AP3540" s="95" t="str">
        <f t="shared" si="1045"/>
        <v>202211</v>
      </c>
      <c r="AQ3540" s="203" t="str">
        <f t="shared" si="1046"/>
        <v/>
      </c>
      <c r="AR3540" s="206" t="str">
        <f t="shared" si="1047"/>
        <v>C66 SERVICE</v>
      </c>
      <c r="AS3540" s="22" t="str">
        <f t="shared" si="1048"/>
        <v/>
      </c>
      <c r="AT3540" s="24" t="str">
        <f t="shared" si="1049"/>
        <v/>
      </c>
      <c r="AU3540" s="22">
        <v>0</v>
      </c>
    </row>
    <row r="3541" spans="1:47" ht="39.6">
      <c r="A3541" s="33" t="str">
        <f t="shared" si="1040"/>
        <v/>
      </c>
      <c r="B3541" s="52"/>
      <c r="C3541" s="52"/>
      <c r="D3541" s="33" t="str">
        <f t="shared" si="1036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1034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1037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38"/>
        <v>31017966.201968137</v>
      </c>
      <c r="AJ3541" s="19">
        <f t="shared" si="1039"/>
        <v>4704250.3347305888</v>
      </c>
      <c r="AK3541" s="20">
        <f t="shared" si="1044"/>
        <v>0.15166211427595458</v>
      </c>
      <c r="AL3541" s="55"/>
      <c r="AM3541" s="55"/>
      <c r="AN3541" s="55"/>
      <c r="AO3541" s="55"/>
      <c r="AP3541" s="95" t="str">
        <f t="shared" si="1045"/>
        <v>202211</v>
      </c>
      <c r="AQ3541" s="203" t="str">
        <f t="shared" si="1046"/>
        <v/>
      </c>
      <c r="AR3541" s="206" t="str">
        <f t="shared" si="1047"/>
        <v>C66 SERVICE</v>
      </c>
      <c r="AS3541" s="22" t="str">
        <f t="shared" si="1048"/>
        <v/>
      </c>
      <c r="AT3541" s="24" t="str">
        <f t="shared" si="1049"/>
        <v/>
      </c>
      <c r="AU3541" s="22">
        <v>0</v>
      </c>
    </row>
    <row r="3542" spans="1:47" ht="39.6">
      <c r="A3542" s="33" t="str">
        <f t="shared" si="1040"/>
        <v/>
      </c>
      <c r="B3542" s="52"/>
      <c r="C3542" s="52"/>
      <c r="D3542" s="33" t="str">
        <f t="shared" si="1036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1050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1037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38"/>
        <v>17329060.066371687</v>
      </c>
      <c r="AJ3542" s="19">
        <f t="shared" si="1039"/>
        <v>2472600.2142256643</v>
      </c>
      <c r="AK3542" s="20">
        <f t="shared" si="1044"/>
        <v>0.14268518919984163</v>
      </c>
      <c r="AL3542" s="55"/>
      <c r="AM3542" s="55"/>
      <c r="AN3542" s="55"/>
      <c r="AO3542" s="55"/>
      <c r="AP3542" s="95" t="str">
        <f t="shared" si="1045"/>
        <v>202212</v>
      </c>
      <c r="AQ3542" s="203" t="str">
        <f t="shared" si="1046"/>
        <v/>
      </c>
      <c r="AR3542" s="206" t="str">
        <f t="shared" si="1047"/>
        <v>C66 SERVICE</v>
      </c>
      <c r="AS3542" s="22" t="str">
        <f t="shared" si="1048"/>
        <v/>
      </c>
      <c r="AT3542" s="24" t="str">
        <f t="shared" si="1049"/>
        <v/>
      </c>
      <c r="AU3542" s="22">
        <v>0</v>
      </c>
    </row>
    <row r="3543" spans="1:47" ht="39.6">
      <c r="A3543" s="33" t="str">
        <f t="shared" si="1040"/>
        <v/>
      </c>
      <c r="B3543" s="52"/>
      <c r="C3543" s="52"/>
      <c r="D3543" s="33" t="str">
        <f t="shared" si="1036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1050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1037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38"/>
        <v>17329060.066371687</v>
      </c>
      <c r="AJ3543" s="19">
        <f t="shared" si="1039"/>
        <v>2472600.2142256643</v>
      </c>
      <c r="AK3543" s="20">
        <f t="shared" si="1044"/>
        <v>0.14268518919984163</v>
      </c>
      <c r="AL3543" s="55"/>
      <c r="AM3543" s="55"/>
      <c r="AN3543" s="55"/>
      <c r="AO3543" s="55"/>
      <c r="AP3543" s="95" t="str">
        <f t="shared" si="1045"/>
        <v>202212</v>
      </c>
      <c r="AQ3543" s="203" t="str">
        <f t="shared" si="1046"/>
        <v/>
      </c>
      <c r="AR3543" s="206" t="str">
        <f t="shared" si="1047"/>
        <v>C66 SERVICE</v>
      </c>
      <c r="AS3543" s="22" t="str">
        <f t="shared" si="1048"/>
        <v/>
      </c>
      <c r="AT3543" s="24" t="str">
        <f t="shared" si="1049"/>
        <v/>
      </c>
      <c r="AU3543" s="22">
        <v>0</v>
      </c>
    </row>
    <row r="3544" spans="1:47" ht="39.6">
      <c r="A3544" s="33" t="str">
        <f t="shared" si="1040"/>
        <v/>
      </c>
      <c r="B3544" s="52"/>
      <c r="C3544" s="52"/>
      <c r="D3544" s="33" t="str">
        <f t="shared" si="1036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1050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1037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38"/>
        <v>17329060.066371687</v>
      </c>
      <c r="AJ3544" s="19">
        <f t="shared" si="1039"/>
        <v>2472600.2142256643</v>
      </c>
      <c r="AK3544" s="20">
        <f t="shared" si="1044"/>
        <v>0.14268518919984163</v>
      </c>
      <c r="AL3544" s="55"/>
      <c r="AM3544" s="55"/>
      <c r="AN3544" s="55"/>
      <c r="AO3544" s="55"/>
      <c r="AP3544" s="95" t="str">
        <f t="shared" si="1045"/>
        <v>202212</v>
      </c>
      <c r="AQ3544" s="203" t="str">
        <f t="shared" si="1046"/>
        <v/>
      </c>
      <c r="AR3544" s="206" t="str">
        <f t="shared" si="1047"/>
        <v>C66 SERVICE</v>
      </c>
      <c r="AS3544" s="22" t="str">
        <f t="shared" si="1048"/>
        <v/>
      </c>
      <c r="AT3544" s="24" t="str">
        <f t="shared" si="1049"/>
        <v/>
      </c>
      <c r="AU3544" s="22">
        <v>0</v>
      </c>
    </row>
    <row r="3545" spans="1:47" ht="39.6">
      <c r="A3545" s="33" t="str">
        <f t="shared" si="1040"/>
        <v/>
      </c>
      <c r="B3545" s="52"/>
      <c r="C3545" s="52"/>
      <c r="D3545" s="33" t="str">
        <f t="shared" si="1036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1050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1037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38"/>
        <v>17329060.066371687</v>
      </c>
      <c r="AJ3545" s="19">
        <f t="shared" si="1039"/>
        <v>2472600.2142256643</v>
      </c>
      <c r="AK3545" s="20">
        <f t="shared" si="1044"/>
        <v>0.14268518919984163</v>
      </c>
      <c r="AL3545" s="55"/>
      <c r="AM3545" s="55"/>
      <c r="AN3545" s="55"/>
      <c r="AO3545" s="55"/>
      <c r="AP3545" s="95" t="str">
        <f t="shared" si="1045"/>
        <v>202212</v>
      </c>
      <c r="AQ3545" s="203" t="str">
        <f t="shared" si="1046"/>
        <v/>
      </c>
      <c r="AR3545" s="206" t="str">
        <f t="shared" si="1047"/>
        <v>C66 SERVICE</v>
      </c>
      <c r="AS3545" s="22" t="str">
        <f t="shared" si="1048"/>
        <v/>
      </c>
      <c r="AT3545" s="24" t="str">
        <f t="shared" si="1049"/>
        <v/>
      </c>
      <c r="AU3545" s="22">
        <v>0</v>
      </c>
    </row>
    <row r="3546" spans="1:47" ht="39.6">
      <c r="A3546" s="33" t="str">
        <f t="shared" si="1040"/>
        <v/>
      </c>
      <c r="B3546" s="23"/>
      <c r="C3546" s="23"/>
      <c r="D3546" s="33" t="str">
        <f t="shared" si="1036"/>
        <v/>
      </c>
      <c r="E3546" s="33" t="str">
        <f t="shared" ref="E3546:E3562" si="1051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1050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1052">IF(W3546="","",IF(W3546="RMB","1.13", "1"))</f>
        <v/>
      </c>
      <c r="Z3546" s="18" t="str">
        <f t="shared" si="1037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38"/>
        <v>10271727.486725664</v>
      </c>
      <c r="AJ3546" s="27">
        <f t="shared" si="1039"/>
        <v>1227228.7260761063</v>
      </c>
      <c r="AK3546" s="28">
        <f t="shared" si="1044"/>
        <v>0.11947637120066472</v>
      </c>
      <c r="AL3546" s="24"/>
      <c r="AM3546" s="24"/>
      <c r="AN3546" s="24"/>
      <c r="AO3546" s="24"/>
      <c r="AP3546" s="95" t="str">
        <f t="shared" si="1045"/>
        <v>202312</v>
      </c>
      <c r="AQ3546" s="203" t="str">
        <f t="shared" si="1046"/>
        <v/>
      </c>
      <c r="AR3546" s="206" t="str">
        <f t="shared" si="1047"/>
        <v>C66 SERVICE</v>
      </c>
      <c r="AS3546" s="22" t="str">
        <f t="shared" si="1048"/>
        <v/>
      </c>
      <c r="AT3546" s="24" t="str">
        <f t="shared" si="1049"/>
        <v/>
      </c>
      <c r="AU3546" s="22">
        <v>0</v>
      </c>
    </row>
    <row r="3547" spans="1:47" ht="39.6">
      <c r="A3547" s="33" t="str">
        <f t="shared" si="1040"/>
        <v/>
      </c>
      <c r="B3547" s="23"/>
      <c r="C3547" s="23"/>
      <c r="D3547" s="33" t="str">
        <f t="shared" si="1036"/>
        <v/>
      </c>
      <c r="E3547" s="33" t="str">
        <f t="shared" si="1051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1050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1052"/>
        <v/>
      </c>
      <c r="Z3547" s="18" t="str">
        <f t="shared" si="1037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38"/>
        <v>10271727.486725664</v>
      </c>
      <c r="AJ3547" s="27">
        <f t="shared" si="1039"/>
        <v>1227228.7260761063</v>
      </c>
      <c r="AK3547" s="28">
        <f t="shared" si="1044"/>
        <v>0.11947637120066472</v>
      </c>
      <c r="AL3547" s="24"/>
      <c r="AM3547" s="24"/>
      <c r="AN3547" s="24"/>
      <c r="AO3547" s="24"/>
      <c r="AP3547" s="95" t="str">
        <f t="shared" si="1045"/>
        <v>202312</v>
      </c>
      <c r="AQ3547" s="203" t="str">
        <f t="shared" si="1046"/>
        <v/>
      </c>
      <c r="AR3547" s="206" t="str">
        <f t="shared" si="1047"/>
        <v>C66 SERVICE</v>
      </c>
      <c r="AS3547" s="22" t="str">
        <f t="shared" si="1048"/>
        <v/>
      </c>
      <c r="AT3547" s="24" t="str">
        <f t="shared" si="1049"/>
        <v/>
      </c>
      <c r="AU3547" s="22">
        <v>0</v>
      </c>
    </row>
    <row r="3548" spans="1:47" ht="39.6">
      <c r="A3548" s="33" t="str">
        <f t="shared" si="1040"/>
        <v/>
      </c>
      <c r="B3548" s="23"/>
      <c r="C3548" s="23"/>
      <c r="D3548" s="33" t="str">
        <f t="shared" si="1036"/>
        <v/>
      </c>
      <c r="E3548" s="33" t="str">
        <f t="shared" si="1051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1050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1052"/>
        <v/>
      </c>
      <c r="Z3548" s="18" t="str">
        <f t="shared" si="1037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38"/>
        <v>10271727.486725664</v>
      </c>
      <c r="AJ3548" s="27">
        <f t="shared" si="1039"/>
        <v>1227228.7260761063</v>
      </c>
      <c r="AK3548" s="28">
        <f t="shared" si="1044"/>
        <v>0.11947637120066472</v>
      </c>
      <c r="AL3548" s="24"/>
      <c r="AM3548" s="24"/>
      <c r="AN3548" s="24"/>
      <c r="AO3548" s="24"/>
      <c r="AP3548" s="95" t="str">
        <f t="shared" si="1045"/>
        <v>202312</v>
      </c>
      <c r="AQ3548" s="203" t="str">
        <f t="shared" si="1046"/>
        <v/>
      </c>
      <c r="AR3548" s="206" t="str">
        <f t="shared" si="1047"/>
        <v>C66 SERVICE</v>
      </c>
      <c r="AS3548" s="22" t="str">
        <f t="shared" si="1048"/>
        <v/>
      </c>
      <c r="AT3548" s="24" t="str">
        <f t="shared" si="1049"/>
        <v/>
      </c>
      <c r="AU3548" s="22">
        <v>0</v>
      </c>
    </row>
    <row r="3549" spans="1:47" ht="39.6">
      <c r="A3549" s="33" t="str">
        <f t="shared" si="1040"/>
        <v/>
      </c>
      <c r="B3549" s="23"/>
      <c r="C3549" s="23"/>
      <c r="D3549" s="33" t="str">
        <f t="shared" si="1036"/>
        <v/>
      </c>
      <c r="E3549" s="33" t="str">
        <f t="shared" si="1051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1050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1052"/>
        <v/>
      </c>
      <c r="Z3549" s="18" t="str">
        <f t="shared" si="1037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38"/>
        <v>10271727.486725664</v>
      </c>
      <c r="AJ3549" s="27">
        <f t="shared" si="1039"/>
        <v>1227228.7260761063</v>
      </c>
      <c r="AK3549" s="28">
        <f t="shared" si="1044"/>
        <v>0.11947637120066472</v>
      </c>
      <c r="AL3549" s="24"/>
      <c r="AM3549" s="24"/>
      <c r="AN3549" s="24"/>
      <c r="AO3549" s="24"/>
      <c r="AP3549" s="95" t="str">
        <f t="shared" si="1045"/>
        <v>202312</v>
      </c>
      <c r="AQ3549" s="203" t="str">
        <f t="shared" si="1046"/>
        <v/>
      </c>
      <c r="AR3549" s="206" t="str">
        <f t="shared" si="1047"/>
        <v>C66 SERVICE</v>
      </c>
      <c r="AS3549" s="22" t="str">
        <f t="shared" si="1048"/>
        <v/>
      </c>
      <c r="AT3549" s="24" t="str">
        <f t="shared" si="1049"/>
        <v/>
      </c>
      <c r="AU3549" s="22">
        <v>0</v>
      </c>
    </row>
    <row r="3550" spans="1:47" ht="39.6">
      <c r="A3550" s="33" t="str">
        <f t="shared" si="1040"/>
        <v/>
      </c>
      <c r="B3550" s="23"/>
      <c r="C3550" s="23"/>
      <c r="D3550" s="33" t="str">
        <f t="shared" si="1036"/>
        <v/>
      </c>
      <c r="E3550" s="33" t="str">
        <f t="shared" si="1051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1050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1052"/>
        <v/>
      </c>
      <c r="Z3550" s="18" t="str">
        <f t="shared" si="1037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38"/>
        <v>23146578.081415929</v>
      </c>
      <c r="AJ3550" s="27">
        <f t="shared" si="1039"/>
        <v>2745231.3889985834</v>
      </c>
      <c r="AK3550" s="28">
        <f t="shared" si="1044"/>
        <v>0.11860204041143742</v>
      </c>
      <c r="AL3550" s="24"/>
      <c r="AM3550" s="24"/>
      <c r="AN3550" s="24"/>
      <c r="AO3550" s="24"/>
      <c r="AP3550" s="95" t="str">
        <f t="shared" si="1045"/>
        <v>20241</v>
      </c>
      <c r="AQ3550" s="203" t="str">
        <f t="shared" si="1046"/>
        <v/>
      </c>
      <c r="AR3550" s="206" t="str">
        <f t="shared" si="1047"/>
        <v>C66 SERVICE</v>
      </c>
      <c r="AS3550" s="22" t="str">
        <f t="shared" si="1048"/>
        <v/>
      </c>
      <c r="AT3550" s="24" t="str">
        <f t="shared" si="1049"/>
        <v/>
      </c>
      <c r="AU3550" s="22">
        <v>0</v>
      </c>
    </row>
    <row r="3551" spans="1:47" ht="39.6">
      <c r="A3551" s="33" t="str">
        <f t="shared" si="1040"/>
        <v/>
      </c>
      <c r="B3551" s="23"/>
      <c r="C3551" s="23"/>
      <c r="D3551" s="33" t="str">
        <f t="shared" si="1036"/>
        <v/>
      </c>
      <c r="E3551" s="33" t="str">
        <f t="shared" si="1051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1050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1052"/>
        <v/>
      </c>
      <c r="Z3551" s="18" t="str">
        <f t="shared" si="1037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38"/>
        <v>23146578.081415929</v>
      </c>
      <c r="AJ3551" s="27">
        <f t="shared" si="1039"/>
        <v>2745231.3889985834</v>
      </c>
      <c r="AK3551" s="28">
        <f t="shared" si="1044"/>
        <v>0.11860204041143742</v>
      </c>
      <c r="AL3551" s="24"/>
      <c r="AM3551" s="24"/>
      <c r="AN3551" s="24"/>
      <c r="AO3551" s="24"/>
      <c r="AP3551" s="95" t="str">
        <f t="shared" si="1045"/>
        <v>20241</v>
      </c>
      <c r="AQ3551" s="203" t="str">
        <f t="shared" si="1046"/>
        <v/>
      </c>
      <c r="AR3551" s="206" t="str">
        <f t="shared" si="1047"/>
        <v>C66 SERVICE</v>
      </c>
      <c r="AS3551" s="22" t="str">
        <f t="shared" si="1048"/>
        <v/>
      </c>
      <c r="AT3551" s="24" t="str">
        <f t="shared" si="1049"/>
        <v/>
      </c>
      <c r="AU3551" s="22">
        <v>0</v>
      </c>
    </row>
    <row r="3552" spans="1:47" ht="39.6">
      <c r="A3552" s="33" t="str">
        <f t="shared" si="1040"/>
        <v/>
      </c>
      <c r="B3552" s="23"/>
      <c r="C3552" s="23"/>
      <c r="D3552" s="33" t="str">
        <f t="shared" si="1036"/>
        <v/>
      </c>
      <c r="E3552" s="33" t="str">
        <f t="shared" si="1051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1050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1052"/>
        <v/>
      </c>
      <c r="Z3552" s="18" t="str">
        <f t="shared" si="1037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38"/>
        <v>23146578.081415929</v>
      </c>
      <c r="AJ3552" s="27">
        <f t="shared" si="1039"/>
        <v>2745231.3889985834</v>
      </c>
      <c r="AK3552" s="28">
        <f t="shared" si="1044"/>
        <v>0.11860204041143742</v>
      </c>
      <c r="AL3552" s="24"/>
      <c r="AM3552" s="24"/>
      <c r="AN3552" s="24"/>
      <c r="AO3552" s="24"/>
      <c r="AP3552" s="95" t="str">
        <f t="shared" si="1045"/>
        <v>20241</v>
      </c>
      <c r="AQ3552" s="203" t="str">
        <f t="shared" si="1046"/>
        <v/>
      </c>
      <c r="AR3552" s="206" t="str">
        <f t="shared" si="1047"/>
        <v>C66 SERVICE</v>
      </c>
      <c r="AS3552" s="22" t="str">
        <f t="shared" si="1048"/>
        <v/>
      </c>
      <c r="AT3552" s="24" t="str">
        <f t="shared" si="1049"/>
        <v/>
      </c>
      <c r="AU3552" s="22">
        <v>0</v>
      </c>
    </row>
    <row r="3553" spans="1:47" ht="39.6">
      <c r="A3553" s="33" t="str">
        <f t="shared" si="1040"/>
        <v/>
      </c>
      <c r="B3553" s="23"/>
      <c r="C3553" s="23"/>
      <c r="D3553" s="33" t="str">
        <f t="shared" si="1036"/>
        <v/>
      </c>
      <c r="E3553" s="33" t="str">
        <f t="shared" si="1051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1050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1052"/>
        <v/>
      </c>
      <c r="Z3553" s="18" t="str">
        <f t="shared" si="1037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38"/>
        <v>23146578.081415929</v>
      </c>
      <c r="AJ3553" s="27">
        <f t="shared" si="1039"/>
        <v>2745231.3889985834</v>
      </c>
      <c r="AK3553" s="28">
        <f t="shared" si="1044"/>
        <v>0.11860204041143742</v>
      </c>
      <c r="AL3553" s="24"/>
      <c r="AM3553" s="24"/>
      <c r="AN3553" s="24"/>
      <c r="AO3553" s="24"/>
      <c r="AP3553" s="95" t="str">
        <f t="shared" si="1045"/>
        <v>20241</v>
      </c>
      <c r="AQ3553" s="203" t="str">
        <f t="shared" si="1046"/>
        <v/>
      </c>
      <c r="AR3553" s="206" t="str">
        <f t="shared" si="1047"/>
        <v>C66 SERVICE</v>
      </c>
      <c r="AS3553" s="22" t="str">
        <f t="shared" si="1048"/>
        <v/>
      </c>
      <c r="AT3553" s="24" t="str">
        <f t="shared" si="1049"/>
        <v/>
      </c>
      <c r="AU3553" s="22">
        <v>0</v>
      </c>
    </row>
    <row r="3554" spans="1:47" ht="39.6">
      <c r="A3554" s="33" t="str">
        <f t="shared" si="1040"/>
        <v/>
      </c>
      <c r="B3554" s="23"/>
      <c r="C3554" s="23"/>
      <c r="D3554" s="33" t="str">
        <f t="shared" si="1036"/>
        <v/>
      </c>
      <c r="E3554" s="33" t="str">
        <f t="shared" si="1051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1050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1052"/>
        <v/>
      </c>
      <c r="Z3554" s="18" t="str">
        <f t="shared" si="1037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38"/>
        <v>10524262.405309737</v>
      </c>
      <c r="AJ3554" s="27">
        <f t="shared" si="1039"/>
        <v>1479050.9527127435</v>
      </c>
      <c r="AK3554" s="28">
        <f t="shared" si="1044"/>
        <v>0.14053725532028996</v>
      </c>
      <c r="AL3554" s="24"/>
      <c r="AM3554" s="24"/>
      <c r="AN3554" s="24"/>
      <c r="AO3554" s="24"/>
      <c r="AP3554" s="95" t="str">
        <f t="shared" si="1045"/>
        <v>20242</v>
      </c>
      <c r="AQ3554" s="203" t="str">
        <f t="shared" si="1046"/>
        <v/>
      </c>
      <c r="AR3554" s="206" t="str">
        <f t="shared" si="1047"/>
        <v>C66 SERVICE</v>
      </c>
      <c r="AS3554" s="22" t="str">
        <f t="shared" si="1048"/>
        <v/>
      </c>
      <c r="AT3554" s="24" t="str">
        <f t="shared" si="1049"/>
        <v/>
      </c>
      <c r="AU3554" s="22">
        <v>0</v>
      </c>
    </row>
    <row r="3555" spans="1:47" ht="39.6">
      <c r="A3555" s="33" t="str">
        <f t="shared" si="1040"/>
        <v/>
      </c>
      <c r="B3555" s="23"/>
      <c r="C3555" s="23"/>
      <c r="D3555" s="33" t="str">
        <f t="shared" si="1036"/>
        <v/>
      </c>
      <c r="E3555" s="33" t="str">
        <f t="shared" si="1051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1050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1052"/>
        <v/>
      </c>
      <c r="Z3555" s="18" t="str">
        <f t="shared" si="1037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38"/>
        <v>10524262.405309737</v>
      </c>
      <c r="AJ3555" s="27">
        <f t="shared" si="1039"/>
        <v>1479050.9527127435</v>
      </c>
      <c r="AK3555" s="28">
        <f t="shared" si="1044"/>
        <v>0.14053725532028996</v>
      </c>
      <c r="AL3555" s="24"/>
      <c r="AM3555" s="24"/>
      <c r="AN3555" s="24"/>
      <c r="AO3555" s="24"/>
      <c r="AP3555" s="95" t="str">
        <f t="shared" si="1045"/>
        <v>20242</v>
      </c>
      <c r="AQ3555" s="203" t="str">
        <f t="shared" si="1046"/>
        <v/>
      </c>
      <c r="AR3555" s="206" t="str">
        <f t="shared" si="1047"/>
        <v>C66 SERVICE</v>
      </c>
      <c r="AS3555" s="22" t="str">
        <f t="shared" si="1048"/>
        <v/>
      </c>
      <c r="AT3555" s="24" t="str">
        <f t="shared" si="1049"/>
        <v/>
      </c>
      <c r="AU3555" s="22">
        <v>0</v>
      </c>
    </row>
    <row r="3556" spans="1:47" ht="39.6">
      <c r="A3556" s="33" t="str">
        <f t="shared" si="1040"/>
        <v/>
      </c>
      <c r="B3556" s="23"/>
      <c r="C3556" s="23"/>
      <c r="D3556" s="33" t="str">
        <f t="shared" si="1036"/>
        <v/>
      </c>
      <c r="E3556" s="33" t="str">
        <f t="shared" si="1051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1050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1052"/>
        <v/>
      </c>
      <c r="Z3556" s="18" t="str">
        <f t="shared" si="1037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38"/>
        <v>10524262.405309737</v>
      </c>
      <c r="AJ3556" s="27">
        <f t="shared" si="1039"/>
        <v>1479050.9527127435</v>
      </c>
      <c r="AK3556" s="28">
        <f t="shared" si="1044"/>
        <v>0.14053725532028996</v>
      </c>
      <c r="AL3556" s="24"/>
      <c r="AM3556" s="24"/>
      <c r="AN3556" s="24"/>
      <c r="AO3556" s="24"/>
      <c r="AP3556" s="95" t="str">
        <f t="shared" si="1045"/>
        <v>20242</v>
      </c>
      <c r="AQ3556" s="203" t="str">
        <f t="shared" si="1046"/>
        <v/>
      </c>
      <c r="AR3556" s="206" t="str">
        <f t="shared" si="1047"/>
        <v>C66 SERVICE</v>
      </c>
      <c r="AS3556" s="22" t="str">
        <f t="shared" si="1048"/>
        <v/>
      </c>
      <c r="AT3556" s="24" t="str">
        <f t="shared" si="1049"/>
        <v/>
      </c>
      <c r="AU3556" s="22">
        <v>0</v>
      </c>
    </row>
    <row r="3557" spans="1:47" ht="39.6">
      <c r="A3557" s="33" t="str">
        <f t="shared" si="1040"/>
        <v/>
      </c>
      <c r="B3557" s="23"/>
      <c r="C3557" s="23"/>
      <c r="D3557" s="33" t="str">
        <f t="shared" si="1036"/>
        <v/>
      </c>
      <c r="E3557" s="33" t="str">
        <f t="shared" si="1051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1050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1052"/>
        <v/>
      </c>
      <c r="Z3557" s="18" t="str">
        <f t="shared" si="1037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38"/>
        <v>10524262.405309737</v>
      </c>
      <c r="AJ3557" s="27">
        <f t="shared" si="1039"/>
        <v>1479050.9527127435</v>
      </c>
      <c r="AK3557" s="28">
        <f t="shared" si="1044"/>
        <v>0.14053725532028996</v>
      </c>
      <c r="AL3557" s="24"/>
      <c r="AM3557" s="24"/>
      <c r="AN3557" s="24"/>
      <c r="AO3557" s="24"/>
      <c r="AP3557" s="95" t="str">
        <f t="shared" si="1045"/>
        <v>20242</v>
      </c>
      <c r="AQ3557" s="203" t="str">
        <f t="shared" si="1046"/>
        <v/>
      </c>
      <c r="AR3557" s="206" t="str">
        <f t="shared" si="1047"/>
        <v>C66 SERVICE</v>
      </c>
      <c r="AS3557" s="22" t="str">
        <f t="shared" si="1048"/>
        <v/>
      </c>
      <c r="AT3557" s="24" t="str">
        <f t="shared" si="1049"/>
        <v/>
      </c>
      <c r="AU3557" s="22">
        <v>0</v>
      </c>
    </row>
    <row r="3558" spans="1:47" ht="39.6">
      <c r="A3558" s="33" t="str">
        <f t="shared" si="1040"/>
        <v/>
      </c>
      <c r="B3558" s="23"/>
      <c r="C3558" s="23"/>
      <c r="D3558" s="33" t="str">
        <f t="shared" si="1036"/>
        <v/>
      </c>
      <c r="E3558" s="33" t="str">
        <f t="shared" si="1051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1050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1052"/>
        <v/>
      </c>
      <c r="Z3558" s="18" t="str">
        <f t="shared" si="1037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38"/>
        <v>21241742.157380536</v>
      </c>
      <c r="AJ3558" s="27">
        <f t="shared" si="1039"/>
        <v>2987081.1613773629</v>
      </c>
      <c r="AK3558" s="28">
        <f t="shared" si="1044"/>
        <v>0.14062317201884914</v>
      </c>
      <c r="AL3558" s="24"/>
      <c r="AM3558" s="24"/>
      <c r="AN3558" s="24"/>
      <c r="AO3558" s="24"/>
      <c r="AP3558" s="95" t="str">
        <f t="shared" si="1045"/>
        <v>20243</v>
      </c>
      <c r="AQ3558" s="203" t="str">
        <f t="shared" si="1046"/>
        <v/>
      </c>
      <c r="AR3558" s="206" t="str">
        <f t="shared" si="1047"/>
        <v>C66 SERVICE</v>
      </c>
      <c r="AS3558" s="22" t="str">
        <f t="shared" si="1048"/>
        <v/>
      </c>
      <c r="AT3558" s="24" t="str">
        <f t="shared" si="1049"/>
        <v/>
      </c>
      <c r="AU3558" s="22">
        <v>0</v>
      </c>
    </row>
    <row r="3559" spans="1:47" ht="39.6">
      <c r="A3559" s="33" t="str">
        <f t="shared" si="1040"/>
        <v/>
      </c>
      <c r="B3559" s="23"/>
      <c r="C3559" s="23"/>
      <c r="D3559" s="33" t="str">
        <f t="shared" si="1036"/>
        <v/>
      </c>
      <c r="E3559" s="33" t="str">
        <f t="shared" si="1051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1050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1052"/>
        <v/>
      </c>
      <c r="Z3559" s="18" t="str">
        <f t="shared" si="1037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38"/>
        <v>21241742.157380536</v>
      </c>
      <c r="AJ3559" s="27">
        <f t="shared" si="1039"/>
        <v>2987081.1613773629</v>
      </c>
      <c r="AK3559" s="28">
        <f t="shared" si="1044"/>
        <v>0.14062317201884914</v>
      </c>
      <c r="AL3559" s="24"/>
      <c r="AM3559" s="24"/>
      <c r="AN3559" s="24"/>
      <c r="AO3559" s="24"/>
      <c r="AP3559" s="95" t="str">
        <f t="shared" si="1045"/>
        <v>20243</v>
      </c>
      <c r="AQ3559" s="203" t="str">
        <f t="shared" si="1046"/>
        <v/>
      </c>
      <c r="AR3559" s="206" t="str">
        <f t="shared" si="1047"/>
        <v>C66 SERVICE</v>
      </c>
      <c r="AS3559" s="22" t="str">
        <f t="shared" si="1048"/>
        <v/>
      </c>
      <c r="AT3559" s="24" t="str">
        <f t="shared" si="1049"/>
        <v/>
      </c>
      <c r="AU3559" s="22">
        <v>0</v>
      </c>
    </row>
    <row r="3560" spans="1:47" ht="39.6">
      <c r="A3560" s="33" t="str">
        <f t="shared" si="1040"/>
        <v/>
      </c>
      <c r="B3560" s="23"/>
      <c r="C3560" s="23"/>
      <c r="D3560" s="33" t="str">
        <f t="shared" si="1036"/>
        <v/>
      </c>
      <c r="E3560" s="33" t="str">
        <f t="shared" si="1051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1050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1052"/>
        <v/>
      </c>
      <c r="Z3560" s="18" t="str">
        <f t="shared" si="1037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38"/>
        <v>21241742.157380536</v>
      </c>
      <c r="AJ3560" s="27">
        <f t="shared" si="1039"/>
        <v>2987081.1613773629</v>
      </c>
      <c r="AK3560" s="28">
        <f t="shared" si="1044"/>
        <v>0.14062317201884914</v>
      </c>
      <c r="AL3560" s="24"/>
      <c r="AM3560" s="24"/>
      <c r="AN3560" s="24"/>
      <c r="AO3560" s="24"/>
      <c r="AP3560" s="95" t="str">
        <f t="shared" si="1045"/>
        <v>20243</v>
      </c>
      <c r="AQ3560" s="203" t="str">
        <f t="shared" si="1046"/>
        <v/>
      </c>
      <c r="AR3560" s="206" t="str">
        <f t="shared" si="1047"/>
        <v>C66 SERVICE</v>
      </c>
      <c r="AS3560" s="22" t="str">
        <f t="shared" si="1048"/>
        <v/>
      </c>
      <c r="AT3560" s="24" t="str">
        <f t="shared" si="1049"/>
        <v/>
      </c>
      <c r="AU3560" s="22">
        <v>0</v>
      </c>
    </row>
    <row r="3561" spans="1:47" ht="39.6">
      <c r="A3561" s="33" t="str">
        <f t="shared" si="1040"/>
        <v/>
      </c>
      <c r="B3561" s="23"/>
      <c r="C3561" s="23"/>
      <c r="D3561" s="33" t="str">
        <f t="shared" si="1036"/>
        <v/>
      </c>
      <c r="E3561" s="33" t="str">
        <f t="shared" si="1051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1050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1052"/>
        <v/>
      </c>
      <c r="Z3561" s="18" t="str">
        <f t="shared" si="1037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38"/>
        <v>21241742.157380536</v>
      </c>
      <c r="AJ3561" s="27">
        <f t="shared" si="1039"/>
        <v>2987081.1613773629</v>
      </c>
      <c r="AK3561" s="28">
        <f t="shared" si="1044"/>
        <v>0.14062317201884914</v>
      </c>
      <c r="AL3561" s="24"/>
      <c r="AM3561" s="24"/>
      <c r="AN3561" s="24"/>
      <c r="AO3561" s="24"/>
      <c r="AP3561" s="95" t="str">
        <f t="shared" si="1045"/>
        <v>20243</v>
      </c>
      <c r="AQ3561" s="203" t="str">
        <f t="shared" si="1046"/>
        <v/>
      </c>
      <c r="AR3561" s="206" t="str">
        <f t="shared" si="1047"/>
        <v>C66 SERVICE</v>
      </c>
      <c r="AS3561" s="22" t="str">
        <f t="shared" si="1048"/>
        <v/>
      </c>
      <c r="AT3561" s="24" t="str">
        <f t="shared" si="1049"/>
        <v/>
      </c>
      <c r="AU3561" s="22">
        <v>0</v>
      </c>
    </row>
    <row r="3562" spans="1:47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6"/>
        <v>Q2</v>
      </c>
      <c r="E3562" s="33" t="str">
        <f t="shared" si="1051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3537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1050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1052"/>
        <v>1.13</v>
      </c>
      <c r="Z3562" s="196">
        <f t="shared" si="1037"/>
        <v>358000</v>
      </c>
      <c r="AA3562" s="22">
        <v>1.08</v>
      </c>
      <c r="AB3562" s="197">
        <f t="shared" ref="AB3562:AB3568" si="1053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38"/>
        <v>25354039.366920356</v>
      </c>
      <c r="AJ3562" s="200">
        <f t="shared" si="1039"/>
        <v>3028631.2816309328</v>
      </c>
      <c r="AK3562" s="201">
        <f t="shared" si="1044"/>
        <v>0.11945360018579192</v>
      </c>
      <c r="AL3562" s="24"/>
      <c r="AM3562" s="24"/>
      <c r="AN3562" s="24"/>
      <c r="AO3562" s="24"/>
      <c r="AP3562" s="165" t="str">
        <f t="shared" si="1045"/>
        <v>20248</v>
      </c>
      <c r="AQ3562" s="203" t="str">
        <f t="shared" si="1046"/>
        <v>20248RMB</v>
      </c>
      <c r="AR3562" s="206" t="str">
        <f t="shared" si="1047"/>
        <v>YAMAHA_Non_Mounter</v>
      </c>
      <c r="AS3562" s="22">
        <f t="shared" si="1048"/>
        <v>1</v>
      </c>
      <c r="AT3562" s="24" t="str">
        <f t="shared" si="1049"/>
        <v>0-3 months</v>
      </c>
      <c r="AU3562" s="22" t="s">
        <v>3240</v>
      </c>
    </row>
    <row r="3563" spans="1:47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6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3538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1050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1052"/>
        <v>1.13</v>
      </c>
      <c r="Z3563" s="196">
        <f t="shared" si="1037"/>
        <v>750000</v>
      </c>
      <c r="AA3563" s="22">
        <v>1.08</v>
      </c>
      <c r="AB3563" s="197">
        <f t="shared" si="1053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38"/>
        <v>25354039.366920356</v>
      </c>
      <c r="AJ3563" s="200">
        <f t="shared" si="1039"/>
        <v>3028631.2816309328</v>
      </c>
      <c r="AK3563" s="201">
        <f t="shared" si="1044"/>
        <v>0.11945360018579192</v>
      </c>
      <c r="AL3563" s="24"/>
      <c r="AM3563" s="24"/>
      <c r="AN3563" s="24"/>
      <c r="AO3563" s="24"/>
      <c r="AP3563" s="165" t="str">
        <f t="shared" si="1045"/>
        <v>20248</v>
      </c>
      <c r="AQ3563" s="203" t="str">
        <f t="shared" si="1046"/>
        <v>20248RMB</v>
      </c>
      <c r="AR3563" s="206" t="str">
        <f t="shared" si="1047"/>
        <v>YAMAHA_Mounter</v>
      </c>
      <c r="AS3563" s="22">
        <f t="shared" si="1048"/>
        <v>1</v>
      </c>
      <c r="AT3563" s="24" t="str">
        <f t="shared" si="1049"/>
        <v>0-3 months</v>
      </c>
      <c r="AU3563" s="22" t="s">
        <v>3240</v>
      </c>
    </row>
    <row r="3564" spans="1:47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6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3538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1050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1052"/>
        <v>1.13</v>
      </c>
      <c r="Z3564" s="196">
        <f t="shared" si="1037"/>
        <v>750000</v>
      </c>
      <c r="AA3564" s="22">
        <v>1.08</v>
      </c>
      <c r="AB3564" s="197">
        <f t="shared" si="1053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38"/>
        <v>25354039.366920356</v>
      </c>
      <c r="AJ3564" s="200">
        <f t="shared" si="1039"/>
        <v>3028631.2816309328</v>
      </c>
      <c r="AK3564" s="201">
        <f t="shared" si="1044"/>
        <v>0.11945360018579192</v>
      </c>
      <c r="AL3564" s="24"/>
      <c r="AM3564" s="24"/>
      <c r="AN3564" s="24"/>
      <c r="AO3564" s="24"/>
      <c r="AP3564" s="165" t="str">
        <f t="shared" si="1045"/>
        <v>20248</v>
      </c>
      <c r="AQ3564" s="203" t="str">
        <f t="shared" si="1046"/>
        <v>20248RMB</v>
      </c>
      <c r="AR3564" s="206" t="str">
        <f t="shared" si="1047"/>
        <v>YAMAHA_Mounter</v>
      </c>
      <c r="AS3564" s="22">
        <f t="shared" si="1048"/>
        <v>1</v>
      </c>
      <c r="AT3564" s="24" t="str">
        <f t="shared" si="1049"/>
        <v>0-3 months</v>
      </c>
      <c r="AU3564" s="22" t="s">
        <v>3240</v>
      </c>
    </row>
    <row r="3565" spans="1:47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6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3538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1050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1052"/>
        <v>1.13</v>
      </c>
      <c r="Z3565" s="196">
        <f t="shared" si="1037"/>
        <v>590000</v>
      </c>
      <c r="AA3565" s="22">
        <v>1.08</v>
      </c>
      <c r="AB3565" s="197">
        <f t="shared" si="1053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38"/>
        <v>25354039.366920356</v>
      </c>
      <c r="AJ3565" s="200">
        <f t="shared" si="1039"/>
        <v>3028631.2816309328</v>
      </c>
      <c r="AK3565" s="201">
        <f t="shared" si="1044"/>
        <v>0.11945360018579192</v>
      </c>
      <c r="AL3565" s="24"/>
      <c r="AM3565" s="24"/>
      <c r="AN3565" s="24"/>
      <c r="AO3565" s="24"/>
      <c r="AP3565" s="165" t="str">
        <f t="shared" si="1045"/>
        <v>20248</v>
      </c>
      <c r="AQ3565" s="203" t="str">
        <f t="shared" si="1046"/>
        <v>20248RMB</v>
      </c>
      <c r="AR3565" s="206" t="str">
        <f t="shared" si="1047"/>
        <v>YAMAHA_Mounter</v>
      </c>
      <c r="AS3565" s="22">
        <f t="shared" si="1048"/>
        <v>1</v>
      </c>
      <c r="AT3565" s="24" t="str">
        <f t="shared" si="1049"/>
        <v>0-3 months</v>
      </c>
      <c r="AU3565" s="22" t="s">
        <v>3240</v>
      </c>
    </row>
    <row r="3566" spans="1:47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6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1050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1052"/>
        <v>1.13</v>
      </c>
      <c r="Z3566" s="18">
        <f t="shared" si="1037"/>
        <v>50000.06</v>
      </c>
      <c r="AA3566" s="22">
        <v>1.0640000000000001</v>
      </c>
      <c r="AB3566" s="21">
        <f t="shared" si="1053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38"/>
        <v>21241742.157380536</v>
      </c>
      <c r="AJ3566" s="27">
        <f t="shared" si="1039"/>
        <v>2987081.1613773629</v>
      </c>
      <c r="AK3566" s="28">
        <f t="shared" si="1044"/>
        <v>0.14062317201884914</v>
      </c>
      <c r="AL3566" s="24"/>
      <c r="AM3566" s="24"/>
      <c r="AN3566" s="24"/>
      <c r="AO3566" s="24"/>
      <c r="AP3566" s="95" t="str">
        <f t="shared" si="1045"/>
        <v>20243</v>
      </c>
      <c r="AQ3566" s="203" t="str">
        <f t="shared" si="1046"/>
        <v>20243RMB</v>
      </c>
      <c r="AR3566" s="206" t="str">
        <f t="shared" si="1047"/>
        <v>YAMAHA_Mounter</v>
      </c>
      <c r="AS3566" s="22">
        <f t="shared" si="1048"/>
        <v>0</v>
      </c>
      <c r="AT3566" s="24" t="str">
        <f t="shared" si="1049"/>
        <v>0-3 months</v>
      </c>
      <c r="AU3566" s="22" t="s">
        <v>3240</v>
      </c>
    </row>
    <row r="3567" spans="1:47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6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1050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1052"/>
        <v>1.13</v>
      </c>
      <c r="Z3567" s="18">
        <f t="shared" si="1037"/>
        <v>471782</v>
      </c>
      <c r="AA3567" s="22">
        <v>1.1080000000000001</v>
      </c>
      <c r="AB3567" s="21">
        <f t="shared" si="1053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38"/>
        <v>22758096.38940867</v>
      </c>
      <c r="AJ3567" s="27">
        <f t="shared" si="1039"/>
        <v>2469357.2298956565</v>
      </c>
      <c r="AK3567" s="28">
        <f t="shared" si="1044"/>
        <v>0.10850455976822666</v>
      </c>
      <c r="AL3567" s="24"/>
      <c r="AM3567" s="24"/>
      <c r="AN3567" s="24"/>
      <c r="AO3567" s="24"/>
      <c r="AP3567" s="95" t="str">
        <f t="shared" si="1045"/>
        <v>202410</v>
      </c>
      <c r="AQ3567" s="203" t="str">
        <f t="shared" si="1046"/>
        <v>202410RMB</v>
      </c>
      <c r="AR3567" s="206" t="str">
        <f t="shared" si="1047"/>
        <v>YAMAHA_Mounter</v>
      </c>
      <c r="AS3567" s="22">
        <f t="shared" si="1048"/>
        <v>6</v>
      </c>
      <c r="AT3567" s="24" t="str">
        <f t="shared" si="1049"/>
        <v>4-6 months</v>
      </c>
      <c r="AU3567" s="22" t="s">
        <v>3240</v>
      </c>
    </row>
    <row r="3568" spans="1:47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6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3538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1050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1052"/>
        <v>1.13</v>
      </c>
      <c r="Z3568" s="196">
        <f t="shared" si="1037"/>
        <v>485000</v>
      </c>
      <c r="AA3568" s="22">
        <v>1.08</v>
      </c>
      <c r="AB3568" s="197">
        <f t="shared" si="1053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38"/>
        <v>25354039.366920356</v>
      </c>
      <c r="AJ3568" s="200">
        <f t="shared" si="1039"/>
        <v>3028631.2816309328</v>
      </c>
      <c r="AK3568" s="201">
        <f t="shared" si="1044"/>
        <v>0.11945360018579192</v>
      </c>
      <c r="AL3568" s="24"/>
      <c r="AM3568" s="24"/>
      <c r="AN3568" s="24"/>
      <c r="AO3568" s="24"/>
      <c r="AP3568" s="165" t="str">
        <f t="shared" si="1045"/>
        <v>20248</v>
      </c>
      <c r="AQ3568" s="203" t="str">
        <f t="shared" si="1046"/>
        <v>20248RMB</v>
      </c>
      <c r="AR3568" s="206" t="str">
        <f t="shared" si="1047"/>
        <v>YAMAHA_Non_Mounter</v>
      </c>
      <c r="AS3568" s="22">
        <f t="shared" si="1048"/>
        <v>1</v>
      </c>
      <c r="AT3568" s="24" t="str">
        <f t="shared" si="1049"/>
        <v>0-3 months</v>
      </c>
      <c r="AU3568" s="22" t="s">
        <v>3240</v>
      </c>
    </row>
    <row r="3569" spans="1:47" ht="39.6">
      <c r="A3569" s="33" t="str">
        <f t="shared" si="1040"/>
        <v/>
      </c>
      <c r="B3569" s="23"/>
      <c r="C3569" s="23"/>
      <c r="D3569" s="202" t="str">
        <f t="shared" si="1036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1050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1052"/>
        <v/>
      </c>
      <c r="Z3569" s="196" t="str">
        <f t="shared" si="1037"/>
        <v/>
      </c>
      <c r="AA3569" s="22"/>
      <c r="AB3569" s="197">
        <v>0</v>
      </c>
      <c r="AC3569" s="198">
        <f t="shared" si="1042"/>
        <v>0</v>
      </c>
      <c r="AD3569" s="22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38"/>
        <v>25354039.366920356</v>
      </c>
      <c r="AJ3569" s="200">
        <f t="shared" si="1039"/>
        <v>3028631.2816309328</v>
      </c>
      <c r="AK3569" s="201">
        <f t="shared" si="1044"/>
        <v>0.11945360018579192</v>
      </c>
      <c r="AL3569" s="24"/>
      <c r="AM3569" s="24"/>
      <c r="AN3569" s="24"/>
      <c r="AO3569" s="24"/>
      <c r="AP3569" s="165" t="str">
        <f t="shared" si="1045"/>
        <v>20248</v>
      </c>
      <c r="AQ3569" s="203" t="str">
        <f t="shared" si="1046"/>
        <v/>
      </c>
      <c r="AR3569" s="206" t="str">
        <f t="shared" si="1047"/>
        <v>C66 SERVICE</v>
      </c>
      <c r="AS3569" s="22" t="str">
        <f t="shared" si="1048"/>
        <v/>
      </c>
      <c r="AT3569" s="24" t="str">
        <f t="shared" si="1049"/>
        <v/>
      </c>
      <c r="AU3569" s="22">
        <v>0</v>
      </c>
    </row>
    <row r="3570" spans="1:47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4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5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1050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1056">IF(X3570="","",X3570*MAX(O3570,N3570))</f>
        <v>1470000</v>
      </c>
      <c r="AA3570" s="22">
        <v>1.0640000000000001</v>
      </c>
      <c r="AB3570" s="21">
        <f t="shared" ref="AB3570:AB3577" si="1057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38"/>
        <v>16190947.162761064</v>
      </c>
      <c r="AJ3570" s="19">
        <f t="shared" si="1039"/>
        <v>2256328.1660673413</v>
      </c>
      <c r="AK3570" s="20">
        <f t="shared" si="1044"/>
        <v>0.13935739171929745</v>
      </c>
      <c r="AL3570" s="17"/>
      <c r="AM3570" s="17"/>
      <c r="AN3570" s="17"/>
      <c r="AO3570" s="17"/>
      <c r="AP3570" s="95" t="str">
        <f t="shared" si="1045"/>
        <v>20251</v>
      </c>
      <c r="AQ3570" s="203" t="str">
        <f t="shared" si="1046"/>
        <v>20251RMB</v>
      </c>
      <c r="AR3570" s="206" t="str">
        <f t="shared" si="1047"/>
        <v>YAMAHA_Mounter</v>
      </c>
      <c r="AS3570" s="22">
        <f t="shared" si="1048"/>
        <v>18</v>
      </c>
      <c r="AT3570" s="24" t="str">
        <f t="shared" si="1049"/>
        <v>&gt; 6 months</v>
      </c>
      <c r="AU3570" s="22" t="s">
        <v>3240</v>
      </c>
    </row>
    <row r="3571" spans="1:47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4"/>
        <v>Q2</v>
      </c>
      <c r="E3571" s="33" t="str">
        <f t="shared" si="1055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1050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1056"/>
        <v>956500</v>
      </c>
      <c r="AA3571" s="22">
        <v>1.0640000000000001</v>
      </c>
      <c r="AB3571" s="21">
        <f t="shared" si="1057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38"/>
        <v>16190947.162761064</v>
      </c>
      <c r="AJ3571" s="19">
        <f t="shared" si="1039"/>
        <v>2256328.1660673413</v>
      </c>
      <c r="AK3571" s="20">
        <f t="shared" si="1044"/>
        <v>0.13935739171929745</v>
      </c>
      <c r="AL3571" s="17"/>
      <c r="AM3571" s="17"/>
      <c r="AN3571" s="17"/>
      <c r="AO3571" s="17"/>
      <c r="AP3571" s="95" t="str">
        <f t="shared" si="1045"/>
        <v>20251</v>
      </c>
      <c r="AQ3571" s="203" t="str">
        <f t="shared" si="1046"/>
        <v>20251RMB</v>
      </c>
      <c r="AR3571" s="206" t="str">
        <f t="shared" si="1047"/>
        <v>YAMAHA_Mounter</v>
      </c>
      <c r="AS3571" s="22">
        <f t="shared" si="1048"/>
        <v>18</v>
      </c>
      <c r="AT3571" s="24" t="str">
        <f t="shared" si="1049"/>
        <v>&gt; 6 months</v>
      </c>
      <c r="AU3571" s="22" t="s">
        <v>3240</v>
      </c>
    </row>
    <row r="3572" spans="1:47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4"/>
        <v>Q4</v>
      </c>
      <c r="E3572" s="33" t="str">
        <f t="shared" si="1055"/>
        <v>Cancel</v>
      </c>
      <c r="F3572" s="152" t="s">
        <v>185</v>
      </c>
      <c r="G3572" s="23" t="s">
        <v>185</v>
      </c>
      <c r="H3572" s="29"/>
      <c r="I3572" s="93" t="str">
        <f t="shared" si="1041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1050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1058">IF(W3572="","",IF(W3572="RMB","1.13", "1"))</f>
        <v>1</v>
      </c>
      <c r="Z3572" s="18">
        <f t="shared" si="1056"/>
        <v>12700000</v>
      </c>
      <c r="AA3572" s="13">
        <v>5.1799999999999999E-2</v>
      </c>
      <c r="AB3572" s="21">
        <f t="shared" si="1057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38"/>
        <v>499582152.5142017</v>
      </c>
      <c r="AJ3572" s="27">
        <f t="shared" si="1039"/>
        <v>59520528.679470733</v>
      </c>
      <c r="AK3572" s="28">
        <f t="shared" si="1044"/>
        <v>0.11914062257814291</v>
      </c>
      <c r="AL3572" s="24"/>
      <c r="AM3572" s="24"/>
      <c r="AN3572" s="24"/>
      <c r="AO3572" s="24"/>
      <c r="AP3572" s="95" t="str">
        <f t="shared" si="1045"/>
        <v>CancelCancel</v>
      </c>
      <c r="AQ3572" s="203" t="str">
        <f t="shared" si="1046"/>
        <v>CancelCancelJPY</v>
      </c>
      <c r="AR3572" s="206" t="str">
        <f t="shared" si="1047"/>
        <v>YAMAHA_Mounter</v>
      </c>
      <c r="AS3572" s="22" t="str">
        <f t="shared" si="1048"/>
        <v/>
      </c>
      <c r="AT3572" s="24" t="str">
        <f t="shared" si="1049"/>
        <v/>
      </c>
      <c r="AU3572" s="22" t="s">
        <v>3745</v>
      </c>
    </row>
    <row r="3573" spans="1:47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4"/>
        <v>Q4</v>
      </c>
      <c r="E3573" s="33" t="str">
        <f t="shared" si="1055"/>
        <v>Cancel</v>
      </c>
      <c r="F3573" s="152" t="s">
        <v>185</v>
      </c>
      <c r="G3573" s="23" t="s">
        <v>185</v>
      </c>
      <c r="H3573" s="29"/>
      <c r="I3573" s="93" t="str">
        <f t="shared" si="1041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1050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1058"/>
        <v>1</v>
      </c>
      <c r="Z3573" s="18">
        <f t="shared" si="1056"/>
        <v>12700000</v>
      </c>
      <c r="AA3573" s="13">
        <v>5.1799999999999999E-2</v>
      </c>
      <c r="AB3573" s="21">
        <f t="shared" si="1057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38"/>
        <v>499582152.5142017</v>
      </c>
      <c r="AJ3573" s="27">
        <f t="shared" si="1039"/>
        <v>59520528.679470733</v>
      </c>
      <c r="AK3573" s="28">
        <f t="shared" si="1044"/>
        <v>0.11914062257814291</v>
      </c>
      <c r="AL3573" s="24"/>
      <c r="AM3573" s="24"/>
      <c r="AN3573" s="24"/>
      <c r="AO3573" s="24"/>
      <c r="AP3573" s="95" t="str">
        <f t="shared" si="1045"/>
        <v>CancelCancel</v>
      </c>
      <c r="AQ3573" s="203" t="str">
        <f t="shared" si="1046"/>
        <v>CancelCancelJPY</v>
      </c>
      <c r="AR3573" s="206" t="str">
        <f t="shared" si="1047"/>
        <v>YAMAHA_Mounter</v>
      </c>
      <c r="AS3573" s="22" t="str">
        <f t="shared" si="1048"/>
        <v/>
      </c>
      <c r="AT3573" s="24" t="str">
        <f t="shared" si="1049"/>
        <v/>
      </c>
      <c r="AU3573" s="22" t="s">
        <v>3745</v>
      </c>
    </row>
    <row r="3574" spans="1:47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4"/>
        <v>Q4</v>
      </c>
      <c r="E3574" s="33" t="str">
        <f t="shared" si="1055"/>
        <v>Cancel</v>
      </c>
      <c r="F3574" s="152" t="s">
        <v>185</v>
      </c>
      <c r="G3574" s="23" t="s">
        <v>185</v>
      </c>
      <c r="H3574" s="29"/>
      <c r="I3574" s="93" t="str">
        <f t="shared" si="1041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1050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1058"/>
        <v>1</v>
      </c>
      <c r="Z3574" s="18">
        <f t="shared" si="1056"/>
        <v>8000000</v>
      </c>
      <c r="AA3574" s="13">
        <v>5.1799999999999999E-2</v>
      </c>
      <c r="AB3574" s="21">
        <f t="shared" si="1057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38"/>
        <v>499582152.5142017</v>
      </c>
      <c r="AJ3574" s="27">
        <f t="shared" si="1039"/>
        <v>59520528.679470733</v>
      </c>
      <c r="AK3574" s="28">
        <f t="shared" si="1044"/>
        <v>0.11914062257814291</v>
      </c>
      <c r="AL3574" s="24"/>
      <c r="AM3574" s="24"/>
      <c r="AN3574" s="24"/>
      <c r="AO3574" s="24"/>
      <c r="AP3574" s="95" t="str">
        <f t="shared" si="1045"/>
        <v>CancelCancel</v>
      </c>
      <c r="AQ3574" s="203" t="str">
        <f t="shared" si="1046"/>
        <v>CancelCancelJPY</v>
      </c>
      <c r="AR3574" s="206" t="str">
        <f t="shared" si="1047"/>
        <v>YAMAHA_Mounter</v>
      </c>
      <c r="AS3574" s="22" t="str">
        <f t="shared" si="1048"/>
        <v/>
      </c>
      <c r="AT3574" s="24" t="str">
        <f t="shared" si="1049"/>
        <v/>
      </c>
      <c r="AU3574" s="22" t="s">
        <v>3745</v>
      </c>
    </row>
    <row r="3575" spans="1:47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4"/>
        <v>Q4</v>
      </c>
      <c r="E3575" s="33" t="str">
        <f t="shared" si="1055"/>
        <v>Cancel</v>
      </c>
      <c r="F3575" s="152" t="s">
        <v>185</v>
      </c>
      <c r="G3575" s="23" t="s">
        <v>185</v>
      </c>
      <c r="H3575" s="29"/>
      <c r="I3575" s="93" t="str">
        <f t="shared" si="1041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1050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1058"/>
        <v>1</v>
      </c>
      <c r="Z3575" s="18">
        <f t="shared" si="1056"/>
        <v>8000000</v>
      </c>
      <c r="AA3575" s="13">
        <v>5.1799999999999999E-2</v>
      </c>
      <c r="AB3575" s="21">
        <f t="shared" si="1057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38"/>
        <v>499582152.5142017</v>
      </c>
      <c r="AJ3575" s="27">
        <f t="shared" si="1039"/>
        <v>59520528.679470733</v>
      </c>
      <c r="AK3575" s="28">
        <f t="shared" si="1044"/>
        <v>0.11914062257814291</v>
      </c>
      <c r="AL3575" s="24"/>
      <c r="AM3575" s="24"/>
      <c r="AN3575" s="24"/>
      <c r="AO3575" s="24"/>
      <c r="AP3575" s="95" t="str">
        <f t="shared" si="1045"/>
        <v>CancelCancel</v>
      </c>
      <c r="AQ3575" s="203" t="str">
        <f t="shared" si="1046"/>
        <v>CancelCancelJPY</v>
      </c>
      <c r="AR3575" s="206" t="str">
        <f t="shared" si="1047"/>
        <v>YAMAHA_Mounter</v>
      </c>
      <c r="AS3575" s="22" t="str">
        <f t="shared" si="1048"/>
        <v/>
      </c>
      <c r="AT3575" s="24" t="str">
        <f t="shared" si="1049"/>
        <v/>
      </c>
      <c r="AU3575" s="22" t="s">
        <v>3745</v>
      </c>
    </row>
    <row r="3576" spans="1:47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4"/>
        <v>Q1</v>
      </c>
      <c r="E3576" s="33" t="str">
        <f t="shared" si="1055"/>
        <v>Cancel</v>
      </c>
      <c r="F3576" s="23" t="s">
        <v>185</v>
      </c>
      <c r="G3576" s="152" t="s">
        <v>185</v>
      </c>
      <c r="H3576" s="29"/>
      <c r="I3576" s="93" t="str">
        <f t="shared" si="1041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1050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1058"/>
        <v>1</v>
      </c>
      <c r="Z3576" s="196">
        <f t="shared" si="1056"/>
        <v>11900000</v>
      </c>
      <c r="AA3576" s="22">
        <v>5.1799999999999999E-2</v>
      </c>
      <c r="AB3576" s="197">
        <f t="shared" si="1057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38"/>
        <v>499582152.5142017</v>
      </c>
      <c r="AJ3576" s="200">
        <f t="shared" si="1039"/>
        <v>59520528.679470733</v>
      </c>
      <c r="AK3576" s="201">
        <f t="shared" si="1044"/>
        <v>0.11914062257814291</v>
      </c>
      <c r="AL3576" s="24"/>
      <c r="AM3576" s="24"/>
      <c r="AN3576" s="24"/>
      <c r="AO3576" s="24"/>
      <c r="AP3576" s="95" t="str">
        <f t="shared" si="1045"/>
        <v>CancelCancel</v>
      </c>
      <c r="AQ3576" s="203" t="str">
        <f t="shared" si="1046"/>
        <v>CancelCancelJPY</v>
      </c>
      <c r="AR3576" s="206" t="str">
        <f t="shared" si="1047"/>
        <v>YAMAHA_Mounter</v>
      </c>
      <c r="AS3576" s="22" t="str">
        <f t="shared" si="1048"/>
        <v/>
      </c>
      <c r="AT3576" s="24" t="str">
        <f t="shared" si="1049"/>
        <v/>
      </c>
      <c r="AU3576" s="22" t="s">
        <v>3744</v>
      </c>
    </row>
    <row r="3577" spans="1:47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4"/>
        <v>Q1</v>
      </c>
      <c r="E3577" s="33" t="str">
        <f t="shared" si="1055"/>
        <v>Cancel</v>
      </c>
      <c r="F3577" s="23" t="s">
        <v>185</v>
      </c>
      <c r="G3577" s="152" t="s">
        <v>185</v>
      </c>
      <c r="H3577" s="29"/>
      <c r="I3577" s="204" t="str">
        <f t="shared" si="1041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1050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1058"/>
        <v>1</v>
      </c>
      <c r="Z3577" s="196">
        <f t="shared" si="1056"/>
        <v>7000000</v>
      </c>
      <c r="AA3577" s="22">
        <v>5.1799999999999999E-2</v>
      </c>
      <c r="AB3577" s="197">
        <f t="shared" si="1057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38"/>
        <v>499582152.5142017</v>
      </c>
      <c r="AJ3577" s="200">
        <f t="shared" si="1039"/>
        <v>59520528.679470733</v>
      </c>
      <c r="AK3577" s="201">
        <f t="shared" si="1044"/>
        <v>0.11914062257814291</v>
      </c>
      <c r="AL3577" s="22"/>
      <c r="AM3577" s="22"/>
      <c r="AN3577" s="22"/>
      <c r="AO3577" s="22"/>
      <c r="AP3577" s="95" t="str">
        <f t="shared" si="1045"/>
        <v>CancelCancel</v>
      </c>
      <c r="AQ3577" s="203" t="str">
        <f t="shared" si="1046"/>
        <v>CancelCancelJPY</v>
      </c>
      <c r="AR3577" s="206" t="str">
        <f t="shared" si="1047"/>
        <v>YAMAHA_Mounter</v>
      </c>
      <c r="AS3577" s="22" t="str">
        <f t="shared" si="1048"/>
        <v/>
      </c>
      <c r="AT3577" s="24" t="str">
        <f t="shared" si="1049"/>
        <v/>
      </c>
      <c r="AU3577" s="22" t="s">
        <v>3744</v>
      </c>
    </row>
    <row r="3578" spans="1:47" ht="39.6">
      <c r="A3578" s="33" t="str">
        <f t="shared" si="1040"/>
        <v/>
      </c>
      <c r="B3578" s="23"/>
      <c r="C3578" s="23"/>
      <c r="D3578" s="202" t="str">
        <f t="shared" si="1054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1050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1058"/>
        <v/>
      </c>
      <c r="Z3578" s="196" t="str">
        <f t="shared" si="1056"/>
        <v/>
      </c>
      <c r="AA3578" s="22"/>
      <c r="AB3578" s="197">
        <v>128000</v>
      </c>
      <c r="AC3578" s="198">
        <f t="shared" si="1042"/>
        <v>38400</v>
      </c>
      <c r="AD3578" s="22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38"/>
        <v>25354039.366920356</v>
      </c>
      <c r="AJ3578" s="200">
        <f t="shared" si="1039"/>
        <v>3028631.2816309328</v>
      </c>
      <c r="AK3578" s="201">
        <f t="shared" si="1044"/>
        <v>0.11945360018579192</v>
      </c>
      <c r="AL3578" s="24"/>
      <c r="AM3578" s="24"/>
      <c r="AN3578" s="24"/>
      <c r="AO3578" s="24"/>
      <c r="AP3578" s="165" t="str">
        <f t="shared" si="1045"/>
        <v>20248</v>
      </c>
      <c r="AQ3578" s="203" t="str">
        <f t="shared" si="1046"/>
        <v/>
      </c>
      <c r="AR3578" s="206" t="str">
        <f t="shared" si="1047"/>
        <v>C66 SERVICE</v>
      </c>
      <c r="AS3578" s="22" t="str">
        <f t="shared" si="1048"/>
        <v/>
      </c>
      <c r="AT3578" s="24" t="str">
        <f t="shared" si="1049"/>
        <v/>
      </c>
      <c r="AU3578" s="22">
        <v>0</v>
      </c>
    </row>
    <row r="3579" spans="1:47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4"/>
        <v>Q1</v>
      </c>
      <c r="E3579" s="33" t="str">
        <f t="shared" ref="E3579:E3584" si="1059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1041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1050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1058"/>
        <v>1</v>
      </c>
      <c r="Z3579" s="18">
        <f t="shared" si="1056"/>
        <v>12000000</v>
      </c>
      <c r="AA3579" s="22">
        <v>5.1799999999999999E-2</v>
      </c>
      <c r="AB3579" s="21">
        <f t="shared" ref="AB3579:AB3590" si="1060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38"/>
        <v>499582152.5142017</v>
      </c>
      <c r="AJ3579" s="27">
        <f t="shared" si="1039"/>
        <v>59520528.679470733</v>
      </c>
      <c r="AK3579" s="28">
        <f t="shared" si="1044"/>
        <v>0.11914062257814291</v>
      </c>
      <c r="AL3579" s="24"/>
      <c r="AM3579" s="24"/>
      <c r="AN3579" s="24"/>
      <c r="AO3579" s="24"/>
      <c r="AP3579" s="95" t="str">
        <f t="shared" si="1045"/>
        <v>CancelCancel</v>
      </c>
      <c r="AQ3579" s="203" t="str">
        <f t="shared" si="1046"/>
        <v>CancelCancelJPY</v>
      </c>
      <c r="AR3579" s="206" t="str">
        <f t="shared" si="1047"/>
        <v>YAMAHA_Mounter</v>
      </c>
      <c r="AS3579" s="22" t="str">
        <f t="shared" si="1048"/>
        <v/>
      </c>
      <c r="AT3579" s="24" t="str">
        <f t="shared" si="1049"/>
        <v/>
      </c>
      <c r="AU3579" s="22" t="s">
        <v>3744</v>
      </c>
    </row>
    <row r="3580" spans="1:47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4"/>
        <v>Q1</v>
      </c>
      <c r="E3580" s="33" t="str">
        <f t="shared" si="1059"/>
        <v>Cancel</v>
      </c>
      <c r="F3580" s="23" t="s">
        <v>185</v>
      </c>
      <c r="G3580" s="23" t="s">
        <v>185</v>
      </c>
      <c r="H3580" s="29"/>
      <c r="I3580" s="93" t="str">
        <f t="shared" si="1041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1050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1058"/>
        <v>1</v>
      </c>
      <c r="Z3580" s="18">
        <f t="shared" si="1056"/>
        <v>12000000</v>
      </c>
      <c r="AA3580" s="22">
        <v>5.1799999999999999E-2</v>
      </c>
      <c r="AB3580" s="21">
        <f t="shared" si="1060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38"/>
        <v>499582152.5142017</v>
      </c>
      <c r="AJ3580" s="27">
        <f t="shared" si="1039"/>
        <v>59520528.679470733</v>
      </c>
      <c r="AK3580" s="28">
        <f t="shared" si="1044"/>
        <v>0.11914062257814291</v>
      </c>
      <c r="AL3580" s="24"/>
      <c r="AM3580" s="24"/>
      <c r="AN3580" s="24"/>
      <c r="AO3580" s="24"/>
      <c r="AP3580" s="95" t="str">
        <f t="shared" si="1045"/>
        <v>CancelCancel</v>
      </c>
      <c r="AQ3580" s="203" t="str">
        <f t="shared" si="1046"/>
        <v>CancelCancelJPY</v>
      </c>
      <c r="AR3580" s="206" t="str">
        <f t="shared" si="1047"/>
        <v>YAMAHA_Mounter</v>
      </c>
      <c r="AS3580" s="22" t="str">
        <f t="shared" si="1048"/>
        <v/>
      </c>
      <c r="AT3580" s="24" t="str">
        <f t="shared" si="1049"/>
        <v/>
      </c>
      <c r="AU3580" s="22" t="s">
        <v>3744</v>
      </c>
    </row>
    <row r="3581" spans="1:47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4"/>
        <v>Q1</v>
      </c>
      <c r="E3581" s="33" t="str">
        <f t="shared" si="1059"/>
        <v>Cancel</v>
      </c>
      <c r="F3581" s="23" t="s">
        <v>185</v>
      </c>
      <c r="G3581" s="23" t="s">
        <v>185</v>
      </c>
      <c r="H3581" s="29"/>
      <c r="I3581" s="93" t="str">
        <f t="shared" si="1041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1050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1058"/>
        <v>1</v>
      </c>
      <c r="Z3581" s="18">
        <f t="shared" si="1056"/>
        <v>12000000</v>
      </c>
      <c r="AA3581" s="22">
        <v>5.1799999999999999E-2</v>
      </c>
      <c r="AB3581" s="21">
        <f t="shared" si="1060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38"/>
        <v>499582152.5142017</v>
      </c>
      <c r="AJ3581" s="27">
        <f t="shared" si="1039"/>
        <v>59520528.679470733</v>
      </c>
      <c r="AK3581" s="28">
        <f t="shared" si="1044"/>
        <v>0.11914062257814291</v>
      </c>
      <c r="AL3581" s="24"/>
      <c r="AM3581" s="24"/>
      <c r="AN3581" s="24"/>
      <c r="AO3581" s="24"/>
      <c r="AP3581" s="95" t="str">
        <f t="shared" si="1045"/>
        <v>CancelCancel</v>
      </c>
      <c r="AQ3581" s="203" t="str">
        <f t="shared" si="1046"/>
        <v>CancelCancelJPY</v>
      </c>
      <c r="AR3581" s="206" t="str">
        <f t="shared" si="1047"/>
        <v>YAMAHA_Mounter</v>
      </c>
      <c r="AS3581" s="22" t="str">
        <f t="shared" si="1048"/>
        <v/>
      </c>
      <c r="AT3581" s="24" t="str">
        <f t="shared" si="1049"/>
        <v/>
      </c>
      <c r="AU3581" s="22" t="s">
        <v>3744</v>
      </c>
    </row>
    <row r="3582" spans="1:47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4"/>
        <v>Q1</v>
      </c>
      <c r="E3582" s="33" t="str">
        <f t="shared" si="1059"/>
        <v>Cancel</v>
      </c>
      <c r="F3582" s="23" t="s">
        <v>185</v>
      </c>
      <c r="G3582" s="23" t="s">
        <v>185</v>
      </c>
      <c r="H3582" s="29"/>
      <c r="I3582" s="93" t="str">
        <f t="shared" si="1041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1050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1058"/>
        <v>1</v>
      </c>
      <c r="Z3582" s="18">
        <f t="shared" si="1056"/>
        <v>12000000</v>
      </c>
      <c r="AA3582" s="22">
        <v>5.1799999999999999E-2</v>
      </c>
      <c r="AB3582" s="21">
        <f t="shared" si="1060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38"/>
        <v>499582152.5142017</v>
      </c>
      <c r="AJ3582" s="27">
        <f t="shared" si="1039"/>
        <v>59520528.679470733</v>
      </c>
      <c r="AK3582" s="28">
        <f t="shared" si="1044"/>
        <v>0.11914062257814291</v>
      </c>
      <c r="AL3582" s="24"/>
      <c r="AM3582" s="24"/>
      <c r="AN3582" s="24"/>
      <c r="AO3582" s="24"/>
      <c r="AP3582" s="95" t="str">
        <f t="shared" si="1045"/>
        <v>CancelCancel</v>
      </c>
      <c r="AQ3582" s="203" t="str">
        <f t="shared" si="1046"/>
        <v>CancelCancelJPY</v>
      </c>
      <c r="AR3582" s="206" t="str">
        <f t="shared" si="1047"/>
        <v>YAMAHA_Mounter</v>
      </c>
      <c r="AS3582" s="22" t="str">
        <f t="shared" si="1048"/>
        <v/>
      </c>
      <c r="AT3582" s="24" t="str">
        <f t="shared" si="1049"/>
        <v/>
      </c>
      <c r="AU3582" s="22" t="s">
        <v>3744</v>
      </c>
    </row>
    <row r="3583" spans="1:47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4"/>
        <v>Q1</v>
      </c>
      <c r="E3583" s="33" t="str">
        <f t="shared" si="1059"/>
        <v>Cancel</v>
      </c>
      <c r="F3583" s="23" t="s">
        <v>185</v>
      </c>
      <c r="G3583" s="23" t="s">
        <v>185</v>
      </c>
      <c r="H3583" s="29"/>
      <c r="I3583" s="93" t="str">
        <f t="shared" si="1041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1050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1058"/>
        <v>1</v>
      </c>
      <c r="Z3583" s="18">
        <f t="shared" si="1056"/>
        <v>7668000</v>
      </c>
      <c r="AA3583" s="22">
        <v>5.1799999999999999E-2</v>
      </c>
      <c r="AB3583" s="21">
        <f t="shared" si="1060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38"/>
        <v>499582152.5142017</v>
      </c>
      <c r="AJ3583" s="27">
        <f t="shared" si="1039"/>
        <v>59520528.679470733</v>
      </c>
      <c r="AK3583" s="28">
        <f t="shared" si="1044"/>
        <v>0.11914062257814291</v>
      </c>
      <c r="AL3583" s="24"/>
      <c r="AM3583" s="24"/>
      <c r="AN3583" s="24"/>
      <c r="AO3583" s="24"/>
      <c r="AP3583" s="95" t="str">
        <f t="shared" si="1045"/>
        <v>CancelCancel</v>
      </c>
      <c r="AQ3583" s="203" t="str">
        <f t="shared" si="1046"/>
        <v>CancelCancelJPY</v>
      </c>
      <c r="AR3583" s="206" t="str">
        <f t="shared" si="1047"/>
        <v>YAMAHA_Mounter</v>
      </c>
      <c r="AS3583" s="22" t="str">
        <f t="shared" si="1048"/>
        <v/>
      </c>
      <c r="AT3583" s="24" t="str">
        <f t="shared" si="1049"/>
        <v/>
      </c>
      <c r="AU3583" s="22" t="s">
        <v>3744</v>
      </c>
    </row>
    <row r="3584" spans="1:47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4"/>
        <v>Q1</v>
      </c>
      <c r="E3584" s="33" t="str">
        <f t="shared" si="1059"/>
        <v>Cancel</v>
      </c>
      <c r="F3584" s="23" t="s">
        <v>185</v>
      </c>
      <c r="G3584" s="23" t="s">
        <v>185</v>
      </c>
      <c r="H3584" s="29"/>
      <c r="I3584" s="93" t="str">
        <f t="shared" si="1041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1050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1058"/>
        <v>1</v>
      </c>
      <c r="Z3584" s="18">
        <f t="shared" si="1056"/>
        <v>7668000</v>
      </c>
      <c r="AA3584" s="22">
        <v>5.1799999999999999E-2</v>
      </c>
      <c r="AB3584" s="21">
        <f t="shared" si="1060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38"/>
        <v>499582152.5142017</v>
      </c>
      <c r="AJ3584" s="27">
        <f t="shared" si="1039"/>
        <v>59520528.679470733</v>
      </c>
      <c r="AK3584" s="28">
        <f t="shared" si="1044"/>
        <v>0.11914062257814291</v>
      </c>
      <c r="AL3584" s="24"/>
      <c r="AM3584" s="24"/>
      <c r="AN3584" s="24"/>
      <c r="AO3584" s="24"/>
      <c r="AP3584" s="95" t="str">
        <f t="shared" si="1045"/>
        <v>CancelCancel</v>
      </c>
      <c r="AQ3584" s="203" t="str">
        <f t="shared" si="1046"/>
        <v>CancelCancelJPY</v>
      </c>
      <c r="AR3584" s="206" t="str">
        <f t="shared" si="1047"/>
        <v>YAMAHA_Mounter</v>
      </c>
      <c r="AS3584" s="22" t="str">
        <f t="shared" si="1048"/>
        <v/>
      </c>
      <c r="AT3584" s="24" t="str">
        <f t="shared" si="1049"/>
        <v/>
      </c>
      <c r="AU3584" s="22" t="s">
        <v>3744</v>
      </c>
    </row>
    <row r="3585" spans="1:47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4"/>
        <v>Q4</v>
      </c>
      <c r="E3585" s="33" t="s">
        <v>3172</v>
      </c>
      <c r="F3585" s="152" t="s">
        <v>2584</v>
      </c>
      <c r="G3585" s="152" t="s">
        <v>2584</v>
      </c>
      <c r="H3585" s="29"/>
      <c r="I3585" s="93" t="str">
        <f t="shared" si="1041"/>
        <v>TBA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1050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1058"/>
        <v>1</v>
      </c>
      <c r="Z3585" s="18">
        <f t="shared" si="1056"/>
        <v>11000000</v>
      </c>
      <c r="AA3585" s="13">
        <v>5.1799999999999999E-2</v>
      </c>
      <c r="AB3585" s="21">
        <f t="shared" si="1060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38"/>
        <v>5418880.879999999</v>
      </c>
      <c r="AJ3585" s="27">
        <f t="shared" si="1039"/>
        <v>650265.70559999999</v>
      </c>
      <c r="AK3585" s="28">
        <f t="shared" si="1044"/>
        <v>0.12000000000000002</v>
      </c>
      <c r="AL3585" s="24"/>
      <c r="AM3585" s="24"/>
      <c r="AN3585" s="24"/>
      <c r="AO3585" s="24"/>
      <c r="AP3585" s="95" t="str">
        <f t="shared" si="1045"/>
        <v>TBATBA</v>
      </c>
      <c r="AQ3585" s="203" t="str">
        <f t="shared" si="1046"/>
        <v>TBATBAJPY</v>
      </c>
      <c r="AR3585" s="206" t="str">
        <f t="shared" si="1047"/>
        <v>YAMAHA_Mounter</v>
      </c>
      <c r="AS3585" s="22" t="str">
        <f t="shared" si="1048"/>
        <v/>
      </c>
      <c r="AT3585" s="24" t="str">
        <f t="shared" si="1049"/>
        <v/>
      </c>
      <c r="AU3585" s="22" t="s">
        <v>3744</v>
      </c>
    </row>
    <row r="3586" spans="1:47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4"/>
        <v>Q4</v>
      </c>
      <c r="E3586" s="33" t="s">
        <v>3172</v>
      </c>
      <c r="F3586" s="152" t="s">
        <v>2584</v>
      </c>
      <c r="G3586" s="152" t="s">
        <v>2584</v>
      </c>
      <c r="H3586" s="29"/>
      <c r="I3586" s="93" t="str">
        <f t="shared" si="1041"/>
        <v>TBA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1050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1058"/>
        <v>1</v>
      </c>
      <c r="Z3586" s="18">
        <f t="shared" si="1056"/>
        <v>11000000</v>
      </c>
      <c r="AA3586" s="13">
        <v>5.1799999999999999E-2</v>
      </c>
      <c r="AB3586" s="21">
        <f t="shared" si="1060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ref="AI3586:AI3649" si="1061">IF(P3586="C66 SERVICE","",SUMIFS(AB:AB,F:F,F3586,G:G,G3586,E:E,E3586))</f>
        <v>5418880.879999999</v>
      </c>
      <c r="AJ3586" s="27">
        <f t="shared" ref="AJ3586:AJ3649" si="1062">IF(P3586="C66 SERVICE","",SUMIFS(AC:AC,F:F,F3586,G:G,G3586,E:E,E3586))</f>
        <v>650265.70559999999</v>
      </c>
      <c r="AK3586" s="28">
        <f t="shared" si="1044"/>
        <v>0.12000000000000002</v>
      </c>
      <c r="AL3586" s="24"/>
      <c r="AM3586" s="24"/>
      <c r="AN3586" s="24"/>
      <c r="AO3586" s="24"/>
      <c r="AP3586" s="95" t="str">
        <f t="shared" si="1045"/>
        <v>TBATBA</v>
      </c>
      <c r="AQ3586" s="203" t="str">
        <f t="shared" si="1046"/>
        <v>TBATBAJPY</v>
      </c>
      <c r="AR3586" s="206" t="str">
        <f t="shared" si="1047"/>
        <v>YAMAHA_Mounter</v>
      </c>
      <c r="AS3586" s="22" t="str">
        <f t="shared" si="1048"/>
        <v/>
      </c>
      <c r="AT3586" s="24" t="str">
        <f t="shared" si="1049"/>
        <v/>
      </c>
      <c r="AU3586" s="22" t="s">
        <v>3744</v>
      </c>
    </row>
    <row r="3587" spans="1:47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4"/>
        <v>Q4</v>
      </c>
      <c r="E3587" s="33" t="s">
        <v>3172</v>
      </c>
      <c r="F3587" s="152" t="s">
        <v>2584</v>
      </c>
      <c r="G3587" s="152" t="s">
        <v>2584</v>
      </c>
      <c r="H3587" s="29"/>
      <c r="I3587" s="93" t="str">
        <f t="shared" si="1041"/>
        <v>TBA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1050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1058"/>
        <v>1</v>
      </c>
      <c r="Z3587" s="18">
        <f t="shared" si="1056"/>
        <v>11000000</v>
      </c>
      <c r="AA3587" s="13">
        <v>5.1799999999999999E-2</v>
      </c>
      <c r="AB3587" s="21">
        <f t="shared" si="1060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61"/>
        <v>5418880.879999999</v>
      </c>
      <c r="AJ3587" s="27">
        <f t="shared" si="1062"/>
        <v>650265.70559999999</v>
      </c>
      <c r="AK3587" s="28">
        <f t="shared" si="1044"/>
        <v>0.12000000000000002</v>
      </c>
      <c r="AL3587" s="24"/>
      <c r="AM3587" s="24"/>
      <c r="AN3587" s="24"/>
      <c r="AO3587" s="24"/>
      <c r="AP3587" s="95" t="str">
        <f t="shared" si="1045"/>
        <v>TBATBA</v>
      </c>
      <c r="AQ3587" s="203" t="str">
        <f t="shared" si="1046"/>
        <v>TBATBAJPY</v>
      </c>
      <c r="AR3587" s="206" t="str">
        <f t="shared" si="1047"/>
        <v>YAMAHA_Mounter</v>
      </c>
      <c r="AS3587" s="22" t="str">
        <f t="shared" si="1048"/>
        <v/>
      </c>
      <c r="AT3587" s="24" t="str">
        <f t="shared" si="1049"/>
        <v/>
      </c>
      <c r="AU3587" s="22" t="s">
        <v>3744</v>
      </c>
    </row>
    <row r="3588" spans="1:47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4"/>
        <v>Q4</v>
      </c>
      <c r="E3588" s="33" t="s">
        <v>3172</v>
      </c>
      <c r="F3588" s="152" t="s">
        <v>2584</v>
      </c>
      <c r="G3588" s="152" t="s">
        <v>2584</v>
      </c>
      <c r="H3588" s="29"/>
      <c r="I3588" s="93" t="str">
        <f t="shared" si="1041"/>
        <v>TBA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1050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1058"/>
        <v>1</v>
      </c>
      <c r="Z3588" s="18">
        <f t="shared" si="1056"/>
        <v>11000000</v>
      </c>
      <c r="AA3588" s="13">
        <v>5.1799999999999999E-2</v>
      </c>
      <c r="AB3588" s="21">
        <f t="shared" si="1060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61"/>
        <v>5418880.879999999</v>
      </c>
      <c r="AJ3588" s="27">
        <f t="shared" si="1062"/>
        <v>650265.70559999999</v>
      </c>
      <c r="AK3588" s="28">
        <f t="shared" si="1044"/>
        <v>0.12000000000000002</v>
      </c>
      <c r="AL3588" s="24"/>
      <c r="AM3588" s="24"/>
      <c r="AN3588" s="24"/>
      <c r="AO3588" s="24"/>
      <c r="AP3588" s="95" t="str">
        <f t="shared" si="1045"/>
        <v>TBATBA</v>
      </c>
      <c r="AQ3588" s="203" t="str">
        <f t="shared" si="1046"/>
        <v>TBATBAJPY</v>
      </c>
      <c r="AR3588" s="206" t="str">
        <f t="shared" si="1047"/>
        <v>YAMAHA_Mounter</v>
      </c>
      <c r="AS3588" s="22" t="str">
        <f t="shared" si="1048"/>
        <v/>
      </c>
      <c r="AT3588" s="24" t="str">
        <f t="shared" si="1049"/>
        <v/>
      </c>
      <c r="AU3588" s="22" t="s">
        <v>3744</v>
      </c>
    </row>
    <row r="3589" spans="1:47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4"/>
        <v>Q4</v>
      </c>
      <c r="E3589" s="33" t="s">
        <v>3172</v>
      </c>
      <c r="F3589" s="152" t="s">
        <v>2584</v>
      </c>
      <c r="G3589" s="152" t="s">
        <v>2584</v>
      </c>
      <c r="H3589" s="29"/>
      <c r="I3589" s="93" t="str">
        <f t="shared" si="1041"/>
        <v>TBA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1050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1058"/>
        <v>1</v>
      </c>
      <c r="Z3589" s="18">
        <f t="shared" si="1056"/>
        <v>11000000</v>
      </c>
      <c r="AA3589" s="13">
        <v>5.1799999999999999E-2</v>
      </c>
      <c r="AB3589" s="21">
        <f t="shared" si="1060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61"/>
        <v>5418880.879999999</v>
      </c>
      <c r="AJ3589" s="27">
        <f t="shared" si="1062"/>
        <v>650265.70559999999</v>
      </c>
      <c r="AK3589" s="28">
        <f t="shared" si="1044"/>
        <v>0.12000000000000002</v>
      </c>
      <c r="AL3589" s="24"/>
      <c r="AM3589" s="24"/>
      <c r="AN3589" s="24"/>
      <c r="AO3589" s="24"/>
      <c r="AP3589" s="95" t="str">
        <f t="shared" si="1045"/>
        <v>TBATBA</v>
      </c>
      <c r="AQ3589" s="203" t="str">
        <f t="shared" si="1046"/>
        <v>TBATBAJPY</v>
      </c>
      <c r="AR3589" s="206" t="str">
        <f t="shared" si="1047"/>
        <v>YAMAHA_Mounter</v>
      </c>
      <c r="AS3589" s="22" t="str">
        <f t="shared" si="1048"/>
        <v/>
      </c>
      <c r="AT3589" s="24" t="str">
        <f t="shared" si="1049"/>
        <v/>
      </c>
      <c r="AU3589" s="22" t="s">
        <v>3744</v>
      </c>
    </row>
    <row r="3590" spans="1:47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4"/>
        <v>Q4</v>
      </c>
      <c r="E3590" s="33" t="s">
        <v>3172</v>
      </c>
      <c r="F3590" s="152" t="s">
        <v>2584</v>
      </c>
      <c r="G3590" s="152" t="s">
        <v>2584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1050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1058"/>
        <v>1</v>
      </c>
      <c r="Z3590" s="18">
        <f t="shared" si="1056"/>
        <v>11000000</v>
      </c>
      <c r="AA3590" s="13">
        <v>5.1799999999999999E-2</v>
      </c>
      <c r="AB3590" s="21">
        <f t="shared" si="1060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si="1061"/>
        <v>5418880.879999999</v>
      </c>
      <c r="AJ3590" s="27">
        <f t="shared" si="1062"/>
        <v>650265.70559999999</v>
      </c>
      <c r="AK3590" s="28">
        <f t="shared" ref="AK3590:AK3653" si="1067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68">IF(F3590="","",F3590&amp;G3590)</f>
        <v>TBATBA</v>
      </c>
      <c r="AQ3590" s="203" t="str">
        <f t="shared" ref="AQ3590:AQ3653" si="1069">IF(W3590="","",F3590&amp;G3590&amp;W3590)</f>
        <v>TBATBAJPY</v>
      </c>
      <c r="AR3590" s="206" t="str">
        <f t="shared" ref="AR3590:AR3653" si="1070">IFERROR(IF(AND(M3590="YAMAHA", R3590="C28"), "YAMAHA_Non_Mounter", IF(AND(M3590="YAMAHA", R3590="C49"), "YAMAHA_Mounter", M3590)),"")</f>
        <v>YAMAHA_Mounter</v>
      </c>
      <c r="AS3590" s="22" t="str">
        <f t="shared" ref="AS3590:AS3653" si="1071">IFERROR(IF(OR(G3590="TBA", G3590=""), "", DATEDIF(DATE(B3590, C3590, 1), DATE(F3590, G3590, 1), "M")),"")</f>
        <v/>
      </c>
      <c r="AT3590" s="24" t="str">
        <f t="shared" ref="AT3590:AT3653" si="1072">IF(ISNUMBER(AS3590), IF(AS3590&gt;=0, IF(AS3590&lt;=3, "0-3 months", IF(AS3590&lt;=6, "4-6 months", "&gt; 6 months"))), "")</f>
        <v/>
      </c>
      <c r="AU3590" s="22" t="s">
        <v>3744</v>
      </c>
    </row>
    <row r="3591" spans="1:47" ht="39.6">
      <c r="A3591" s="33" t="str">
        <f t="shared" si="1063"/>
        <v/>
      </c>
      <c r="B3591" s="23"/>
      <c r="C3591" s="23"/>
      <c r="D3591" s="202" t="str">
        <f t="shared" si="1054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1050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1058"/>
        <v/>
      </c>
      <c r="Z3591" s="196" t="str">
        <f t="shared" si="1056"/>
        <v/>
      </c>
      <c r="AA3591" s="22"/>
      <c r="AB3591" s="197">
        <v>215000</v>
      </c>
      <c r="AC3591" s="198">
        <f t="shared" si="1065"/>
        <v>64500</v>
      </c>
      <c r="AD3591" s="22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1"/>
        <v>25354039.366920356</v>
      </c>
      <c r="AJ3591" s="200">
        <f t="shared" si="1062"/>
        <v>3028631.2816309328</v>
      </c>
      <c r="AK3591" s="201">
        <f t="shared" si="1067"/>
        <v>0.11945360018579192</v>
      </c>
      <c r="AL3591" s="24"/>
      <c r="AM3591" s="24"/>
      <c r="AN3591" s="24"/>
      <c r="AO3591" s="24"/>
      <c r="AP3591" s="165" t="str">
        <f t="shared" si="1068"/>
        <v>20248</v>
      </c>
      <c r="AQ3591" s="203" t="str">
        <f t="shared" si="1069"/>
        <v/>
      </c>
      <c r="AR3591" s="206" t="str">
        <f t="shared" si="1070"/>
        <v>C66 SERVICE</v>
      </c>
      <c r="AS3591" s="22" t="str">
        <f t="shared" si="1071"/>
        <v/>
      </c>
      <c r="AT3591" s="24" t="str">
        <f t="shared" si="1072"/>
        <v/>
      </c>
      <c r="AU3591" s="22">
        <v>0</v>
      </c>
    </row>
    <row r="3592" spans="1:47" ht="39.6">
      <c r="A3592" s="33" t="str">
        <f t="shared" si="1063"/>
        <v/>
      </c>
      <c r="B3592" s="23"/>
      <c r="C3592" s="23"/>
      <c r="D3592" s="202" t="str">
        <f t="shared" si="1054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1050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1058"/>
        <v/>
      </c>
      <c r="Z3592" s="196" t="str">
        <f t="shared" si="1056"/>
        <v/>
      </c>
      <c r="AA3592" s="22"/>
      <c r="AB3592" s="197">
        <v>374000</v>
      </c>
      <c r="AC3592" s="198">
        <f t="shared" si="1065"/>
        <v>112200</v>
      </c>
      <c r="AD3592" s="22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1"/>
        <v>25354039.366920356</v>
      </c>
      <c r="AJ3592" s="200">
        <f t="shared" si="1062"/>
        <v>3028631.2816309328</v>
      </c>
      <c r="AK3592" s="201">
        <f t="shared" si="1067"/>
        <v>0.11945360018579192</v>
      </c>
      <c r="AL3592" s="24"/>
      <c r="AM3592" s="24"/>
      <c r="AN3592" s="24"/>
      <c r="AO3592" s="24"/>
      <c r="AP3592" s="165" t="str">
        <f t="shared" si="1068"/>
        <v>20248</v>
      </c>
      <c r="AQ3592" s="203" t="str">
        <f t="shared" si="1069"/>
        <v/>
      </c>
      <c r="AR3592" s="206" t="str">
        <f t="shared" si="1070"/>
        <v>C66 SERVICE</v>
      </c>
      <c r="AS3592" s="22" t="str">
        <f t="shared" si="1071"/>
        <v/>
      </c>
      <c r="AT3592" s="24" t="str">
        <f t="shared" si="1072"/>
        <v/>
      </c>
      <c r="AU3592" s="22">
        <v>0</v>
      </c>
    </row>
    <row r="3593" spans="1:47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4"/>
        <v>Q4</v>
      </c>
      <c r="E3593" s="33" t="s">
        <v>3172</v>
      </c>
      <c r="F3593" s="152" t="s">
        <v>2584</v>
      </c>
      <c r="G3593" s="152" t="s">
        <v>2584</v>
      </c>
      <c r="H3593" s="29"/>
      <c r="I3593" s="93" t="str">
        <f t="shared" si="1064"/>
        <v>TBA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1050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1058"/>
        <v>1</v>
      </c>
      <c r="Z3593" s="18">
        <f t="shared" si="1056"/>
        <v>9652900</v>
      </c>
      <c r="AA3593" s="13">
        <v>5.1799999999999999E-2</v>
      </c>
      <c r="AB3593" s="21">
        <f t="shared" ref="AB3593:AB3624" si="1073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1"/>
        <v>5418880.879999999</v>
      </c>
      <c r="AJ3593" s="27">
        <f t="shared" si="1062"/>
        <v>650265.70559999999</v>
      </c>
      <c r="AK3593" s="28">
        <f t="shared" si="1067"/>
        <v>0.12000000000000002</v>
      </c>
      <c r="AL3593" s="24"/>
      <c r="AM3593" s="24"/>
      <c r="AN3593" s="24"/>
      <c r="AO3593" s="24"/>
      <c r="AP3593" s="95" t="str">
        <f t="shared" si="1068"/>
        <v>TBATBA</v>
      </c>
      <c r="AQ3593" s="203" t="str">
        <f t="shared" si="1069"/>
        <v>TBATBAJPY</v>
      </c>
      <c r="AR3593" s="206" t="str">
        <f t="shared" si="1070"/>
        <v>YAMAHA_Mounter</v>
      </c>
      <c r="AS3593" s="22" t="str">
        <f t="shared" si="1071"/>
        <v/>
      </c>
      <c r="AT3593" s="24" t="str">
        <f t="shared" si="1072"/>
        <v/>
      </c>
      <c r="AU3593" s="22" t="s">
        <v>3744</v>
      </c>
    </row>
    <row r="3594" spans="1:47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4"/>
        <v>Q4</v>
      </c>
      <c r="E3594" s="33" t="s">
        <v>3172</v>
      </c>
      <c r="F3594" s="152" t="s">
        <v>2584</v>
      </c>
      <c r="G3594" s="152" t="s">
        <v>2584</v>
      </c>
      <c r="H3594" s="29"/>
      <c r="I3594" s="93" t="str">
        <f t="shared" si="1064"/>
        <v>TBA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1050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1058"/>
        <v>1</v>
      </c>
      <c r="Z3594" s="18">
        <f t="shared" si="1056"/>
        <v>9652900</v>
      </c>
      <c r="AA3594" s="13">
        <v>5.1799999999999999E-2</v>
      </c>
      <c r="AB3594" s="21">
        <f t="shared" si="1073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1"/>
        <v>5418880.879999999</v>
      </c>
      <c r="AJ3594" s="27">
        <f t="shared" si="1062"/>
        <v>650265.70559999999</v>
      </c>
      <c r="AK3594" s="28">
        <f t="shared" si="1067"/>
        <v>0.12000000000000002</v>
      </c>
      <c r="AL3594" s="24"/>
      <c r="AM3594" s="24"/>
      <c r="AN3594" s="24"/>
      <c r="AO3594" s="24"/>
      <c r="AP3594" s="95" t="str">
        <f t="shared" si="1068"/>
        <v>TBATBA</v>
      </c>
      <c r="AQ3594" s="203" t="str">
        <f t="shared" si="1069"/>
        <v>TBATBAJPY</v>
      </c>
      <c r="AR3594" s="206" t="str">
        <f t="shared" si="1070"/>
        <v>YAMAHA_Mounter</v>
      </c>
      <c r="AS3594" s="22" t="str">
        <f t="shared" si="1071"/>
        <v/>
      </c>
      <c r="AT3594" s="24" t="str">
        <f t="shared" si="1072"/>
        <v/>
      </c>
      <c r="AU3594" s="22" t="s">
        <v>3744</v>
      </c>
    </row>
    <row r="3595" spans="1:47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4"/>
        <v>Q4</v>
      </c>
      <c r="E3595" s="33" t="s">
        <v>3172</v>
      </c>
      <c r="F3595" s="152" t="s">
        <v>2584</v>
      </c>
      <c r="G3595" s="152" t="s">
        <v>2584</v>
      </c>
      <c r="H3595" s="29"/>
      <c r="I3595" s="93" t="str">
        <f t="shared" si="1064"/>
        <v>TBA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1050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1058"/>
        <v>1</v>
      </c>
      <c r="Z3595" s="18">
        <f t="shared" si="1056"/>
        <v>9652900</v>
      </c>
      <c r="AA3595" s="13">
        <v>5.1799999999999999E-2</v>
      </c>
      <c r="AB3595" s="21">
        <f t="shared" si="1073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1"/>
        <v>5418880.879999999</v>
      </c>
      <c r="AJ3595" s="27">
        <f t="shared" si="1062"/>
        <v>650265.70559999999</v>
      </c>
      <c r="AK3595" s="28">
        <f t="shared" si="1067"/>
        <v>0.12000000000000002</v>
      </c>
      <c r="AL3595" s="24"/>
      <c r="AM3595" s="24"/>
      <c r="AN3595" s="24"/>
      <c r="AO3595" s="24"/>
      <c r="AP3595" s="95" t="str">
        <f t="shared" si="1068"/>
        <v>TBATBA</v>
      </c>
      <c r="AQ3595" s="203" t="str">
        <f t="shared" si="1069"/>
        <v>TBATBAJPY</v>
      </c>
      <c r="AR3595" s="206" t="str">
        <f t="shared" si="1070"/>
        <v>YAMAHA_Mounter</v>
      </c>
      <c r="AS3595" s="22" t="str">
        <f t="shared" si="1071"/>
        <v/>
      </c>
      <c r="AT3595" s="24" t="str">
        <f t="shared" si="1072"/>
        <v/>
      </c>
      <c r="AU3595" s="22" t="s">
        <v>3744</v>
      </c>
    </row>
    <row r="3596" spans="1:47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4"/>
        <v>Q4</v>
      </c>
      <c r="E3596" s="33" t="s">
        <v>3172</v>
      </c>
      <c r="F3596" s="152" t="s">
        <v>2584</v>
      </c>
      <c r="G3596" s="152" t="s">
        <v>2584</v>
      </c>
      <c r="H3596" s="29"/>
      <c r="I3596" s="93" t="str">
        <f t="shared" si="1064"/>
        <v>TBA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1050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1058"/>
        <v>1</v>
      </c>
      <c r="Z3596" s="18">
        <f t="shared" si="1056"/>
        <v>9652900</v>
      </c>
      <c r="AA3596" s="13">
        <v>5.1799999999999999E-2</v>
      </c>
      <c r="AB3596" s="21">
        <f t="shared" si="1073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1"/>
        <v>5418880.879999999</v>
      </c>
      <c r="AJ3596" s="27">
        <f t="shared" si="1062"/>
        <v>650265.70559999999</v>
      </c>
      <c r="AK3596" s="28">
        <f t="shared" si="1067"/>
        <v>0.12000000000000002</v>
      </c>
      <c r="AL3596" s="24"/>
      <c r="AM3596" s="24"/>
      <c r="AN3596" s="24"/>
      <c r="AO3596" s="24"/>
      <c r="AP3596" s="95" t="str">
        <f t="shared" si="1068"/>
        <v>TBATBA</v>
      </c>
      <c r="AQ3596" s="203" t="str">
        <f t="shared" si="1069"/>
        <v>TBATBAJPY</v>
      </c>
      <c r="AR3596" s="206" t="str">
        <f t="shared" si="1070"/>
        <v>YAMAHA_Mounter</v>
      </c>
      <c r="AS3596" s="22" t="str">
        <f t="shared" si="1071"/>
        <v/>
      </c>
      <c r="AT3596" s="24" t="str">
        <f t="shared" si="1072"/>
        <v/>
      </c>
      <c r="AU3596" s="22" t="s">
        <v>3744</v>
      </c>
    </row>
    <row r="3597" spans="1:47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4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1050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1058"/>
        <v>1</v>
      </c>
      <c r="Z3597" s="196">
        <f t="shared" si="1056"/>
        <v>16835000</v>
      </c>
      <c r="AA3597" s="22">
        <v>5.5100000000000003E-2</v>
      </c>
      <c r="AB3597" s="197">
        <f t="shared" si="1073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1"/>
        <v>35931087.732566379</v>
      </c>
      <c r="AJ3597" s="200">
        <f t="shared" si="1062"/>
        <v>4347120.3954975223</v>
      </c>
      <c r="AK3597" s="201">
        <f t="shared" si="1067"/>
        <v>0.12098493727362117</v>
      </c>
      <c r="AL3597" s="24"/>
      <c r="AM3597" s="24"/>
      <c r="AN3597" s="24"/>
      <c r="AO3597" s="24"/>
      <c r="AP3597" s="165" t="str">
        <f t="shared" si="1068"/>
        <v>20249</v>
      </c>
      <c r="AQ3597" s="203" t="str">
        <f t="shared" si="1069"/>
        <v>20249JPY</v>
      </c>
      <c r="AR3597" s="206" t="str">
        <f t="shared" si="1070"/>
        <v>YAMAHA_Mounter</v>
      </c>
      <c r="AS3597" s="22">
        <f t="shared" si="1071"/>
        <v>4</v>
      </c>
      <c r="AT3597" s="24" t="str">
        <f t="shared" si="1072"/>
        <v>4-6 months</v>
      </c>
      <c r="AU3597" s="22" t="s">
        <v>3745</v>
      </c>
    </row>
    <row r="3598" spans="1:47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4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1050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1058"/>
        <v>1</v>
      </c>
      <c r="Z3598" s="196">
        <f t="shared" si="1056"/>
        <v>16835000</v>
      </c>
      <c r="AA3598" s="22">
        <v>5.5100000000000003E-2</v>
      </c>
      <c r="AB3598" s="197">
        <f t="shared" si="1073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1"/>
        <v>35931087.732566379</v>
      </c>
      <c r="AJ3598" s="200">
        <f t="shared" si="1062"/>
        <v>4347120.3954975223</v>
      </c>
      <c r="AK3598" s="201">
        <f t="shared" si="1067"/>
        <v>0.12098493727362117</v>
      </c>
      <c r="AL3598" s="24"/>
      <c r="AM3598" s="24"/>
      <c r="AN3598" s="24"/>
      <c r="AO3598" s="24"/>
      <c r="AP3598" s="165" t="str">
        <f t="shared" si="1068"/>
        <v>20249</v>
      </c>
      <c r="AQ3598" s="203" t="str">
        <f t="shared" si="1069"/>
        <v>20249JPY</v>
      </c>
      <c r="AR3598" s="206" t="str">
        <f t="shared" si="1070"/>
        <v>YAMAHA_Mounter</v>
      </c>
      <c r="AS3598" s="22">
        <f t="shared" si="1071"/>
        <v>4</v>
      </c>
      <c r="AT3598" s="24" t="str">
        <f t="shared" si="1072"/>
        <v>4-6 months</v>
      </c>
      <c r="AU3598" s="22" t="s">
        <v>3745</v>
      </c>
    </row>
    <row r="3599" spans="1:47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4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1050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1058"/>
        <v>1</v>
      </c>
      <c r="Z3599" s="196">
        <f t="shared" si="1056"/>
        <v>14300000</v>
      </c>
      <c r="AA3599" s="22">
        <v>5.5100000000000003E-2</v>
      </c>
      <c r="AB3599" s="197">
        <f t="shared" si="1073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1"/>
        <v>35931087.732566379</v>
      </c>
      <c r="AJ3599" s="200">
        <f t="shared" si="1062"/>
        <v>4347120.3954975223</v>
      </c>
      <c r="AK3599" s="201">
        <f t="shared" si="1067"/>
        <v>0.12098493727362117</v>
      </c>
      <c r="AL3599" s="24"/>
      <c r="AM3599" s="24"/>
      <c r="AN3599" s="24"/>
      <c r="AO3599" s="24"/>
      <c r="AP3599" s="165" t="str">
        <f t="shared" si="1068"/>
        <v>20249</v>
      </c>
      <c r="AQ3599" s="203" t="str">
        <f t="shared" si="1069"/>
        <v>20249JPY</v>
      </c>
      <c r="AR3599" s="206" t="str">
        <f t="shared" si="1070"/>
        <v>YAMAHA_Mounter</v>
      </c>
      <c r="AS3599" s="22">
        <f t="shared" si="1071"/>
        <v>4</v>
      </c>
      <c r="AT3599" s="24" t="str">
        <f t="shared" si="1072"/>
        <v>4-6 months</v>
      </c>
      <c r="AU3599" s="22" t="s">
        <v>3745</v>
      </c>
    </row>
    <row r="3600" spans="1:47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4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1050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1058"/>
        <v>1</v>
      </c>
      <c r="Z3600" s="196">
        <f t="shared" si="1056"/>
        <v>14300000</v>
      </c>
      <c r="AA3600" s="22">
        <v>5.5100000000000003E-2</v>
      </c>
      <c r="AB3600" s="197">
        <f t="shared" si="1073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1"/>
        <v>35931087.732566379</v>
      </c>
      <c r="AJ3600" s="200">
        <f t="shared" si="1062"/>
        <v>4347120.3954975223</v>
      </c>
      <c r="AK3600" s="201">
        <f t="shared" si="1067"/>
        <v>0.12098493727362117</v>
      </c>
      <c r="AL3600" s="24"/>
      <c r="AM3600" s="24"/>
      <c r="AN3600" s="24"/>
      <c r="AO3600" s="24"/>
      <c r="AP3600" s="165" t="str">
        <f t="shared" si="1068"/>
        <v>20249</v>
      </c>
      <c r="AQ3600" s="203" t="str">
        <f t="shared" si="1069"/>
        <v>20249JPY</v>
      </c>
      <c r="AR3600" s="206" t="str">
        <f t="shared" si="1070"/>
        <v>YAMAHA_Mounter</v>
      </c>
      <c r="AS3600" s="22">
        <f t="shared" si="1071"/>
        <v>4</v>
      </c>
      <c r="AT3600" s="24" t="str">
        <f t="shared" si="1072"/>
        <v>4-6 months</v>
      </c>
      <c r="AU3600" s="22" t="s">
        <v>3745</v>
      </c>
    </row>
    <row r="3601" spans="1:47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4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1050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1058"/>
        <v>1</v>
      </c>
      <c r="Z3601" s="196">
        <f t="shared" si="1056"/>
        <v>7400000</v>
      </c>
      <c r="AA3601" s="22">
        <v>5.5100000000000003E-2</v>
      </c>
      <c r="AB3601" s="197">
        <f t="shared" si="1073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1"/>
        <v>35931087.732566379</v>
      </c>
      <c r="AJ3601" s="200">
        <f t="shared" si="1062"/>
        <v>4347120.3954975223</v>
      </c>
      <c r="AK3601" s="201">
        <f t="shared" si="1067"/>
        <v>0.12098493727362117</v>
      </c>
      <c r="AL3601" s="24"/>
      <c r="AM3601" s="24"/>
      <c r="AN3601" s="24"/>
      <c r="AO3601" s="24"/>
      <c r="AP3601" s="165" t="str">
        <f t="shared" si="1068"/>
        <v>20249</v>
      </c>
      <c r="AQ3601" s="203" t="str">
        <f t="shared" si="1069"/>
        <v>20249JPY</v>
      </c>
      <c r="AR3601" s="206" t="str">
        <f t="shared" si="1070"/>
        <v>YAMAHA_Non_Mounter</v>
      </c>
      <c r="AS3601" s="22">
        <f t="shared" si="1071"/>
        <v>4</v>
      </c>
      <c r="AT3601" s="24" t="str">
        <f t="shared" si="1072"/>
        <v>4-6 months</v>
      </c>
      <c r="AU3601" s="22" t="s">
        <v>3744</v>
      </c>
    </row>
    <row r="3602" spans="1:47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4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1064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1050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1058"/>
        <v>1.13</v>
      </c>
      <c r="Z3602" s="18">
        <f t="shared" si="1056"/>
        <v>770000</v>
      </c>
      <c r="AA3602" s="22">
        <v>1.0920000000000001</v>
      </c>
      <c r="AB3602" s="21">
        <f t="shared" si="1073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1"/>
        <v>499582152.5142017</v>
      </c>
      <c r="AJ3602" s="27">
        <f t="shared" si="1062"/>
        <v>59520528.679470733</v>
      </c>
      <c r="AK3602" s="28">
        <f t="shared" si="1067"/>
        <v>0.11914062257814291</v>
      </c>
      <c r="AL3602" s="24"/>
      <c r="AM3602" s="24"/>
      <c r="AN3602" s="24"/>
      <c r="AO3602" s="24"/>
      <c r="AP3602" s="95" t="str">
        <f t="shared" si="1068"/>
        <v>CancelCancel</v>
      </c>
      <c r="AQ3602" s="203" t="str">
        <f t="shared" si="1069"/>
        <v>CancelCancelRMB</v>
      </c>
      <c r="AR3602" s="206" t="str">
        <f t="shared" si="1070"/>
        <v>YAMAHA_Mounter</v>
      </c>
      <c r="AS3602" s="22" t="str">
        <f t="shared" si="1071"/>
        <v/>
      </c>
      <c r="AT3602" s="24" t="str">
        <f t="shared" si="1072"/>
        <v/>
      </c>
      <c r="AU3602" s="22" t="s">
        <v>3750</v>
      </c>
    </row>
    <row r="3603" spans="1:47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4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1050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1058"/>
        <v>1</v>
      </c>
      <c r="Z3603" s="196">
        <f t="shared" si="1056"/>
        <v>7400000</v>
      </c>
      <c r="AA3603" s="22">
        <v>5.5100000000000003E-2</v>
      </c>
      <c r="AB3603" s="197">
        <f t="shared" si="1073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1"/>
        <v>35931087.732566379</v>
      </c>
      <c r="AJ3603" s="200">
        <f t="shared" si="1062"/>
        <v>4347120.3954975223</v>
      </c>
      <c r="AK3603" s="201">
        <f t="shared" si="1067"/>
        <v>0.12098493727362117</v>
      </c>
      <c r="AL3603" s="24"/>
      <c r="AM3603" s="24"/>
      <c r="AN3603" s="24"/>
      <c r="AO3603" s="24"/>
      <c r="AP3603" s="165" t="str">
        <f t="shared" si="1068"/>
        <v>20249</v>
      </c>
      <c r="AQ3603" s="203" t="str">
        <f t="shared" si="1069"/>
        <v>20249JPY</v>
      </c>
      <c r="AR3603" s="206" t="str">
        <f t="shared" si="1070"/>
        <v>YAMAHA_Non_Mounter</v>
      </c>
      <c r="AS3603" s="22">
        <f t="shared" si="1071"/>
        <v>4</v>
      </c>
      <c r="AT3603" s="24" t="str">
        <f t="shared" si="1072"/>
        <v>4-6 months</v>
      </c>
      <c r="AU3603" s="22" t="s">
        <v>3744</v>
      </c>
    </row>
    <row r="3604" spans="1:47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4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1050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1074">IF(W3604="","",IF(W3604="RMB","1.13", "1"))</f>
        <v>1</v>
      </c>
      <c r="Z3604" s="196">
        <f t="shared" si="1056"/>
        <v>7400000</v>
      </c>
      <c r="AA3604" s="22">
        <v>5.5100000000000003E-2</v>
      </c>
      <c r="AB3604" s="197">
        <f t="shared" si="1073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1"/>
        <v>35931087.732566379</v>
      </c>
      <c r="AJ3604" s="200">
        <f t="shared" si="1062"/>
        <v>4347120.3954975223</v>
      </c>
      <c r="AK3604" s="201">
        <f t="shared" si="1067"/>
        <v>0.12098493727362117</v>
      </c>
      <c r="AL3604" s="24"/>
      <c r="AM3604" s="24"/>
      <c r="AN3604" s="24"/>
      <c r="AO3604" s="24"/>
      <c r="AP3604" s="165" t="str">
        <f t="shared" si="1068"/>
        <v>20249</v>
      </c>
      <c r="AQ3604" s="203" t="str">
        <f t="shared" si="1069"/>
        <v>20249JPY</v>
      </c>
      <c r="AR3604" s="206" t="str">
        <f t="shared" si="1070"/>
        <v>YAMAHA_Non_Mounter</v>
      </c>
      <c r="AS3604" s="22">
        <f t="shared" si="1071"/>
        <v>4</v>
      </c>
      <c r="AT3604" s="24" t="str">
        <f t="shared" si="1072"/>
        <v>4-6 months</v>
      </c>
      <c r="AU3604" s="22" t="s">
        <v>3744</v>
      </c>
    </row>
    <row r="3605" spans="1:47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4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1050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1074"/>
        <v>1</v>
      </c>
      <c r="Z3605" s="196">
        <f t="shared" si="1056"/>
        <v>13235000</v>
      </c>
      <c r="AA3605" s="22">
        <v>5.5599999999999997E-2</v>
      </c>
      <c r="AB3605" s="197">
        <f t="shared" si="1073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1"/>
        <v>22758096.38940867</v>
      </c>
      <c r="AJ3605" s="200">
        <f t="shared" si="1062"/>
        <v>2469357.2298956565</v>
      </c>
      <c r="AK3605" s="201">
        <f t="shared" si="1067"/>
        <v>0.10850455976822666</v>
      </c>
      <c r="AL3605" s="24"/>
      <c r="AM3605" s="24"/>
      <c r="AN3605" s="24"/>
      <c r="AO3605" s="24"/>
      <c r="AP3605" s="165" t="str">
        <f t="shared" si="1068"/>
        <v>202410</v>
      </c>
      <c r="AQ3605" s="203" t="str">
        <f t="shared" si="1069"/>
        <v>202410JPY</v>
      </c>
      <c r="AR3605" s="206" t="str">
        <f t="shared" si="1070"/>
        <v>YAMAHA_Mounter</v>
      </c>
      <c r="AS3605" s="22">
        <f t="shared" si="1071"/>
        <v>5</v>
      </c>
      <c r="AT3605" s="24" t="str">
        <f t="shared" si="1072"/>
        <v>4-6 months</v>
      </c>
      <c r="AU3605" s="22" t="s">
        <v>3745</v>
      </c>
    </row>
    <row r="3606" spans="1:47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4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1064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1075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1074"/>
        <v>1</v>
      </c>
      <c r="Z3606" s="196">
        <f t="shared" si="1056"/>
        <v>13750000</v>
      </c>
      <c r="AA3606" s="22">
        <v>5.1799999999999999E-2</v>
      </c>
      <c r="AB3606" s="197">
        <f t="shared" si="1073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1"/>
        <v>4327756</v>
      </c>
      <c r="AJ3606" s="200">
        <f t="shared" si="1062"/>
        <v>519330.72</v>
      </c>
      <c r="AK3606" s="201">
        <f t="shared" si="1067"/>
        <v>0.12</v>
      </c>
      <c r="AL3606" s="24"/>
      <c r="AM3606" s="24"/>
      <c r="AN3606" s="24"/>
      <c r="AO3606" s="24"/>
      <c r="AP3606" s="165" t="str">
        <f t="shared" si="1068"/>
        <v>CancelCancel</v>
      </c>
      <c r="AQ3606" s="203" t="str">
        <f t="shared" si="1069"/>
        <v>CancelCancelJPY</v>
      </c>
      <c r="AR3606" s="206" t="str">
        <f t="shared" si="1070"/>
        <v>YAMAHA_Mounter</v>
      </c>
      <c r="AS3606" s="22" t="str">
        <f t="shared" si="1071"/>
        <v/>
      </c>
      <c r="AT3606" s="24" t="str">
        <f t="shared" si="1072"/>
        <v/>
      </c>
      <c r="AU3606" s="22" t="s">
        <v>3744</v>
      </c>
    </row>
    <row r="3607" spans="1:47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4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1064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1075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1074"/>
        <v>1</v>
      </c>
      <c r="Z3607" s="196">
        <f t="shared" si="1056"/>
        <v>13750000</v>
      </c>
      <c r="AA3607" s="22">
        <v>5.1799999999999999E-2</v>
      </c>
      <c r="AB3607" s="197">
        <f t="shared" si="1073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1"/>
        <v>4327756</v>
      </c>
      <c r="AJ3607" s="200">
        <f t="shared" si="1062"/>
        <v>519330.72</v>
      </c>
      <c r="AK3607" s="201">
        <f t="shared" si="1067"/>
        <v>0.12</v>
      </c>
      <c r="AL3607" s="24"/>
      <c r="AM3607" s="24"/>
      <c r="AN3607" s="24"/>
      <c r="AO3607" s="24"/>
      <c r="AP3607" s="165" t="str">
        <f t="shared" si="1068"/>
        <v>CancelCancel</v>
      </c>
      <c r="AQ3607" s="203" t="str">
        <f t="shared" si="1069"/>
        <v>CancelCancelJPY</v>
      </c>
      <c r="AR3607" s="206" t="str">
        <f t="shared" si="1070"/>
        <v>YAMAHA_Mounter</v>
      </c>
      <c r="AS3607" s="22" t="str">
        <f t="shared" si="1071"/>
        <v/>
      </c>
      <c r="AT3607" s="24" t="str">
        <f t="shared" si="1072"/>
        <v/>
      </c>
      <c r="AU3607" s="22" t="s">
        <v>3744</v>
      </c>
    </row>
    <row r="3608" spans="1:47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4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1075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1074"/>
        <v>1.13</v>
      </c>
      <c r="Z3608" s="196">
        <f t="shared" si="1056"/>
        <v>411668</v>
      </c>
      <c r="AA3608" s="22">
        <v>1.0980000000000001</v>
      </c>
      <c r="AB3608" s="197">
        <f t="shared" si="1073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1"/>
        <v>35931087.732566379</v>
      </c>
      <c r="AJ3608" s="200">
        <f t="shared" si="1062"/>
        <v>4347120.3954975223</v>
      </c>
      <c r="AK3608" s="201">
        <f t="shared" si="1067"/>
        <v>0.12098493727362117</v>
      </c>
      <c r="AL3608" s="24"/>
      <c r="AM3608" s="24"/>
      <c r="AN3608" s="24"/>
      <c r="AO3608" s="24"/>
      <c r="AP3608" s="165" t="str">
        <f t="shared" si="1068"/>
        <v>20249</v>
      </c>
      <c r="AQ3608" s="203" t="str">
        <f t="shared" si="1069"/>
        <v>20249RMB</v>
      </c>
      <c r="AR3608" s="206" t="str">
        <f t="shared" si="1070"/>
        <v>YAMAHA_Mounter</v>
      </c>
      <c r="AS3608" s="22">
        <f t="shared" si="1071"/>
        <v>4</v>
      </c>
      <c r="AT3608" s="24" t="str">
        <f t="shared" si="1072"/>
        <v>4-6 months</v>
      </c>
      <c r="AU3608" s="22" t="s">
        <v>3240</v>
      </c>
    </row>
    <row r="3609" spans="1:47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4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1075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1074"/>
        <v>1.13</v>
      </c>
      <c r="Z3609" s="196">
        <f t="shared" si="1056"/>
        <v>525000</v>
      </c>
      <c r="AA3609" s="22">
        <v>1.0980000000000001</v>
      </c>
      <c r="AB3609" s="197">
        <f t="shared" si="1073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1"/>
        <v>35931087.732566379</v>
      </c>
      <c r="AJ3609" s="200">
        <f t="shared" si="1062"/>
        <v>4347120.3954975223</v>
      </c>
      <c r="AK3609" s="201">
        <f t="shared" si="1067"/>
        <v>0.12098493727362117</v>
      </c>
      <c r="AL3609" s="24"/>
      <c r="AM3609" s="24"/>
      <c r="AN3609" s="24"/>
      <c r="AO3609" s="24"/>
      <c r="AP3609" s="165" t="str">
        <f t="shared" si="1068"/>
        <v>20249</v>
      </c>
      <c r="AQ3609" s="203" t="str">
        <f t="shared" si="1069"/>
        <v>20249RMB</v>
      </c>
      <c r="AR3609" s="206" t="str">
        <f t="shared" si="1070"/>
        <v>YAMAHA_Mounter</v>
      </c>
      <c r="AS3609" s="22">
        <f t="shared" si="1071"/>
        <v>4</v>
      </c>
      <c r="AT3609" s="24" t="str">
        <f t="shared" si="1072"/>
        <v>4-6 months</v>
      </c>
      <c r="AU3609" s="22" t="s">
        <v>3240</v>
      </c>
    </row>
    <row r="3610" spans="1:47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4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1075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1074"/>
        <v>1</v>
      </c>
      <c r="Z3610" s="196">
        <f t="shared" si="1056"/>
        <v>8250000</v>
      </c>
      <c r="AA3610" s="22">
        <v>5.5100000000000003E-2</v>
      </c>
      <c r="AB3610" s="197">
        <f t="shared" si="1073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1"/>
        <v>35931087.732566379</v>
      </c>
      <c r="AJ3610" s="200">
        <f t="shared" si="1062"/>
        <v>4347120.3954975223</v>
      </c>
      <c r="AK3610" s="201">
        <f t="shared" si="1067"/>
        <v>0.12098493727362117</v>
      </c>
      <c r="AL3610" s="24"/>
      <c r="AM3610" s="24"/>
      <c r="AN3610" s="24"/>
      <c r="AO3610" s="24"/>
      <c r="AP3610" s="165" t="str">
        <f t="shared" si="1068"/>
        <v>20249</v>
      </c>
      <c r="AQ3610" s="203" t="str">
        <f t="shared" si="1069"/>
        <v>20249JPY</v>
      </c>
      <c r="AR3610" s="206" t="str">
        <f t="shared" si="1070"/>
        <v>YAMAHA_Mounter</v>
      </c>
      <c r="AS3610" s="22">
        <f t="shared" si="1071"/>
        <v>4</v>
      </c>
      <c r="AT3610" s="24" t="str">
        <f t="shared" si="1072"/>
        <v>4-6 months</v>
      </c>
      <c r="AU3610" s="22" t="s">
        <v>3744</v>
      </c>
    </row>
    <row r="3611" spans="1:47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4"/>
        <v>Q1</v>
      </c>
      <c r="E3611" s="33" t="str">
        <f t="shared" ref="E3611:E3619" si="1076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1075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1074"/>
        <v>1.13</v>
      </c>
      <c r="Z3611" s="196">
        <f t="shared" si="1056"/>
        <v>503000</v>
      </c>
      <c r="AA3611" s="22">
        <v>1.0980000000000001</v>
      </c>
      <c r="AB3611" s="197">
        <f t="shared" si="1073"/>
        <v>488755.75221238943</v>
      </c>
      <c r="AC3611" s="198">
        <f t="shared" si="1065"/>
        <v>5571.8155752212397</v>
      </c>
      <c r="AD3611" s="22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1"/>
        <v>35931087.732566379</v>
      </c>
      <c r="AJ3611" s="200">
        <f t="shared" si="1062"/>
        <v>4347120.3954975223</v>
      </c>
      <c r="AK3611" s="201">
        <f t="shared" si="1067"/>
        <v>0.12098493727362117</v>
      </c>
      <c r="AL3611" s="24"/>
      <c r="AM3611" s="24"/>
      <c r="AN3611" s="24"/>
      <c r="AO3611" s="24"/>
      <c r="AP3611" s="165" t="str">
        <f t="shared" si="1068"/>
        <v>20249</v>
      </c>
      <c r="AQ3611" s="203" t="str">
        <f t="shared" si="1069"/>
        <v>20249RMB</v>
      </c>
      <c r="AR3611" s="206" t="str">
        <f t="shared" si="1070"/>
        <v>YAMAHA_Mounter</v>
      </c>
      <c r="AS3611" s="22">
        <f t="shared" si="1071"/>
        <v>4</v>
      </c>
      <c r="AT3611" s="24" t="str">
        <f t="shared" si="1072"/>
        <v>4-6 months</v>
      </c>
      <c r="AU3611" s="22" t="s">
        <v>3240</v>
      </c>
    </row>
    <row r="3612" spans="1:47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4"/>
        <v>Q1</v>
      </c>
      <c r="E3612" s="33" t="str">
        <f t="shared" si="1076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1075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1074"/>
        <v>1</v>
      </c>
      <c r="Z3612" s="196">
        <f t="shared" si="1056"/>
        <v>8100000</v>
      </c>
      <c r="AA3612" s="22">
        <v>5.5100000000000003E-2</v>
      </c>
      <c r="AB3612" s="197">
        <f t="shared" si="1073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1"/>
        <v>35931087.732566379</v>
      </c>
      <c r="AJ3612" s="200">
        <f t="shared" si="1062"/>
        <v>4347120.3954975223</v>
      </c>
      <c r="AK3612" s="201">
        <f t="shared" si="1067"/>
        <v>0.12098493727362117</v>
      </c>
      <c r="AL3612" s="24"/>
      <c r="AM3612" s="24"/>
      <c r="AN3612" s="24"/>
      <c r="AO3612" s="24"/>
      <c r="AP3612" s="165" t="str">
        <f t="shared" si="1068"/>
        <v>20249</v>
      </c>
      <c r="AQ3612" s="203" t="str">
        <f t="shared" si="1069"/>
        <v>20249JPY</v>
      </c>
      <c r="AR3612" s="206" t="str">
        <f t="shared" si="1070"/>
        <v>YAMAHA_Mounter</v>
      </c>
      <c r="AS3612" s="22">
        <f t="shared" si="1071"/>
        <v>3</v>
      </c>
      <c r="AT3612" s="24" t="str">
        <f t="shared" si="1072"/>
        <v>0-3 months</v>
      </c>
      <c r="AU3612" s="22" t="s">
        <v>3744</v>
      </c>
    </row>
    <row r="3613" spans="1:47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4"/>
        <v>Q1</v>
      </c>
      <c r="E3613" s="33" t="str">
        <f t="shared" si="1076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1075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1074"/>
        <v>1</v>
      </c>
      <c r="Z3613" s="196">
        <f t="shared" si="1056"/>
        <v>7415000</v>
      </c>
      <c r="AA3613" s="22">
        <v>5.5100000000000003E-2</v>
      </c>
      <c r="AB3613" s="197">
        <f t="shared" si="1073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1"/>
        <v>35931087.732566379</v>
      </c>
      <c r="AJ3613" s="200">
        <f t="shared" si="1062"/>
        <v>4347120.3954975223</v>
      </c>
      <c r="AK3613" s="201">
        <f t="shared" si="1067"/>
        <v>0.12098493727362117</v>
      </c>
      <c r="AL3613" s="24"/>
      <c r="AM3613" s="24"/>
      <c r="AN3613" s="24"/>
      <c r="AO3613" s="24"/>
      <c r="AP3613" s="165" t="str">
        <f t="shared" si="1068"/>
        <v>20249</v>
      </c>
      <c r="AQ3613" s="203" t="str">
        <f t="shared" si="1069"/>
        <v>20249JPY</v>
      </c>
      <c r="AR3613" s="206" t="str">
        <f t="shared" si="1070"/>
        <v>YAMAHA_Mounter</v>
      </c>
      <c r="AS3613" s="22">
        <f t="shared" si="1071"/>
        <v>3</v>
      </c>
      <c r="AT3613" s="24" t="str">
        <f t="shared" si="1072"/>
        <v>0-3 months</v>
      </c>
      <c r="AU3613" s="22" t="s">
        <v>3745</v>
      </c>
    </row>
    <row r="3614" spans="1:47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4"/>
        <v>Q1</v>
      </c>
      <c r="E3614" s="33" t="str">
        <f t="shared" si="1076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1075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1074"/>
        <v>1</v>
      </c>
      <c r="Z3614" s="196">
        <f t="shared" si="1056"/>
        <v>7415000</v>
      </c>
      <c r="AA3614" s="22">
        <v>5.5100000000000003E-2</v>
      </c>
      <c r="AB3614" s="197">
        <f t="shared" si="1073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1"/>
        <v>35931087.732566379</v>
      </c>
      <c r="AJ3614" s="200">
        <f t="shared" si="1062"/>
        <v>4347120.3954975223</v>
      </c>
      <c r="AK3614" s="201">
        <f t="shared" si="1067"/>
        <v>0.12098493727362117</v>
      </c>
      <c r="AL3614" s="24"/>
      <c r="AM3614" s="24"/>
      <c r="AN3614" s="24"/>
      <c r="AO3614" s="24"/>
      <c r="AP3614" s="165" t="str">
        <f t="shared" si="1068"/>
        <v>20249</v>
      </c>
      <c r="AQ3614" s="203" t="str">
        <f t="shared" si="1069"/>
        <v>20249JPY</v>
      </c>
      <c r="AR3614" s="206" t="str">
        <f t="shared" si="1070"/>
        <v>YAMAHA_Mounter</v>
      </c>
      <c r="AS3614" s="22">
        <f t="shared" si="1071"/>
        <v>3</v>
      </c>
      <c r="AT3614" s="24" t="str">
        <f t="shared" si="1072"/>
        <v>0-3 months</v>
      </c>
      <c r="AU3614" s="22" t="s">
        <v>3745</v>
      </c>
    </row>
    <row r="3615" spans="1:47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4"/>
        <v>Q1</v>
      </c>
      <c r="E3615" s="33" t="str">
        <f t="shared" si="1076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1075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1074"/>
        <v>1</v>
      </c>
      <c r="Z3615" s="196">
        <f t="shared" si="1056"/>
        <v>7415000</v>
      </c>
      <c r="AA3615" s="22">
        <v>5.5100000000000003E-2</v>
      </c>
      <c r="AB3615" s="197">
        <f t="shared" si="1073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1"/>
        <v>35931087.732566379</v>
      </c>
      <c r="AJ3615" s="200">
        <f t="shared" si="1062"/>
        <v>4347120.3954975223</v>
      </c>
      <c r="AK3615" s="201">
        <f t="shared" si="1067"/>
        <v>0.12098493727362117</v>
      </c>
      <c r="AL3615" s="24"/>
      <c r="AM3615" s="24"/>
      <c r="AN3615" s="24"/>
      <c r="AO3615" s="24"/>
      <c r="AP3615" s="165" t="str">
        <f t="shared" si="1068"/>
        <v>20249</v>
      </c>
      <c r="AQ3615" s="203" t="str">
        <f t="shared" si="1069"/>
        <v>20249JPY</v>
      </c>
      <c r="AR3615" s="206" t="str">
        <f t="shared" si="1070"/>
        <v>YAMAHA_Mounter</v>
      </c>
      <c r="AS3615" s="22">
        <f t="shared" si="1071"/>
        <v>3</v>
      </c>
      <c r="AT3615" s="24" t="str">
        <f t="shared" si="1072"/>
        <v>0-3 months</v>
      </c>
      <c r="AU3615" s="22" t="s">
        <v>3745</v>
      </c>
    </row>
    <row r="3616" spans="1:47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4"/>
        <v>Q1</v>
      </c>
      <c r="E3616" s="33" t="str">
        <f t="shared" si="1076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1075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1074"/>
        <v>1</v>
      </c>
      <c r="Z3616" s="196">
        <f t="shared" si="1056"/>
        <v>12100000</v>
      </c>
      <c r="AA3616" s="22">
        <v>5.5100000000000003E-2</v>
      </c>
      <c r="AB3616" s="197">
        <f t="shared" si="1073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1"/>
        <v>35931087.732566379</v>
      </c>
      <c r="AJ3616" s="200">
        <f t="shared" si="1062"/>
        <v>4347120.3954975223</v>
      </c>
      <c r="AK3616" s="201">
        <f t="shared" si="1067"/>
        <v>0.12098493727362117</v>
      </c>
      <c r="AL3616" s="24"/>
      <c r="AM3616" s="24"/>
      <c r="AN3616" s="24"/>
      <c r="AO3616" s="24"/>
      <c r="AP3616" s="165" t="str">
        <f t="shared" si="1068"/>
        <v>20249</v>
      </c>
      <c r="AQ3616" s="203" t="str">
        <f t="shared" si="1069"/>
        <v>20249JPY</v>
      </c>
      <c r="AR3616" s="206" t="str">
        <f t="shared" si="1070"/>
        <v>YAMAHA_Mounter</v>
      </c>
      <c r="AS3616" s="22">
        <f t="shared" si="1071"/>
        <v>3</v>
      </c>
      <c r="AT3616" s="24" t="str">
        <f t="shared" si="1072"/>
        <v>0-3 months</v>
      </c>
      <c r="AU3616" s="22" t="s">
        <v>3745</v>
      </c>
    </row>
    <row r="3617" spans="1:47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4"/>
        <v>Q1</v>
      </c>
      <c r="E3617" s="33" t="str">
        <f t="shared" si="1076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1075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1074"/>
        <v>1</v>
      </c>
      <c r="Z3617" s="196">
        <f t="shared" si="1056"/>
        <v>12100000</v>
      </c>
      <c r="AA3617" s="22">
        <v>5.5100000000000003E-2</v>
      </c>
      <c r="AB3617" s="197">
        <f t="shared" si="1073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1"/>
        <v>35931087.732566379</v>
      </c>
      <c r="AJ3617" s="200">
        <f t="shared" si="1062"/>
        <v>4347120.3954975223</v>
      </c>
      <c r="AK3617" s="201">
        <f t="shared" si="1067"/>
        <v>0.12098493727362117</v>
      </c>
      <c r="AL3617" s="24"/>
      <c r="AM3617" s="24"/>
      <c r="AN3617" s="24"/>
      <c r="AO3617" s="24"/>
      <c r="AP3617" s="165" t="str">
        <f t="shared" si="1068"/>
        <v>20249</v>
      </c>
      <c r="AQ3617" s="203" t="str">
        <f t="shared" si="1069"/>
        <v>20249JPY</v>
      </c>
      <c r="AR3617" s="206" t="str">
        <f t="shared" si="1070"/>
        <v>YAMAHA_Mounter</v>
      </c>
      <c r="AS3617" s="22">
        <f t="shared" si="1071"/>
        <v>3</v>
      </c>
      <c r="AT3617" s="24" t="str">
        <f t="shared" si="1072"/>
        <v>0-3 months</v>
      </c>
      <c r="AU3617" s="22" t="s">
        <v>3745</v>
      </c>
    </row>
    <row r="3618" spans="1:47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4"/>
        <v>Q1</v>
      </c>
      <c r="E3618" s="33" t="str">
        <f t="shared" si="1076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1075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1074"/>
        <v>1</v>
      </c>
      <c r="Z3618" s="196">
        <f t="shared" si="1056"/>
        <v>12100000</v>
      </c>
      <c r="AA3618" s="22">
        <v>5.5100000000000003E-2</v>
      </c>
      <c r="AB3618" s="197">
        <f t="shared" si="1073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1"/>
        <v>35931087.732566379</v>
      </c>
      <c r="AJ3618" s="200">
        <f t="shared" si="1062"/>
        <v>4347120.3954975223</v>
      </c>
      <c r="AK3618" s="201">
        <f t="shared" si="1067"/>
        <v>0.12098493727362117</v>
      </c>
      <c r="AL3618" s="24"/>
      <c r="AM3618" s="24"/>
      <c r="AN3618" s="24"/>
      <c r="AO3618" s="24"/>
      <c r="AP3618" s="165" t="str">
        <f t="shared" si="1068"/>
        <v>20249</v>
      </c>
      <c r="AQ3618" s="203" t="str">
        <f t="shared" si="1069"/>
        <v>20249JPY</v>
      </c>
      <c r="AR3618" s="206" t="str">
        <f t="shared" si="1070"/>
        <v>YAMAHA_Mounter</v>
      </c>
      <c r="AS3618" s="22">
        <f t="shared" si="1071"/>
        <v>3</v>
      </c>
      <c r="AT3618" s="24" t="str">
        <f t="shared" si="1072"/>
        <v>0-3 months</v>
      </c>
      <c r="AU3618" s="22" t="s">
        <v>3745</v>
      </c>
    </row>
    <row r="3619" spans="1:47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4"/>
        <v>Q1</v>
      </c>
      <c r="E3619" s="33" t="str">
        <f t="shared" si="1076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1075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1074"/>
        <v>1</v>
      </c>
      <c r="Z3619" s="196">
        <f t="shared" si="1056"/>
        <v>12100000</v>
      </c>
      <c r="AA3619" s="22">
        <v>5.5100000000000003E-2</v>
      </c>
      <c r="AB3619" s="197">
        <f t="shared" si="1073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1"/>
        <v>35931087.732566379</v>
      </c>
      <c r="AJ3619" s="200">
        <f t="shared" si="1062"/>
        <v>4347120.3954975223</v>
      </c>
      <c r="AK3619" s="201">
        <f t="shared" si="1067"/>
        <v>0.12098493727362117</v>
      </c>
      <c r="AL3619" s="24"/>
      <c r="AM3619" s="24"/>
      <c r="AN3619" s="24"/>
      <c r="AO3619" s="24"/>
      <c r="AP3619" s="165" t="str">
        <f t="shared" si="1068"/>
        <v>20249</v>
      </c>
      <c r="AQ3619" s="203" t="str">
        <f t="shared" si="1069"/>
        <v>20249JPY</v>
      </c>
      <c r="AR3619" s="206" t="str">
        <f t="shared" si="1070"/>
        <v>YAMAHA_Mounter</v>
      </c>
      <c r="AS3619" s="22">
        <f t="shared" si="1071"/>
        <v>3</v>
      </c>
      <c r="AT3619" s="24" t="str">
        <f t="shared" si="1072"/>
        <v>0-3 months</v>
      </c>
      <c r="AU3619" s="22" t="s">
        <v>3745</v>
      </c>
    </row>
    <row r="3620" spans="1:47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4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1075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1074"/>
        <v>1</v>
      </c>
      <c r="Z3620" s="196">
        <f t="shared" si="1056"/>
        <v>11800000</v>
      </c>
      <c r="AA3620" s="22">
        <v>5.5100000000000003E-2</v>
      </c>
      <c r="AB3620" s="197">
        <f t="shared" si="1073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1"/>
        <v>35931087.732566379</v>
      </c>
      <c r="AJ3620" s="200">
        <f t="shared" si="1062"/>
        <v>4347120.3954975223</v>
      </c>
      <c r="AK3620" s="201">
        <f t="shared" si="1067"/>
        <v>0.12098493727362117</v>
      </c>
      <c r="AL3620" s="24"/>
      <c r="AM3620" s="24"/>
      <c r="AN3620" s="24"/>
      <c r="AO3620" s="24"/>
      <c r="AP3620" s="165" t="str">
        <f t="shared" si="1068"/>
        <v>20249</v>
      </c>
      <c r="AQ3620" s="203" t="str">
        <f t="shared" si="1069"/>
        <v>20249JPY</v>
      </c>
      <c r="AR3620" s="206" t="str">
        <f t="shared" si="1070"/>
        <v>YAMAHA_Mounter</v>
      </c>
      <c r="AS3620" s="22">
        <f t="shared" si="1071"/>
        <v>2</v>
      </c>
      <c r="AT3620" s="24" t="str">
        <f t="shared" si="1072"/>
        <v>0-3 months</v>
      </c>
      <c r="AU3620" s="22" t="s">
        <v>3744</v>
      </c>
    </row>
    <row r="3621" spans="1:47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4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1075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1074"/>
        <v>1</v>
      </c>
      <c r="Z3621" s="196">
        <f t="shared" si="1056"/>
        <v>80750</v>
      </c>
      <c r="AA3621" s="22">
        <v>7.8</v>
      </c>
      <c r="AB3621" s="197">
        <f t="shared" si="1073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1"/>
        <v>32082250.320460182</v>
      </c>
      <c r="AJ3621" s="200">
        <f t="shared" si="1062"/>
        <v>4323122.9746477893</v>
      </c>
      <c r="AK3621" s="201">
        <f t="shared" si="1067"/>
        <v>0.1347512388147771</v>
      </c>
      <c r="AL3621" s="24"/>
      <c r="AM3621" s="24"/>
      <c r="AN3621" s="24"/>
      <c r="AO3621" s="24"/>
      <c r="AP3621" s="165" t="str">
        <f t="shared" si="1068"/>
        <v>202411</v>
      </c>
      <c r="AQ3621" s="203" t="str">
        <f t="shared" si="1069"/>
        <v>202411USD</v>
      </c>
      <c r="AR3621" s="206" t="str">
        <f t="shared" si="1070"/>
        <v>YAMAHA_Mounter</v>
      </c>
      <c r="AS3621" s="22">
        <f t="shared" si="1071"/>
        <v>4</v>
      </c>
      <c r="AT3621" s="24" t="str">
        <f t="shared" si="1072"/>
        <v>4-6 months</v>
      </c>
      <c r="AU3621" s="22" t="s">
        <v>3240</v>
      </c>
    </row>
    <row r="3622" spans="1:47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4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1075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1074"/>
        <v>1</v>
      </c>
      <c r="Z3622" s="196">
        <f t="shared" si="1056"/>
        <v>11800000</v>
      </c>
      <c r="AA3622" s="22">
        <v>5.5100000000000003E-2</v>
      </c>
      <c r="AB3622" s="197">
        <f t="shared" si="1073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1"/>
        <v>35931087.732566379</v>
      </c>
      <c r="AJ3622" s="200">
        <f t="shared" si="1062"/>
        <v>4347120.3954975223</v>
      </c>
      <c r="AK3622" s="201">
        <f t="shared" si="1067"/>
        <v>0.12098493727362117</v>
      </c>
      <c r="AL3622" s="24"/>
      <c r="AM3622" s="24"/>
      <c r="AN3622" s="24"/>
      <c r="AO3622" s="24"/>
      <c r="AP3622" s="165" t="str">
        <f t="shared" si="1068"/>
        <v>20249</v>
      </c>
      <c r="AQ3622" s="203" t="str">
        <f t="shared" si="1069"/>
        <v>20249JPY</v>
      </c>
      <c r="AR3622" s="206" t="str">
        <f t="shared" si="1070"/>
        <v>YAMAHA_Mounter</v>
      </c>
      <c r="AS3622" s="22">
        <f t="shared" si="1071"/>
        <v>2</v>
      </c>
      <c r="AT3622" s="24" t="str">
        <f t="shared" si="1072"/>
        <v>0-3 months</v>
      </c>
      <c r="AU3622" s="22" t="s">
        <v>3744</v>
      </c>
    </row>
    <row r="3623" spans="1:47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4"/>
        <v>Q3</v>
      </c>
      <c r="E3623" s="33" t="str">
        <f t="shared" ref="E3623:E3654" si="1077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1075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1074"/>
        <v>1</v>
      </c>
      <c r="Z3623" s="18">
        <f t="shared" si="1056"/>
        <v>11900000</v>
      </c>
      <c r="AA3623" s="13">
        <v>5.5100000000000003E-2</v>
      </c>
      <c r="AB3623" s="21">
        <f t="shared" si="1073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1"/>
        <v>35931087.732566379</v>
      </c>
      <c r="AJ3623" s="19">
        <f t="shared" si="1062"/>
        <v>4347120.3954975223</v>
      </c>
      <c r="AK3623" s="20">
        <f t="shared" si="1067"/>
        <v>0.12098493727362117</v>
      </c>
      <c r="AL3623" s="17"/>
      <c r="AM3623" s="17"/>
      <c r="AN3623" s="17"/>
      <c r="AO3623" s="17"/>
      <c r="AP3623" s="95" t="str">
        <f t="shared" si="1068"/>
        <v>20249</v>
      </c>
      <c r="AQ3623" s="203" t="str">
        <f t="shared" si="1069"/>
        <v>20249JPY</v>
      </c>
      <c r="AR3623" s="206" t="str">
        <f t="shared" si="1070"/>
        <v>YAMAHA_Mounter</v>
      </c>
      <c r="AS3623" s="22">
        <f t="shared" si="1071"/>
        <v>10</v>
      </c>
      <c r="AT3623" s="24" t="str">
        <f t="shared" si="1072"/>
        <v>&gt; 6 months</v>
      </c>
      <c r="AU3623" s="22" t="s">
        <v>3744</v>
      </c>
    </row>
    <row r="3624" spans="1:47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4"/>
        <v>Q1</v>
      </c>
      <c r="E3624" s="33" t="str">
        <f t="shared" si="1077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1075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1074"/>
        <v>1</v>
      </c>
      <c r="Z3624" s="196">
        <f t="shared" si="1056"/>
        <v>16164500</v>
      </c>
      <c r="AA3624" s="22">
        <v>5.5100000000000003E-2</v>
      </c>
      <c r="AB3624" s="197">
        <f t="shared" si="1073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1"/>
        <v>35931087.732566379</v>
      </c>
      <c r="AJ3624" s="200">
        <f t="shared" si="1062"/>
        <v>4347120.3954975223</v>
      </c>
      <c r="AK3624" s="201">
        <f t="shared" si="1067"/>
        <v>0.12098493727362117</v>
      </c>
      <c r="AL3624" s="24"/>
      <c r="AM3624" s="24"/>
      <c r="AN3624" s="24"/>
      <c r="AO3624" s="24"/>
      <c r="AP3624" s="165" t="str">
        <f t="shared" si="1068"/>
        <v>20249</v>
      </c>
      <c r="AQ3624" s="203" t="str">
        <f t="shared" si="1069"/>
        <v>20249JPY</v>
      </c>
      <c r="AR3624" s="206" t="str">
        <f t="shared" si="1070"/>
        <v>YAMAHA_Mounter</v>
      </c>
      <c r="AS3624" s="22">
        <f t="shared" si="1071"/>
        <v>3</v>
      </c>
      <c r="AT3624" s="24" t="str">
        <f t="shared" si="1072"/>
        <v>0-3 months</v>
      </c>
      <c r="AU3624" s="22" t="s">
        <v>3745</v>
      </c>
    </row>
    <row r="3625" spans="1:47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4"/>
        <v>Q1</v>
      </c>
      <c r="E3625" s="33" t="str">
        <f t="shared" si="1077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1075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1074"/>
        <v>1</v>
      </c>
      <c r="Z3625" s="196">
        <f t="shared" si="1056"/>
        <v>16164500</v>
      </c>
      <c r="AA3625" s="22">
        <v>5.5100000000000003E-2</v>
      </c>
      <c r="AB3625" s="197">
        <f t="shared" ref="AB3625:AB3656" si="1078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1"/>
        <v>35931087.732566379</v>
      </c>
      <c r="AJ3625" s="200">
        <f t="shared" si="1062"/>
        <v>4347120.3954975223</v>
      </c>
      <c r="AK3625" s="201">
        <f t="shared" si="1067"/>
        <v>0.12098493727362117</v>
      </c>
      <c r="AL3625" s="24"/>
      <c r="AM3625" s="24"/>
      <c r="AN3625" s="24"/>
      <c r="AO3625" s="24"/>
      <c r="AP3625" s="165" t="str">
        <f t="shared" si="1068"/>
        <v>20249</v>
      </c>
      <c r="AQ3625" s="203" t="str">
        <f t="shared" si="1069"/>
        <v>20249JPY</v>
      </c>
      <c r="AR3625" s="206" t="str">
        <f t="shared" si="1070"/>
        <v>YAMAHA_Mounter</v>
      </c>
      <c r="AS3625" s="22">
        <f t="shared" si="1071"/>
        <v>3</v>
      </c>
      <c r="AT3625" s="24" t="str">
        <f t="shared" si="1072"/>
        <v>0-3 months</v>
      </c>
      <c r="AU3625" s="22" t="s">
        <v>3745</v>
      </c>
    </row>
    <row r="3626" spans="1:47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4"/>
        <v>Q1</v>
      </c>
      <c r="E3626" s="33" t="str">
        <f t="shared" si="1077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1075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1074"/>
        <v>1</v>
      </c>
      <c r="Z3626" s="196">
        <f t="shared" si="1056"/>
        <v>16164500</v>
      </c>
      <c r="AA3626" s="22">
        <v>5.5100000000000003E-2</v>
      </c>
      <c r="AB3626" s="197">
        <f t="shared" si="1078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1"/>
        <v>35931087.732566379</v>
      </c>
      <c r="AJ3626" s="200">
        <f t="shared" si="1062"/>
        <v>4347120.3954975223</v>
      </c>
      <c r="AK3626" s="201">
        <f t="shared" si="1067"/>
        <v>0.12098493727362117</v>
      </c>
      <c r="AL3626" s="24"/>
      <c r="AM3626" s="24"/>
      <c r="AN3626" s="24"/>
      <c r="AO3626" s="24"/>
      <c r="AP3626" s="165" t="str">
        <f t="shared" si="1068"/>
        <v>20249</v>
      </c>
      <c r="AQ3626" s="203" t="str">
        <f t="shared" si="1069"/>
        <v>20249JPY</v>
      </c>
      <c r="AR3626" s="206" t="str">
        <f t="shared" si="1070"/>
        <v>YAMAHA_Mounter</v>
      </c>
      <c r="AS3626" s="22">
        <f t="shared" si="1071"/>
        <v>3</v>
      </c>
      <c r="AT3626" s="24" t="str">
        <f t="shared" si="1072"/>
        <v>0-3 months</v>
      </c>
      <c r="AU3626" s="22" t="s">
        <v>3745</v>
      </c>
    </row>
    <row r="3627" spans="1:47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4"/>
        <v>Q2</v>
      </c>
      <c r="E3627" s="33" t="str">
        <f t="shared" si="1077"/>
        <v>Cancel</v>
      </c>
      <c r="F3627" s="23" t="s">
        <v>185</v>
      </c>
      <c r="G3627" s="23" t="s">
        <v>185</v>
      </c>
      <c r="H3627" s="29"/>
      <c r="I3627" s="204" t="str">
        <f t="shared" si="1064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1075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1074"/>
        <v>1</v>
      </c>
      <c r="Z3627" s="196">
        <f t="shared" si="1056"/>
        <v>12300000</v>
      </c>
      <c r="AA3627" s="22">
        <v>5.1799999999999999E-2</v>
      </c>
      <c r="AB3627" s="197">
        <f t="shared" si="1078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1"/>
        <v>499582152.5142017</v>
      </c>
      <c r="AJ3627" s="200">
        <f t="shared" si="1062"/>
        <v>59520528.679470733</v>
      </c>
      <c r="AK3627" s="201">
        <f t="shared" si="1067"/>
        <v>0.11914062257814291</v>
      </c>
      <c r="AL3627" s="24"/>
      <c r="AM3627" s="24"/>
      <c r="AN3627" s="24"/>
      <c r="AO3627" s="24"/>
      <c r="AP3627" s="165" t="str">
        <f t="shared" si="1068"/>
        <v>CancelCancel</v>
      </c>
      <c r="AQ3627" s="203" t="str">
        <f t="shared" si="1069"/>
        <v>CancelCancelJPY</v>
      </c>
      <c r="AR3627" s="206" t="str">
        <f t="shared" si="1070"/>
        <v>YAMAHA_Mounter</v>
      </c>
      <c r="AS3627" s="22" t="str">
        <f t="shared" si="1071"/>
        <v/>
      </c>
      <c r="AT3627" s="24" t="str">
        <f t="shared" si="1072"/>
        <v/>
      </c>
      <c r="AU3627" s="22" t="s">
        <v>3744</v>
      </c>
    </row>
    <row r="3628" spans="1:47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4"/>
        <v>Q2</v>
      </c>
      <c r="E3628" s="33" t="str">
        <f t="shared" si="1077"/>
        <v>Cancel</v>
      </c>
      <c r="F3628" s="23" t="s">
        <v>185</v>
      </c>
      <c r="G3628" s="23" t="s">
        <v>185</v>
      </c>
      <c r="H3628" s="29"/>
      <c r="I3628" s="204" t="str">
        <f t="shared" si="1064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1075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1074"/>
        <v>1</v>
      </c>
      <c r="Z3628" s="196">
        <f t="shared" si="1056"/>
        <v>12300000</v>
      </c>
      <c r="AA3628" s="22">
        <v>5.1799999999999999E-2</v>
      </c>
      <c r="AB3628" s="197">
        <f t="shared" si="1078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1"/>
        <v>499582152.5142017</v>
      </c>
      <c r="AJ3628" s="200">
        <f t="shared" si="1062"/>
        <v>59520528.679470733</v>
      </c>
      <c r="AK3628" s="201">
        <f t="shared" si="1067"/>
        <v>0.11914062257814291</v>
      </c>
      <c r="AL3628" s="24"/>
      <c r="AM3628" s="24"/>
      <c r="AN3628" s="24"/>
      <c r="AO3628" s="24"/>
      <c r="AP3628" s="165" t="str">
        <f t="shared" si="1068"/>
        <v>CancelCancel</v>
      </c>
      <c r="AQ3628" s="203" t="str">
        <f t="shared" si="1069"/>
        <v>CancelCancelJPY</v>
      </c>
      <c r="AR3628" s="206" t="str">
        <f t="shared" si="1070"/>
        <v>YAMAHA_Mounter</v>
      </c>
      <c r="AS3628" s="22" t="str">
        <f t="shared" si="1071"/>
        <v/>
      </c>
      <c r="AT3628" s="24" t="str">
        <f t="shared" si="1072"/>
        <v/>
      </c>
      <c r="AU3628" s="22" t="s">
        <v>3744</v>
      </c>
    </row>
    <row r="3629" spans="1:47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4"/>
        <v>Q2</v>
      </c>
      <c r="E3629" s="33" t="str">
        <f t="shared" si="1077"/>
        <v>Cancel</v>
      </c>
      <c r="F3629" s="23" t="s">
        <v>185</v>
      </c>
      <c r="G3629" s="23" t="s">
        <v>185</v>
      </c>
      <c r="H3629" s="29"/>
      <c r="I3629" s="204" t="str">
        <f t="shared" si="1064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1075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1074"/>
        <v>1</v>
      </c>
      <c r="Z3629" s="196">
        <f t="shared" si="1056"/>
        <v>12300000</v>
      </c>
      <c r="AA3629" s="22">
        <v>5.1799999999999999E-2</v>
      </c>
      <c r="AB3629" s="197">
        <f t="shared" si="1078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1"/>
        <v>499582152.5142017</v>
      </c>
      <c r="AJ3629" s="200">
        <f t="shared" si="1062"/>
        <v>59520528.679470733</v>
      </c>
      <c r="AK3629" s="201">
        <f t="shared" si="1067"/>
        <v>0.11914062257814291</v>
      </c>
      <c r="AL3629" s="24"/>
      <c r="AM3629" s="24"/>
      <c r="AN3629" s="24"/>
      <c r="AO3629" s="24"/>
      <c r="AP3629" s="165" t="str">
        <f t="shared" si="1068"/>
        <v>CancelCancel</v>
      </c>
      <c r="AQ3629" s="203" t="str">
        <f t="shared" si="1069"/>
        <v>CancelCancelJPY</v>
      </c>
      <c r="AR3629" s="206" t="str">
        <f t="shared" si="1070"/>
        <v>YAMAHA_Mounter</v>
      </c>
      <c r="AS3629" s="22" t="str">
        <f t="shared" si="1071"/>
        <v/>
      </c>
      <c r="AT3629" s="24" t="str">
        <f t="shared" si="1072"/>
        <v/>
      </c>
      <c r="AU3629" s="22" t="s">
        <v>3744</v>
      </c>
    </row>
    <row r="3630" spans="1:47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4"/>
        <v>Q2</v>
      </c>
      <c r="E3630" s="33" t="str">
        <f t="shared" si="1077"/>
        <v>Cancel</v>
      </c>
      <c r="F3630" s="23" t="s">
        <v>185</v>
      </c>
      <c r="G3630" s="23" t="s">
        <v>185</v>
      </c>
      <c r="H3630" s="29"/>
      <c r="I3630" s="204" t="str">
        <f t="shared" si="1064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1075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1074"/>
        <v>1</v>
      </c>
      <c r="Z3630" s="196">
        <f t="shared" si="1056"/>
        <v>12300000</v>
      </c>
      <c r="AA3630" s="22">
        <v>5.1799999999999999E-2</v>
      </c>
      <c r="AB3630" s="197">
        <f t="shared" si="1078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1"/>
        <v>499582152.5142017</v>
      </c>
      <c r="AJ3630" s="200">
        <f t="shared" si="1062"/>
        <v>59520528.679470733</v>
      </c>
      <c r="AK3630" s="201">
        <f t="shared" si="1067"/>
        <v>0.11914062257814291</v>
      </c>
      <c r="AL3630" s="24"/>
      <c r="AM3630" s="24"/>
      <c r="AN3630" s="24"/>
      <c r="AO3630" s="24"/>
      <c r="AP3630" s="165" t="str">
        <f t="shared" si="1068"/>
        <v>CancelCancel</v>
      </c>
      <c r="AQ3630" s="203" t="str">
        <f t="shared" si="1069"/>
        <v>CancelCancelJPY</v>
      </c>
      <c r="AR3630" s="206" t="str">
        <f t="shared" si="1070"/>
        <v>YAMAHA_Mounter</v>
      </c>
      <c r="AS3630" s="22" t="str">
        <f t="shared" si="1071"/>
        <v/>
      </c>
      <c r="AT3630" s="24" t="str">
        <f t="shared" si="1072"/>
        <v/>
      </c>
      <c r="AU3630" s="22" t="s">
        <v>3744</v>
      </c>
    </row>
    <row r="3631" spans="1:47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4"/>
        <v>Q2</v>
      </c>
      <c r="E3631" s="33" t="str">
        <f t="shared" si="1077"/>
        <v>Cancel</v>
      </c>
      <c r="F3631" s="23" t="s">
        <v>185</v>
      </c>
      <c r="G3631" s="23" t="s">
        <v>185</v>
      </c>
      <c r="H3631" s="29"/>
      <c r="I3631" s="204" t="str">
        <f t="shared" si="1064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1075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1074"/>
        <v>1.13</v>
      </c>
      <c r="Z3631" s="196">
        <f t="shared" si="1056"/>
        <v>455000</v>
      </c>
      <c r="AA3631" s="22">
        <v>1.073</v>
      </c>
      <c r="AB3631" s="197">
        <f t="shared" si="1078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1"/>
        <v>499582152.5142017</v>
      </c>
      <c r="AJ3631" s="200">
        <f t="shared" si="1062"/>
        <v>59520528.679470733</v>
      </c>
      <c r="AK3631" s="201">
        <f t="shared" si="1067"/>
        <v>0.11914062257814291</v>
      </c>
      <c r="AL3631" s="24"/>
      <c r="AM3631" s="24"/>
      <c r="AN3631" s="24"/>
      <c r="AO3631" s="24"/>
      <c r="AP3631" s="165" t="str">
        <f t="shared" si="1068"/>
        <v>CancelCancel</v>
      </c>
      <c r="AQ3631" s="203" t="str">
        <f t="shared" si="1069"/>
        <v>CancelCancelRMB</v>
      </c>
      <c r="AR3631" s="206" t="str">
        <f t="shared" si="1070"/>
        <v>YAMAHA_Mounter</v>
      </c>
      <c r="AS3631" s="22" t="str">
        <f t="shared" si="1071"/>
        <v/>
      </c>
      <c r="AT3631" s="24" t="str">
        <f t="shared" si="1072"/>
        <v/>
      </c>
      <c r="AU3631" s="22" t="s">
        <v>3240</v>
      </c>
    </row>
    <row r="3632" spans="1:47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4"/>
        <v>Q2</v>
      </c>
      <c r="E3632" s="33" t="str">
        <f t="shared" si="1077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1075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1074"/>
        <v>1</v>
      </c>
      <c r="Z3632" s="196">
        <f t="shared" si="1056"/>
        <v>166000</v>
      </c>
      <c r="AA3632" s="22">
        <v>7.8</v>
      </c>
      <c r="AB3632" s="197">
        <f t="shared" si="1078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1"/>
        <v>32082250.320460182</v>
      </c>
      <c r="AJ3632" s="200">
        <f t="shared" si="1062"/>
        <v>4323122.9746477893</v>
      </c>
      <c r="AK3632" s="201">
        <f t="shared" si="1067"/>
        <v>0.1347512388147771</v>
      </c>
      <c r="AL3632" s="24"/>
      <c r="AM3632" s="24"/>
      <c r="AN3632" s="24"/>
      <c r="AO3632" s="24"/>
      <c r="AP3632" s="165" t="str">
        <f t="shared" si="1068"/>
        <v>202411</v>
      </c>
      <c r="AQ3632" s="203" t="str">
        <f t="shared" si="1069"/>
        <v>202411USD</v>
      </c>
      <c r="AR3632" s="206" t="str">
        <f t="shared" si="1070"/>
        <v>YAMAHA_Mounter</v>
      </c>
      <c r="AS3632" s="22">
        <f t="shared" si="1071"/>
        <v>4</v>
      </c>
      <c r="AT3632" s="24" t="str">
        <f t="shared" si="1072"/>
        <v>4-6 months</v>
      </c>
      <c r="AU3632" s="22" t="s">
        <v>3240</v>
      </c>
    </row>
    <row r="3633" spans="1:47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4"/>
        <v>Q1</v>
      </c>
      <c r="E3633" s="33" t="str">
        <f t="shared" si="1077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1075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1074"/>
        <v>1</v>
      </c>
      <c r="Z3633" s="196">
        <f t="shared" si="1056"/>
        <v>16164500</v>
      </c>
      <c r="AA3633" s="22">
        <v>5.5100000000000003E-2</v>
      </c>
      <c r="AB3633" s="197">
        <f t="shared" si="1078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1"/>
        <v>35931087.732566379</v>
      </c>
      <c r="AJ3633" s="200">
        <f t="shared" si="1062"/>
        <v>4347120.3954975223</v>
      </c>
      <c r="AK3633" s="201">
        <f t="shared" si="1067"/>
        <v>0.12098493727362117</v>
      </c>
      <c r="AL3633" s="24"/>
      <c r="AM3633" s="24"/>
      <c r="AN3633" s="24"/>
      <c r="AO3633" s="24"/>
      <c r="AP3633" s="165" t="str">
        <f t="shared" si="1068"/>
        <v>20249</v>
      </c>
      <c r="AQ3633" s="203" t="str">
        <f t="shared" si="1069"/>
        <v>20249JPY</v>
      </c>
      <c r="AR3633" s="206" t="str">
        <f t="shared" si="1070"/>
        <v>YAMAHA_Mounter</v>
      </c>
      <c r="AS3633" s="22">
        <f t="shared" si="1071"/>
        <v>3</v>
      </c>
      <c r="AT3633" s="24" t="str">
        <f t="shared" si="1072"/>
        <v>0-3 months</v>
      </c>
      <c r="AU3633" s="22" t="s">
        <v>3745</v>
      </c>
    </row>
    <row r="3634" spans="1:47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79">IF(B3634="","",IF(AND(C3634&gt;=10,C3634&lt;=12),"Q3",IF(AND(C3634&gt;=1,C3634&lt;=3),"Q4",IF(AND(C3634&gt;=7,C3634&lt;=9),"Q2",IF(AND(C3634&gt;=4,C3634&lt;=6),"Q1")))))</f>
        <v>Q2</v>
      </c>
      <c r="E3634" s="33" t="str">
        <f t="shared" si="1077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1075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1074"/>
        <v>1.13</v>
      </c>
      <c r="Z3634" s="196">
        <f t="shared" ref="Z3634:Z3697" si="1080">IF(X3634="","",X3634*MAX(O3634,N3634))</f>
        <v>432999</v>
      </c>
      <c r="AA3634" s="22">
        <v>1.1080000000000001</v>
      </c>
      <c r="AB3634" s="197">
        <f t="shared" si="1078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1"/>
        <v>22758096.38940867</v>
      </c>
      <c r="AJ3634" s="200">
        <f t="shared" si="1062"/>
        <v>2469357.2298956565</v>
      </c>
      <c r="AK3634" s="201">
        <f t="shared" si="1067"/>
        <v>0.10850455976822666</v>
      </c>
      <c r="AL3634" s="24"/>
      <c r="AM3634" s="24"/>
      <c r="AN3634" s="24"/>
      <c r="AO3634" s="24"/>
      <c r="AP3634" s="165" t="str">
        <f t="shared" si="1068"/>
        <v>202410</v>
      </c>
      <c r="AQ3634" s="203" t="str">
        <f t="shared" si="1069"/>
        <v>202410RMB</v>
      </c>
      <c r="AR3634" s="206" t="str">
        <f t="shared" si="1070"/>
        <v>YAMAHA_Mounter</v>
      </c>
      <c r="AS3634" s="22">
        <f t="shared" si="1071"/>
        <v>3</v>
      </c>
      <c r="AT3634" s="24" t="str">
        <f t="shared" si="1072"/>
        <v>0-3 months</v>
      </c>
      <c r="AU3634" s="22" t="s">
        <v>3240</v>
      </c>
    </row>
    <row r="3635" spans="1:47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79"/>
        <v>Q2</v>
      </c>
      <c r="E3635" s="33" t="str">
        <f t="shared" si="1077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1075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1074"/>
        <v>1.13</v>
      </c>
      <c r="Z3635" s="196">
        <f t="shared" si="1080"/>
        <v>600000</v>
      </c>
      <c r="AA3635" s="22">
        <v>1.0920000000000001</v>
      </c>
      <c r="AB3635" s="197">
        <f t="shared" si="1078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1"/>
        <v>32082250.320460182</v>
      </c>
      <c r="AJ3635" s="200">
        <f t="shared" si="1062"/>
        <v>4323122.9746477893</v>
      </c>
      <c r="AK3635" s="201">
        <f t="shared" si="1067"/>
        <v>0.1347512388147771</v>
      </c>
      <c r="AL3635" s="24"/>
      <c r="AM3635" s="24"/>
      <c r="AN3635" s="24"/>
      <c r="AO3635" s="24"/>
      <c r="AP3635" s="165" t="str">
        <f t="shared" si="1068"/>
        <v>202411</v>
      </c>
      <c r="AQ3635" s="203" t="str">
        <f t="shared" si="1069"/>
        <v>202411RMB</v>
      </c>
      <c r="AR3635" s="206" t="str">
        <f t="shared" si="1070"/>
        <v>YAMAHA_Mounter</v>
      </c>
      <c r="AS3635" s="22">
        <f t="shared" si="1071"/>
        <v>4</v>
      </c>
      <c r="AT3635" s="24" t="str">
        <f t="shared" si="1072"/>
        <v>4-6 months</v>
      </c>
      <c r="AU3635" s="22" t="s">
        <v>3240</v>
      </c>
    </row>
    <row r="3636" spans="1:47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79"/>
        <v>Q2</v>
      </c>
      <c r="E3636" s="33" t="str">
        <f t="shared" si="1077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1075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1081">IF(W3636="","",IF(W3636="RMB","1.13", "1"))</f>
        <v>1.13</v>
      </c>
      <c r="Z3636" s="196">
        <f t="shared" si="1080"/>
        <v>600000</v>
      </c>
      <c r="AA3636" s="22">
        <v>1.0920000000000001</v>
      </c>
      <c r="AB3636" s="197">
        <f t="shared" si="1078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1"/>
        <v>32082250.320460182</v>
      </c>
      <c r="AJ3636" s="200">
        <f t="shared" si="1062"/>
        <v>4323122.9746477893</v>
      </c>
      <c r="AK3636" s="201">
        <f t="shared" si="1067"/>
        <v>0.1347512388147771</v>
      </c>
      <c r="AL3636" s="24"/>
      <c r="AM3636" s="24"/>
      <c r="AN3636" s="24"/>
      <c r="AO3636" s="24"/>
      <c r="AP3636" s="165" t="str">
        <f t="shared" si="1068"/>
        <v>202411</v>
      </c>
      <c r="AQ3636" s="203" t="str">
        <f t="shared" si="1069"/>
        <v>202411RMB</v>
      </c>
      <c r="AR3636" s="206" t="str">
        <f t="shared" si="1070"/>
        <v>YAMAHA_Mounter</v>
      </c>
      <c r="AS3636" s="22">
        <f t="shared" si="1071"/>
        <v>4</v>
      </c>
      <c r="AT3636" s="24" t="str">
        <f t="shared" si="1072"/>
        <v>4-6 months</v>
      </c>
      <c r="AU3636" s="22" t="s">
        <v>3240</v>
      </c>
    </row>
    <row r="3637" spans="1:47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79"/>
        <v>Q1</v>
      </c>
      <c r="E3637" s="33" t="str">
        <f t="shared" si="1077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1075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1081"/>
        <v>1</v>
      </c>
      <c r="Z3637" s="196">
        <f t="shared" si="1080"/>
        <v>16164500</v>
      </c>
      <c r="AA3637" s="22">
        <v>5.5100000000000003E-2</v>
      </c>
      <c r="AB3637" s="197">
        <f t="shared" si="1078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1"/>
        <v>35931087.732566379</v>
      </c>
      <c r="AJ3637" s="200">
        <f t="shared" si="1062"/>
        <v>4347120.3954975223</v>
      </c>
      <c r="AK3637" s="201">
        <f t="shared" si="1067"/>
        <v>0.12098493727362117</v>
      </c>
      <c r="AL3637" s="24"/>
      <c r="AM3637" s="24"/>
      <c r="AN3637" s="24"/>
      <c r="AO3637" s="24"/>
      <c r="AP3637" s="165" t="str">
        <f t="shared" si="1068"/>
        <v>20249</v>
      </c>
      <c r="AQ3637" s="203" t="str">
        <f t="shared" si="1069"/>
        <v>20249JPY</v>
      </c>
      <c r="AR3637" s="206" t="str">
        <f t="shared" si="1070"/>
        <v>YAMAHA_Mounter</v>
      </c>
      <c r="AS3637" s="22">
        <f t="shared" si="1071"/>
        <v>3</v>
      </c>
      <c r="AT3637" s="24" t="str">
        <f t="shared" si="1072"/>
        <v>0-3 months</v>
      </c>
      <c r="AU3637" s="22" t="s">
        <v>3745</v>
      </c>
    </row>
    <row r="3638" spans="1:47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79"/>
        <v>Q1</v>
      </c>
      <c r="E3638" s="33" t="str">
        <f t="shared" si="1077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1075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1081"/>
        <v>1</v>
      </c>
      <c r="Z3638" s="196">
        <f t="shared" si="1080"/>
        <v>16164500</v>
      </c>
      <c r="AA3638" s="22">
        <v>5.5100000000000003E-2</v>
      </c>
      <c r="AB3638" s="197">
        <f t="shared" si="1078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1"/>
        <v>35931087.732566379</v>
      </c>
      <c r="AJ3638" s="200">
        <f t="shared" si="1062"/>
        <v>4347120.3954975223</v>
      </c>
      <c r="AK3638" s="201">
        <f t="shared" si="1067"/>
        <v>0.12098493727362117</v>
      </c>
      <c r="AL3638" s="24"/>
      <c r="AM3638" s="24"/>
      <c r="AN3638" s="24"/>
      <c r="AO3638" s="24"/>
      <c r="AP3638" s="165" t="str">
        <f t="shared" si="1068"/>
        <v>20249</v>
      </c>
      <c r="AQ3638" s="203" t="str">
        <f t="shared" si="1069"/>
        <v>20249JPY</v>
      </c>
      <c r="AR3638" s="206" t="str">
        <f t="shared" si="1070"/>
        <v>YAMAHA_Mounter</v>
      </c>
      <c r="AS3638" s="22">
        <f t="shared" si="1071"/>
        <v>3</v>
      </c>
      <c r="AT3638" s="24" t="str">
        <f t="shared" si="1072"/>
        <v>0-3 months</v>
      </c>
      <c r="AU3638" s="22" t="s">
        <v>3745</v>
      </c>
    </row>
    <row r="3639" spans="1:47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79"/>
        <v>Q2</v>
      </c>
      <c r="E3639" s="33" t="str">
        <f t="shared" si="1077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1075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1081"/>
        <v>1.13</v>
      </c>
      <c r="Z3639" s="196">
        <f t="shared" si="1080"/>
        <v>446700</v>
      </c>
      <c r="AA3639" s="22">
        <v>1.1080000000000001</v>
      </c>
      <c r="AB3639" s="197">
        <f t="shared" si="1078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1"/>
        <v>22758096.38940867</v>
      </c>
      <c r="AJ3639" s="200">
        <f t="shared" si="1062"/>
        <v>2469357.2298956565</v>
      </c>
      <c r="AK3639" s="201">
        <f t="shared" si="1067"/>
        <v>0.10850455976822666</v>
      </c>
      <c r="AL3639" s="24"/>
      <c r="AM3639" s="24"/>
      <c r="AN3639" s="24"/>
      <c r="AO3639" s="24"/>
      <c r="AP3639" s="165" t="str">
        <f t="shared" si="1068"/>
        <v>202410</v>
      </c>
      <c r="AQ3639" s="203" t="str">
        <f t="shared" si="1069"/>
        <v>202410RMB</v>
      </c>
      <c r="AR3639" s="206" t="str">
        <f t="shared" si="1070"/>
        <v>YAMAHA_Mounter</v>
      </c>
      <c r="AS3639" s="22">
        <f t="shared" si="1071"/>
        <v>3</v>
      </c>
      <c r="AT3639" s="24" t="str">
        <f t="shared" si="1072"/>
        <v>0-3 months</v>
      </c>
      <c r="AU3639" s="22" t="s">
        <v>3240</v>
      </c>
    </row>
    <row r="3640" spans="1:47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79"/>
        <v>Q2</v>
      </c>
      <c r="E3640" s="33" t="str">
        <f t="shared" si="1077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1075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1081"/>
        <v>1.13</v>
      </c>
      <c r="Z3640" s="196">
        <f t="shared" si="1080"/>
        <v>446700</v>
      </c>
      <c r="AA3640" s="22">
        <v>1.1080000000000001</v>
      </c>
      <c r="AB3640" s="197">
        <f t="shared" si="1078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1"/>
        <v>22758096.38940867</v>
      </c>
      <c r="AJ3640" s="200">
        <f t="shared" si="1062"/>
        <v>2469357.2298956565</v>
      </c>
      <c r="AK3640" s="201">
        <f t="shared" si="1067"/>
        <v>0.10850455976822666</v>
      </c>
      <c r="AL3640" s="24"/>
      <c r="AM3640" s="24"/>
      <c r="AN3640" s="24"/>
      <c r="AO3640" s="24"/>
      <c r="AP3640" s="165" t="str">
        <f t="shared" si="1068"/>
        <v>202410</v>
      </c>
      <c r="AQ3640" s="203" t="str">
        <f t="shared" si="1069"/>
        <v>202410RMB</v>
      </c>
      <c r="AR3640" s="206" t="str">
        <f t="shared" si="1070"/>
        <v>YAMAHA_Mounter</v>
      </c>
      <c r="AS3640" s="22">
        <f t="shared" si="1071"/>
        <v>3</v>
      </c>
      <c r="AT3640" s="24" t="str">
        <f t="shared" si="1072"/>
        <v>0-3 months</v>
      </c>
      <c r="AU3640" s="22" t="s">
        <v>3240</v>
      </c>
    </row>
    <row r="3641" spans="1:47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79"/>
        <v>Q1</v>
      </c>
      <c r="E3641" s="33" t="str">
        <f t="shared" si="1077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1081"/>
        <v>1</v>
      </c>
      <c r="Z3641" s="196">
        <f t="shared" si="1080"/>
        <v>7500000</v>
      </c>
      <c r="AA3641" s="22">
        <v>5.5100000000000003E-2</v>
      </c>
      <c r="AB3641" s="197">
        <f t="shared" si="1078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1"/>
        <v>35931087.732566379</v>
      </c>
      <c r="AJ3641" s="200">
        <f t="shared" si="1062"/>
        <v>4347120.3954975223</v>
      </c>
      <c r="AK3641" s="201">
        <f t="shared" si="1067"/>
        <v>0.12098493727362117</v>
      </c>
      <c r="AL3641" s="24"/>
      <c r="AM3641" s="24"/>
      <c r="AN3641" s="24"/>
      <c r="AO3641" s="24"/>
      <c r="AP3641" s="165" t="str">
        <f t="shared" si="1068"/>
        <v>20249</v>
      </c>
      <c r="AQ3641" s="203" t="str">
        <f t="shared" si="1069"/>
        <v>20249JPY</v>
      </c>
      <c r="AR3641" s="206" t="str">
        <f t="shared" si="1070"/>
        <v>YAMAHA_Mounter</v>
      </c>
      <c r="AS3641" s="22">
        <f t="shared" si="1071"/>
        <v>3</v>
      </c>
      <c r="AT3641" s="24" t="str">
        <f t="shared" si="1072"/>
        <v>0-3 months</v>
      </c>
      <c r="AU3641" s="22" t="s">
        <v>3744</v>
      </c>
    </row>
    <row r="3642" spans="1:47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79"/>
        <v>Q2</v>
      </c>
      <c r="E3642" s="33" t="str">
        <f t="shared" si="1077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1082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1081"/>
        <v>1.13</v>
      </c>
      <c r="Z3642" s="196">
        <f t="shared" si="1080"/>
        <v>760000</v>
      </c>
      <c r="AA3642" s="22">
        <v>1.0980000000000001</v>
      </c>
      <c r="AB3642" s="197">
        <f t="shared" si="1078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1"/>
        <v>35931087.732566379</v>
      </c>
      <c r="AJ3642" s="200">
        <f t="shared" si="1062"/>
        <v>4347120.3954975223</v>
      </c>
      <c r="AK3642" s="201">
        <f t="shared" si="1067"/>
        <v>0.12098493727362117</v>
      </c>
      <c r="AL3642" s="24"/>
      <c r="AM3642" s="24"/>
      <c r="AN3642" s="24"/>
      <c r="AO3642" s="24"/>
      <c r="AP3642" s="165" t="str">
        <f t="shared" si="1068"/>
        <v>20249</v>
      </c>
      <c r="AQ3642" s="203" t="str">
        <f t="shared" si="1069"/>
        <v>20249RMB</v>
      </c>
      <c r="AR3642" s="206" t="str">
        <f t="shared" si="1070"/>
        <v>YAMAHA_Mounter</v>
      </c>
      <c r="AS3642" s="22">
        <f t="shared" si="1071"/>
        <v>2</v>
      </c>
      <c r="AT3642" s="24" t="str">
        <f t="shared" si="1072"/>
        <v>0-3 months</v>
      </c>
      <c r="AU3642" s="22" t="s">
        <v>3240</v>
      </c>
    </row>
    <row r="3643" spans="1:47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79"/>
        <v>Q2</v>
      </c>
      <c r="E3643" s="33" t="str">
        <f t="shared" si="1077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1082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1081"/>
        <v>1.13</v>
      </c>
      <c r="Z3643" s="196">
        <f t="shared" si="1080"/>
        <v>550000</v>
      </c>
      <c r="AA3643" s="22">
        <v>1.0980000000000001</v>
      </c>
      <c r="AB3643" s="197">
        <f t="shared" si="1078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1"/>
        <v>35931087.732566379</v>
      </c>
      <c r="AJ3643" s="200">
        <f t="shared" si="1062"/>
        <v>4347120.3954975223</v>
      </c>
      <c r="AK3643" s="201">
        <f t="shared" si="1067"/>
        <v>0.12098493727362117</v>
      </c>
      <c r="AL3643" s="24"/>
      <c r="AM3643" s="24"/>
      <c r="AN3643" s="24"/>
      <c r="AO3643" s="24"/>
      <c r="AP3643" s="165" t="str">
        <f t="shared" si="1068"/>
        <v>20249</v>
      </c>
      <c r="AQ3643" s="203" t="str">
        <f t="shared" si="1069"/>
        <v>20249RMB</v>
      </c>
      <c r="AR3643" s="206" t="str">
        <f t="shared" si="1070"/>
        <v>YAMAHA_Mounter</v>
      </c>
      <c r="AS3643" s="22">
        <f t="shared" si="1071"/>
        <v>2</v>
      </c>
      <c r="AT3643" s="24" t="str">
        <f t="shared" si="1072"/>
        <v>0-3 months</v>
      </c>
      <c r="AU3643" s="22" t="s">
        <v>3240</v>
      </c>
    </row>
    <row r="3644" spans="1:47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79"/>
        <v>Q2</v>
      </c>
      <c r="E3644" s="33" t="str">
        <f t="shared" si="1077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1082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1081"/>
        <v>1.13</v>
      </c>
      <c r="Z3644" s="196">
        <f t="shared" si="1080"/>
        <v>550000</v>
      </c>
      <c r="AA3644" s="22">
        <v>1.0980000000000001</v>
      </c>
      <c r="AB3644" s="197">
        <f t="shared" si="1078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1"/>
        <v>35931087.732566379</v>
      </c>
      <c r="AJ3644" s="200">
        <f t="shared" si="1062"/>
        <v>4347120.3954975223</v>
      </c>
      <c r="AK3644" s="201">
        <f t="shared" si="1067"/>
        <v>0.12098493727362117</v>
      </c>
      <c r="AL3644" s="24"/>
      <c r="AM3644" s="24"/>
      <c r="AN3644" s="24"/>
      <c r="AO3644" s="24"/>
      <c r="AP3644" s="165" t="str">
        <f t="shared" si="1068"/>
        <v>20249</v>
      </c>
      <c r="AQ3644" s="203" t="str">
        <f t="shared" si="1069"/>
        <v>20249RMB</v>
      </c>
      <c r="AR3644" s="206" t="str">
        <f t="shared" si="1070"/>
        <v>YAMAHA_Mounter</v>
      </c>
      <c r="AS3644" s="22">
        <f t="shared" si="1071"/>
        <v>2</v>
      </c>
      <c r="AT3644" s="24" t="str">
        <f t="shared" si="1072"/>
        <v>0-3 months</v>
      </c>
      <c r="AU3644" s="22" t="s">
        <v>3240</v>
      </c>
    </row>
    <row r="3645" spans="1:47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79"/>
        <v>Q3</v>
      </c>
      <c r="E3645" s="33" t="str">
        <f t="shared" si="1077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3610</v>
      </c>
      <c r="K3645" s="29" t="s">
        <v>3611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1082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1081"/>
        <v>1</v>
      </c>
      <c r="Z3645" s="196">
        <f t="shared" si="1080"/>
        <v>112200</v>
      </c>
      <c r="AA3645" s="22">
        <v>7.8</v>
      </c>
      <c r="AB3645" s="197">
        <f t="shared" si="1078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1"/>
        <v>32082250.320460182</v>
      </c>
      <c r="AJ3645" s="200">
        <f t="shared" si="1062"/>
        <v>4323122.9746477893</v>
      </c>
      <c r="AK3645" s="201">
        <f t="shared" si="1067"/>
        <v>0.1347512388147771</v>
      </c>
      <c r="AL3645" s="24"/>
      <c r="AM3645" s="24"/>
      <c r="AN3645" s="24"/>
      <c r="AO3645" s="24"/>
      <c r="AP3645" s="165" t="str">
        <f t="shared" si="1068"/>
        <v>202411</v>
      </c>
      <c r="AQ3645" s="203" t="str">
        <f t="shared" si="1069"/>
        <v>202411USD</v>
      </c>
      <c r="AR3645" s="206" t="str">
        <f t="shared" si="1070"/>
        <v>YAMAHA_Mounter</v>
      </c>
      <c r="AS3645" s="22">
        <f t="shared" si="1071"/>
        <v>1</v>
      </c>
      <c r="AT3645" s="24" t="str">
        <f t="shared" si="1072"/>
        <v>0-3 months</v>
      </c>
      <c r="AU3645" s="22" t="s">
        <v>3747</v>
      </c>
    </row>
    <row r="3646" spans="1:47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79"/>
        <v>Q3</v>
      </c>
      <c r="E3646" s="33" t="str">
        <f t="shared" si="1077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3610</v>
      </c>
      <c r="K3646" s="29" t="s">
        <v>3611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1082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1081"/>
        <v>1</v>
      </c>
      <c r="Z3646" s="196">
        <f t="shared" si="1080"/>
        <v>112200</v>
      </c>
      <c r="AA3646" s="22">
        <v>7.8</v>
      </c>
      <c r="AB3646" s="197">
        <f t="shared" si="1078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1"/>
        <v>32082250.320460182</v>
      </c>
      <c r="AJ3646" s="200">
        <f t="shared" si="1062"/>
        <v>4323122.9746477893</v>
      </c>
      <c r="AK3646" s="201">
        <f t="shared" si="1067"/>
        <v>0.1347512388147771</v>
      </c>
      <c r="AL3646" s="24"/>
      <c r="AM3646" s="24"/>
      <c r="AN3646" s="24"/>
      <c r="AO3646" s="24"/>
      <c r="AP3646" s="165" t="str">
        <f t="shared" si="1068"/>
        <v>202411</v>
      </c>
      <c r="AQ3646" s="203" t="str">
        <f t="shared" si="1069"/>
        <v>202411USD</v>
      </c>
      <c r="AR3646" s="206" t="str">
        <f t="shared" si="1070"/>
        <v>YAMAHA_Mounter</v>
      </c>
      <c r="AS3646" s="22">
        <f t="shared" si="1071"/>
        <v>1</v>
      </c>
      <c r="AT3646" s="24" t="str">
        <f t="shared" si="1072"/>
        <v>0-3 months</v>
      </c>
      <c r="AU3646" s="22" t="s">
        <v>3747</v>
      </c>
    </row>
    <row r="3647" spans="1:47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79"/>
        <v>Q3</v>
      </c>
      <c r="E3647" s="33" t="str">
        <f t="shared" si="1077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3610</v>
      </c>
      <c r="K3647" s="29" t="s">
        <v>3611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1082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1081"/>
        <v>1</v>
      </c>
      <c r="Z3647" s="196">
        <f t="shared" si="1080"/>
        <v>77520</v>
      </c>
      <c r="AA3647" s="22">
        <v>7.8</v>
      </c>
      <c r="AB3647" s="197">
        <f t="shared" si="1078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1"/>
        <v>32082250.320460182</v>
      </c>
      <c r="AJ3647" s="200">
        <f t="shared" si="1062"/>
        <v>4323122.9746477893</v>
      </c>
      <c r="AK3647" s="201">
        <f t="shared" si="1067"/>
        <v>0.1347512388147771</v>
      </c>
      <c r="AL3647" s="24"/>
      <c r="AM3647" s="24"/>
      <c r="AN3647" s="24"/>
      <c r="AO3647" s="24"/>
      <c r="AP3647" s="165" t="str">
        <f t="shared" si="1068"/>
        <v>202411</v>
      </c>
      <c r="AQ3647" s="203" t="str">
        <f t="shared" si="1069"/>
        <v>202411USD</v>
      </c>
      <c r="AR3647" s="206" t="str">
        <f t="shared" si="1070"/>
        <v>YAMAHA_Mounter</v>
      </c>
      <c r="AS3647" s="22">
        <f t="shared" si="1071"/>
        <v>1</v>
      </c>
      <c r="AT3647" s="24" t="str">
        <f t="shared" si="1072"/>
        <v>0-3 months</v>
      </c>
      <c r="AU3647" s="22" t="s">
        <v>3747</v>
      </c>
    </row>
    <row r="3648" spans="1:47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79"/>
        <v>Q3</v>
      </c>
      <c r="E3648" s="33" t="str">
        <f t="shared" si="1077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3610</v>
      </c>
      <c r="K3648" s="29" t="s">
        <v>3611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1082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1081"/>
        <v>1</v>
      </c>
      <c r="Z3648" s="196">
        <f t="shared" si="1080"/>
        <v>35700</v>
      </c>
      <c r="AA3648" s="22">
        <v>7.8</v>
      </c>
      <c r="AB3648" s="197">
        <f t="shared" si="1078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1"/>
        <v>32082250.320460182</v>
      </c>
      <c r="AJ3648" s="200">
        <f t="shared" si="1062"/>
        <v>4323122.9746477893</v>
      </c>
      <c r="AK3648" s="201">
        <f t="shared" si="1067"/>
        <v>0.1347512388147771</v>
      </c>
      <c r="AL3648" s="24"/>
      <c r="AM3648" s="24"/>
      <c r="AN3648" s="24"/>
      <c r="AO3648" s="24"/>
      <c r="AP3648" s="165" t="str">
        <f t="shared" si="1068"/>
        <v>202411</v>
      </c>
      <c r="AQ3648" s="203" t="str">
        <f t="shared" si="1069"/>
        <v>202411USD</v>
      </c>
      <c r="AR3648" s="206" t="str">
        <f t="shared" si="1070"/>
        <v>YAMAHA_Non_Mounter</v>
      </c>
      <c r="AS3648" s="22">
        <f t="shared" si="1071"/>
        <v>1</v>
      </c>
      <c r="AT3648" s="24" t="str">
        <f t="shared" si="1072"/>
        <v>0-3 months</v>
      </c>
      <c r="AU3648" s="22" t="s">
        <v>3747</v>
      </c>
    </row>
    <row r="3649" spans="1:47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79"/>
        <v>Q3</v>
      </c>
      <c r="E3649" s="33" t="str">
        <f t="shared" si="1077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3610</v>
      </c>
      <c r="K3649" s="29" t="s">
        <v>3611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1082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1081"/>
        <v>1</v>
      </c>
      <c r="Z3649" s="196">
        <f t="shared" si="1080"/>
        <v>80580</v>
      </c>
      <c r="AA3649" s="22">
        <v>7.8</v>
      </c>
      <c r="AB3649" s="197">
        <f t="shared" si="1078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1"/>
        <v>32082250.320460182</v>
      </c>
      <c r="AJ3649" s="200">
        <f t="shared" si="1062"/>
        <v>4323122.9746477893</v>
      </c>
      <c r="AK3649" s="201">
        <f t="shared" si="1067"/>
        <v>0.1347512388147771</v>
      </c>
      <c r="AL3649" s="24"/>
      <c r="AM3649" s="24"/>
      <c r="AN3649" s="24"/>
      <c r="AO3649" s="24"/>
      <c r="AP3649" s="165" t="str">
        <f t="shared" si="1068"/>
        <v>202411</v>
      </c>
      <c r="AQ3649" s="203" t="str">
        <f t="shared" si="1069"/>
        <v>202411USD</v>
      </c>
      <c r="AR3649" s="206" t="str">
        <f t="shared" si="1070"/>
        <v>HELLER</v>
      </c>
      <c r="AS3649" s="22">
        <f t="shared" si="1071"/>
        <v>1</v>
      </c>
      <c r="AT3649" s="24" t="str">
        <f t="shared" si="1072"/>
        <v>0-3 months</v>
      </c>
      <c r="AU3649" s="22" t="s">
        <v>3747</v>
      </c>
    </row>
    <row r="3650" spans="1:47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79"/>
        <v>Q3</v>
      </c>
      <c r="E3650" s="33" t="str">
        <f t="shared" si="1077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3610</v>
      </c>
      <c r="K3650" s="29" t="s">
        <v>3611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1082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1081"/>
        <v>1</v>
      </c>
      <c r="Z3650" s="196">
        <f t="shared" si="1080"/>
        <v>88230</v>
      </c>
      <c r="AA3650" s="22">
        <v>7.8</v>
      </c>
      <c r="AB3650" s="197">
        <f t="shared" si="1078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ref="AI3650:AI3713" si="1083">IF(P3650="C66 SERVICE","",SUMIFS(AB:AB,F:F,F3650,G:G,G3650,E:E,E3650))</f>
        <v>32082250.320460182</v>
      </c>
      <c r="AJ3650" s="200">
        <f t="shared" ref="AJ3650:AJ3713" si="1084">IF(P3650="C66 SERVICE","",SUMIFS(AC:AC,F:F,F3650,G:G,G3650,E:E,E3650))</f>
        <v>4323122.9746477893</v>
      </c>
      <c r="AK3650" s="201">
        <f t="shared" si="1067"/>
        <v>0.1347512388147771</v>
      </c>
      <c r="AL3650" s="24"/>
      <c r="AM3650" s="24"/>
      <c r="AN3650" s="24"/>
      <c r="AO3650" s="24"/>
      <c r="AP3650" s="165" t="str">
        <f t="shared" si="1068"/>
        <v>202411</v>
      </c>
      <c r="AQ3650" s="203" t="str">
        <f t="shared" si="1069"/>
        <v>202411USD</v>
      </c>
      <c r="AR3650" s="206" t="str">
        <f t="shared" si="1070"/>
        <v>YAMAHA_Non_Mounter</v>
      </c>
      <c r="AS3650" s="22">
        <f t="shared" si="1071"/>
        <v>1</v>
      </c>
      <c r="AT3650" s="24" t="str">
        <f t="shared" si="1072"/>
        <v>0-3 months</v>
      </c>
      <c r="AU3650" s="22" t="s">
        <v>3747</v>
      </c>
    </row>
    <row r="3651" spans="1:47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79"/>
        <v>Q3</v>
      </c>
      <c r="E3651" s="33" t="str">
        <f t="shared" si="1077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3610</v>
      </c>
      <c r="K3651" s="29" t="s">
        <v>3611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1082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1081"/>
        <v>1</v>
      </c>
      <c r="Z3651" s="196">
        <f t="shared" si="1080"/>
        <v>6120</v>
      </c>
      <c r="AA3651" s="22">
        <v>7.8</v>
      </c>
      <c r="AB3651" s="197">
        <f t="shared" si="1078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83"/>
        <v>32082250.320460182</v>
      </c>
      <c r="AJ3651" s="200">
        <f t="shared" si="1084"/>
        <v>4323122.9746477893</v>
      </c>
      <c r="AK3651" s="201">
        <f t="shared" si="1067"/>
        <v>0.1347512388147771</v>
      </c>
      <c r="AL3651" s="24"/>
      <c r="AM3651" s="24"/>
      <c r="AN3651" s="24"/>
      <c r="AO3651" s="24"/>
      <c r="AP3651" s="165" t="str">
        <f t="shared" si="1068"/>
        <v>202411</v>
      </c>
      <c r="AQ3651" s="203" t="str">
        <f t="shared" si="1069"/>
        <v>202411USD</v>
      </c>
      <c r="AR3651" s="206" t="str">
        <f t="shared" si="1070"/>
        <v>SOLDERSTAR</v>
      </c>
      <c r="AS3651" s="22">
        <f t="shared" si="1071"/>
        <v>1</v>
      </c>
      <c r="AT3651" s="24" t="str">
        <f t="shared" si="1072"/>
        <v>0-3 months</v>
      </c>
      <c r="AU3651" s="22" t="s">
        <v>3747</v>
      </c>
    </row>
    <row r="3652" spans="1:47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79"/>
        <v>Q2</v>
      </c>
      <c r="E3652" s="33" t="str">
        <f t="shared" si="1077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3523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1082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1081"/>
        <v>1</v>
      </c>
      <c r="Z3652" s="196">
        <f t="shared" si="1080"/>
        <v>2780000</v>
      </c>
      <c r="AA3652" s="22">
        <v>5.2900000000000003E-2</v>
      </c>
      <c r="AB3652" s="197">
        <f t="shared" si="1078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83"/>
        <v>15965524.256637167</v>
      </c>
      <c r="AJ3652" s="200">
        <f t="shared" si="1084"/>
        <v>2480116.5996584073</v>
      </c>
      <c r="AK3652" s="201">
        <f t="shared" si="1067"/>
        <v>0.15534200817911609</v>
      </c>
      <c r="AL3652" s="24"/>
      <c r="AM3652" s="24"/>
      <c r="AN3652" s="24"/>
      <c r="AO3652" s="24"/>
      <c r="AP3652" s="165" t="str">
        <f t="shared" si="1068"/>
        <v>202412</v>
      </c>
      <c r="AQ3652" s="203" t="str">
        <f t="shared" si="1069"/>
        <v>202412JPY</v>
      </c>
      <c r="AR3652" s="206" t="str">
        <f t="shared" si="1070"/>
        <v>YAMAHA_Mounter</v>
      </c>
      <c r="AS3652" s="22">
        <f t="shared" si="1071"/>
        <v>4</v>
      </c>
      <c r="AT3652" s="24" t="str">
        <f t="shared" si="1072"/>
        <v>4-6 months</v>
      </c>
      <c r="AU3652" s="22" t="s">
        <v>3240</v>
      </c>
    </row>
    <row r="3653" spans="1:47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79"/>
        <v>Q2</v>
      </c>
      <c r="E3653" s="33" t="str">
        <f t="shared" si="1077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3524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1082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1081"/>
        <v>1</v>
      </c>
      <c r="Z3653" s="196">
        <f t="shared" si="1080"/>
        <v>16000000</v>
      </c>
      <c r="AA3653" s="22">
        <v>5.1799999999999999E-2</v>
      </c>
      <c r="AB3653" s="197">
        <f t="shared" si="1078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83"/>
        <v>32082250.320460182</v>
      </c>
      <c r="AJ3653" s="200">
        <f t="shared" si="1084"/>
        <v>4323122.9746477893</v>
      </c>
      <c r="AK3653" s="201">
        <f t="shared" si="1067"/>
        <v>0.1347512388147771</v>
      </c>
      <c r="AL3653" s="24"/>
      <c r="AM3653" s="24"/>
      <c r="AN3653" s="24"/>
      <c r="AO3653" s="24"/>
      <c r="AP3653" s="165" t="str">
        <f t="shared" si="1068"/>
        <v>202411</v>
      </c>
      <c r="AQ3653" s="203" t="str">
        <f t="shared" si="1069"/>
        <v>202411JPY</v>
      </c>
      <c r="AR3653" s="206" t="str">
        <f t="shared" si="1070"/>
        <v>YAMAHA_Mounter</v>
      </c>
      <c r="AS3653" s="22">
        <f t="shared" si="1071"/>
        <v>3</v>
      </c>
      <c r="AT3653" s="24" t="str">
        <f t="shared" si="1072"/>
        <v>0-3 months</v>
      </c>
      <c r="AU3653" s="22" t="s">
        <v>3744</v>
      </c>
    </row>
    <row r="3654" spans="1:47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79"/>
        <v>Q2</v>
      </c>
      <c r="E3654" s="33" t="str">
        <f t="shared" si="1077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3524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1082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1081"/>
        <v>1</v>
      </c>
      <c r="Z3654" s="196">
        <f t="shared" si="1080"/>
        <v>16000000</v>
      </c>
      <c r="AA3654" s="22">
        <v>5.1799999999999999E-2</v>
      </c>
      <c r="AB3654" s="197">
        <f t="shared" si="1078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si="1083"/>
        <v>32082250.320460182</v>
      </c>
      <c r="AJ3654" s="200">
        <f t="shared" si="1084"/>
        <v>4323122.9746477893</v>
      </c>
      <c r="AK3654" s="201">
        <f t="shared" ref="AK3654:AK3717" si="1089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0">IF(F3654="","",F3654&amp;G3654)</f>
        <v>202411</v>
      </c>
      <c r="AQ3654" s="203" t="str">
        <f t="shared" ref="AQ3654:AQ3717" si="1091">IF(W3654="","",F3654&amp;G3654&amp;W3654)</f>
        <v>202411JPY</v>
      </c>
      <c r="AR3654" s="206" t="str">
        <f t="shared" ref="AR3654:AR3717" si="1092">IFERROR(IF(AND(M3654="YAMAHA", R3654="C28"), "YAMAHA_Non_Mounter", IF(AND(M3654="YAMAHA", R3654="C49"), "YAMAHA_Mounter", M3654)),"")</f>
        <v>YAMAHA_Mounter</v>
      </c>
      <c r="AS3654" s="22">
        <f t="shared" ref="AS3654:AS3717" si="1093">IFERROR(IF(OR(G3654="TBA", G3654=""), "", DATEDIF(DATE(B3654, C3654, 1), DATE(F3654, G3654, 1), "M")),"")</f>
        <v>3</v>
      </c>
      <c r="AT3654" s="24" t="str">
        <f t="shared" ref="AT3654:AT3717" si="1094">IF(ISNUMBER(AS3654), IF(AS3654&gt;=0, IF(AS3654&lt;=3, "0-3 months", IF(AS3654&lt;=6, "4-6 months", "&gt; 6 months"))), "")</f>
        <v>0-3 months</v>
      </c>
      <c r="AU3654" s="22" t="s">
        <v>3744</v>
      </c>
    </row>
    <row r="3655" spans="1:47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79"/>
        <v>Q2</v>
      </c>
      <c r="E3655" s="33" t="str">
        <f t="shared" ref="E3655:E3686" si="1095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3524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1082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1081"/>
        <v>1</v>
      </c>
      <c r="Z3655" s="196">
        <f t="shared" si="1080"/>
        <v>16000000</v>
      </c>
      <c r="AA3655" s="22">
        <v>5.1799999999999999E-2</v>
      </c>
      <c r="AB3655" s="197">
        <f t="shared" si="1078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3"/>
        <v>32082250.320460182</v>
      </c>
      <c r="AJ3655" s="200">
        <f t="shared" si="1084"/>
        <v>4323122.9746477893</v>
      </c>
      <c r="AK3655" s="201">
        <f t="shared" si="1089"/>
        <v>0.1347512388147771</v>
      </c>
      <c r="AL3655" s="24"/>
      <c r="AM3655" s="24"/>
      <c r="AN3655" s="24"/>
      <c r="AO3655" s="24"/>
      <c r="AP3655" s="165" t="str">
        <f t="shared" si="1090"/>
        <v>202411</v>
      </c>
      <c r="AQ3655" s="203" t="str">
        <f t="shared" si="1091"/>
        <v>202411JPY</v>
      </c>
      <c r="AR3655" s="206" t="str">
        <f t="shared" si="1092"/>
        <v>YAMAHA_Mounter</v>
      </c>
      <c r="AS3655" s="22">
        <f t="shared" si="1093"/>
        <v>3</v>
      </c>
      <c r="AT3655" s="24" t="str">
        <f t="shared" si="1094"/>
        <v>0-3 months</v>
      </c>
      <c r="AU3655" s="22" t="s">
        <v>3744</v>
      </c>
    </row>
    <row r="3656" spans="1:47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79"/>
        <v>Q2</v>
      </c>
      <c r="E3656" s="33" t="str">
        <f t="shared" si="1095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3524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1082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1081"/>
        <v>1</v>
      </c>
      <c r="Z3656" s="196">
        <f t="shared" si="1080"/>
        <v>10750000</v>
      </c>
      <c r="AA3656" s="22">
        <v>5.1799999999999999E-2</v>
      </c>
      <c r="AB3656" s="197">
        <f t="shared" si="1078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3"/>
        <v>32082250.320460182</v>
      </c>
      <c r="AJ3656" s="200">
        <f t="shared" si="1084"/>
        <v>4323122.9746477893</v>
      </c>
      <c r="AK3656" s="201">
        <f t="shared" si="1089"/>
        <v>0.1347512388147771</v>
      </c>
      <c r="AL3656" s="24"/>
      <c r="AM3656" s="24"/>
      <c r="AN3656" s="24"/>
      <c r="AO3656" s="24"/>
      <c r="AP3656" s="165" t="str">
        <f t="shared" si="1090"/>
        <v>202411</v>
      </c>
      <c r="AQ3656" s="203" t="str">
        <f t="shared" si="1091"/>
        <v>202411JPY</v>
      </c>
      <c r="AR3656" s="206" t="str">
        <f t="shared" si="1092"/>
        <v>YAMAHA_Mounter</v>
      </c>
      <c r="AS3656" s="22">
        <f t="shared" si="1093"/>
        <v>3</v>
      </c>
      <c r="AT3656" s="24" t="str">
        <f t="shared" si="1094"/>
        <v>0-3 months</v>
      </c>
      <c r="AU3656" s="22" t="s">
        <v>3744</v>
      </c>
    </row>
    <row r="3657" spans="1:47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79"/>
        <v>Q2</v>
      </c>
      <c r="E3657" s="33" t="str">
        <f t="shared" si="1095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3524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1082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1081"/>
        <v>1</v>
      </c>
      <c r="Z3657" s="196">
        <f t="shared" si="1080"/>
        <v>10750000</v>
      </c>
      <c r="AA3657" s="22">
        <v>5.1799999999999999E-2</v>
      </c>
      <c r="AB3657" s="197">
        <f t="shared" ref="AB3657:AB3688" si="1096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3"/>
        <v>32082250.320460182</v>
      </c>
      <c r="AJ3657" s="200">
        <f t="shared" si="1084"/>
        <v>4323122.9746477893</v>
      </c>
      <c r="AK3657" s="201">
        <f t="shared" si="1089"/>
        <v>0.1347512388147771</v>
      </c>
      <c r="AL3657" s="24"/>
      <c r="AM3657" s="24"/>
      <c r="AN3657" s="24"/>
      <c r="AO3657" s="24"/>
      <c r="AP3657" s="165" t="str">
        <f t="shared" si="1090"/>
        <v>202411</v>
      </c>
      <c r="AQ3657" s="203" t="str">
        <f t="shared" si="1091"/>
        <v>202411JPY</v>
      </c>
      <c r="AR3657" s="206" t="str">
        <f t="shared" si="1092"/>
        <v>YAMAHA_Mounter</v>
      </c>
      <c r="AS3657" s="22">
        <f t="shared" si="1093"/>
        <v>3</v>
      </c>
      <c r="AT3657" s="24" t="str">
        <f t="shared" si="1094"/>
        <v>0-3 months</v>
      </c>
      <c r="AU3657" s="22" t="s">
        <v>3744</v>
      </c>
    </row>
    <row r="3658" spans="1:47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79"/>
        <v>Q2</v>
      </c>
      <c r="E3658" s="33" t="str">
        <f t="shared" si="1095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3524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1082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1081"/>
        <v>1</v>
      </c>
      <c r="Z3658" s="196">
        <f t="shared" si="1080"/>
        <v>10750000</v>
      </c>
      <c r="AA3658" s="22">
        <v>5.1799999999999999E-2</v>
      </c>
      <c r="AB3658" s="197">
        <f t="shared" si="1096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3"/>
        <v>32082250.320460182</v>
      </c>
      <c r="AJ3658" s="200">
        <f t="shared" si="1084"/>
        <v>4323122.9746477893</v>
      </c>
      <c r="AK3658" s="201">
        <f t="shared" si="1089"/>
        <v>0.1347512388147771</v>
      </c>
      <c r="AL3658" s="24"/>
      <c r="AM3658" s="24"/>
      <c r="AN3658" s="24"/>
      <c r="AO3658" s="24"/>
      <c r="AP3658" s="165" t="str">
        <f t="shared" si="1090"/>
        <v>202411</v>
      </c>
      <c r="AQ3658" s="203" t="str">
        <f t="shared" si="1091"/>
        <v>202411JPY</v>
      </c>
      <c r="AR3658" s="206" t="str">
        <f t="shared" si="1092"/>
        <v>YAMAHA_Mounter</v>
      </c>
      <c r="AS3658" s="22">
        <f t="shared" si="1093"/>
        <v>3</v>
      </c>
      <c r="AT3658" s="24" t="str">
        <f t="shared" si="1094"/>
        <v>0-3 months</v>
      </c>
      <c r="AU3658" s="22" t="s">
        <v>3744</v>
      </c>
    </row>
    <row r="3659" spans="1:47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79"/>
        <v>Q2</v>
      </c>
      <c r="E3659" s="33" t="str">
        <f t="shared" si="1095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3524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1082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1081"/>
        <v>1</v>
      </c>
      <c r="Z3659" s="196">
        <f t="shared" si="1080"/>
        <v>10750000</v>
      </c>
      <c r="AA3659" s="22">
        <v>5.1799999999999999E-2</v>
      </c>
      <c r="AB3659" s="197">
        <f t="shared" si="1096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3"/>
        <v>32082250.320460182</v>
      </c>
      <c r="AJ3659" s="200">
        <f t="shared" si="1084"/>
        <v>4323122.9746477893</v>
      </c>
      <c r="AK3659" s="201">
        <f t="shared" si="1089"/>
        <v>0.1347512388147771</v>
      </c>
      <c r="AL3659" s="24"/>
      <c r="AM3659" s="24"/>
      <c r="AN3659" s="24"/>
      <c r="AO3659" s="24"/>
      <c r="AP3659" s="165" t="str">
        <f t="shared" si="1090"/>
        <v>202411</v>
      </c>
      <c r="AQ3659" s="203" t="str">
        <f t="shared" si="1091"/>
        <v>202411JPY</v>
      </c>
      <c r="AR3659" s="206" t="str">
        <f t="shared" si="1092"/>
        <v>YAMAHA_Mounter</v>
      </c>
      <c r="AS3659" s="22">
        <f t="shared" si="1093"/>
        <v>3</v>
      </c>
      <c r="AT3659" s="24" t="str">
        <f t="shared" si="1094"/>
        <v>0-3 months</v>
      </c>
      <c r="AU3659" s="22" t="s">
        <v>3744</v>
      </c>
    </row>
    <row r="3660" spans="1:47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79"/>
        <v>Q2</v>
      </c>
      <c r="E3660" s="33" t="str">
        <f t="shared" si="1095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3525</v>
      </c>
      <c r="K3660" s="29" t="s">
        <v>3526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1082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3527</v>
      </c>
      <c r="V3660" s="22" t="s">
        <v>121</v>
      </c>
      <c r="W3660" s="22" t="s">
        <v>109</v>
      </c>
      <c r="X3660" s="104">
        <v>13500000</v>
      </c>
      <c r="Y3660" s="195" t="str">
        <f t="shared" si="1081"/>
        <v>1</v>
      </c>
      <c r="Z3660" s="196">
        <f t="shared" si="1080"/>
        <v>13500000</v>
      </c>
      <c r="AA3660" s="22">
        <v>5.5599999999999997E-2</v>
      </c>
      <c r="AB3660" s="197">
        <f t="shared" si="1096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3"/>
        <v>22758096.38940867</v>
      </c>
      <c r="AJ3660" s="200">
        <f t="shared" si="1084"/>
        <v>2469357.2298956565</v>
      </c>
      <c r="AK3660" s="201">
        <f t="shared" si="1089"/>
        <v>0.10850455976822666</v>
      </c>
      <c r="AL3660" s="24"/>
      <c r="AM3660" s="24"/>
      <c r="AN3660" s="24"/>
      <c r="AO3660" s="24"/>
      <c r="AP3660" s="165" t="str">
        <f t="shared" si="1090"/>
        <v>202410</v>
      </c>
      <c r="AQ3660" s="203" t="str">
        <f t="shared" si="1091"/>
        <v>202410JPY</v>
      </c>
      <c r="AR3660" s="206" t="str">
        <f t="shared" si="1092"/>
        <v>YAMAHA_Mounter</v>
      </c>
      <c r="AS3660" s="22">
        <f t="shared" si="1093"/>
        <v>2</v>
      </c>
      <c r="AT3660" s="24" t="str">
        <f t="shared" si="1094"/>
        <v>0-3 months</v>
      </c>
      <c r="AU3660" s="22" t="s">
        <v>3744</v>
      </c>
    </row>
    <row r="3661" spans="1:47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79"/>
        <v>Q2</v>
      </c>
      <c r="E3661" s="33" t="str">
        <f t="shared" si="1095"/>
        <v>Cancel</v>
      </c>
      <c r="F3661" s="23" t="s">
        <v>185</v>
      </c>
      <c r="G3661" s="23" t="s">
        <v>185</v>
      </c>
      <c r="H3661" s="29"/>
      <c r="I3661" s="204" t="str">
        <f t="shared" si="1086"/>
        <v>Cancel</v>
      </c>
      <c r="J3661" s="188" t="s">
        <v>3528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1082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1081"/>
        <v>1.13</v>
      </c>
      <c r="Z3661" s="196">
        <f t="shared" si="1080"/>
        <v>530000</v>
      </c>
      <c r="AA3661" s="22">
        <v>1.073</v>
      </c>
      <c r="AB3661" s="197">
        <f t="shared" si="1096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3"/>
        <v>499582152.5142017</v>
      </c>
      <c r="AJ3661" s="200">
        <f t="shared" si="1084"/>
        <v>59520528.679470733</v>
      </c>
      <c r="AK3661" s="201">
        <f t="shared" si="1089"/>
        <v>0.11914062257814291</v>
      </c>
      <c r="AL3661" s="24"/>
      <c r="AM3661" s="24"/>
      <c r="AN3661" s="24"/>
      <c r="AO3661" s="24"/>
      <c r="AP3661" s="165" t="str">
        <f t="shared" si="1090"/>
        <v>CancelCancel</v>
      </c>
      <c r="AQ3661" s="203" t="str">
        <f t="shared" si="1091"/>
        <v>CancelCancelRMB</v>
      </c>
      <c r="AR3661" s="206" t="str">
        <f t="shared" si="1092"/>
        <v>YAMAHA_Mounter</v>
      </c>
      <c r="AS3661" s="22" t="str">
        <f t="shared" si="1093"/>
        <v/>
      </c>
      <c r="AT3661" s="24" t="str">
        <f t="shared" si="1094"/>
        <v/>
      </c>
      <c r="AU3661" s="22" t="s">
        <v>3240</v>
      </c>
    </row>
    <row r="3662" spans="1:47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79"/>
        <v>Q2</v>
      </c>
      <c r="E3662" s="33" t="str">
        <f t="shared" si="1095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3529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1082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1081"/>
        <v>1.13</v>
      </c>
      <c r="Z3662" s="196">
        <f t="shared" si="1080"/>
        <v>620000</v>
      </c>
      <c r="AA3662" s="22">
        <v>1.0920000000000001</v>
      </c>
      <c r="AB3662" s="197">
        <f t="shared" si="1096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3"/>
        <v>32082250.320460182</v>
      </c>
      <c r="AJ3662" s="200">
        <f t="shared" si="1084"/>
        <v>4323122.9746477893</v>
      </c>
      <c r="AK3662" s="201">
        <f t="shared" si="1089"/>
        <v>0.1347512388147771</v>
      </c>
      <c r="AL3662" s="24"/>
      <c r="AM3662" s="24"/>
      <c r="AN3662" s="24"/>
      <c r="AO3662" s="24"/>
      <c r="AP3662" s="165" t="str">
        <f t="shared" si="1090"/>
        <v>202411</v>
      </c>
      <c r="AQ3662" s="203" t="str">
        <f t="shared" si="1091"/>
        <v>202411RMB</v>
      </c>
      <c r="AR3662" s="206" t="str">
        <f t="shared" si="1092"/>
        <v>YAMAHA_Mounter</v>
      </c>
      <c r="AS3662" s="22">
        <f t="shared" si="1093"/>
        <v>3</v>
      </c>
      <c r="AT3662" s="24" t="str">
        <f t="shared" si="1094"/>
        <v>0-3 months</v>
      </c>
      <c r="AU3662" s="22" t="s">
        <v>3240</v>
      </c>
    </row>
    <row r="3663" spans="1:47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79"/>
        <v>Q2</v>
      </c>
      <c r="E3663" s="33" t="str">
        <f t="shared" si="1095"/>
        <v>Cancel</v>
      </c>
      <c r="F3663" s="23" t="s">
        <v>185</v>
      </c>
      <c r="G3663" s="152" t="s">
        <v>1622</v>
      </c>
      <c r="H3663" s="29"/>
      <c r="I3663" s="204" t="str">
        <f t="shared" si="1086"/>
        <v>Cancel</v>
      </c>
      <c r="J3663" s="188" t="s">
        <v>3530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1082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1081"/>
        <v>1.13</v>
      </c>
      <c r="Z3663" s="196">
        <f t="shared" si="1080"/>
        <v>850000</v>
      </c>
      <c r="AA3663" s="22">
        <v>1.0640000000000001</v>
      </c>
      <c r="AB3663" s="197">
        <f t="shared" si="1096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3"/>
        <v>499582152.5142017</v>
      </c>
      <c r="AJ3663" s="200">
        <f t="shared" si="1084"/>
        <v>59520528.679470733</v>
      </c>
      <c r="AK3663" s="201">
        <f t="shared" si="1089"/>
        <v>0.11914062257814291</v>
      </c>
      <c r="AL3663" s="24"/>
      <c r="AM3663" s="24"/>
      <c r="AN3663" s="24"/>
      <c r="AO3663" s="24"/>
      <c r="AP3663" s="165" t="str">
        <f t="shared" si="1090"/>
        <v>Cancelcancel</v>
      </c>
      <c r="AQ3663" s="203" t="str">
        <f t="shared" si="1091"/>
        <v>CancelcancelRMB</v>
      </c>
      <c r="AR3663" s="206" t="str">
        <f t="shared" si="1092"/>
        <v>YAMAHA_Mounter</v>
      </c>
      <c r="AS3663" s="22" t="str">
        <f t="shared" si="1093"/>
        <v/>
      </c>
      <c r="AT3663" s="24" t="str">
        <f t="shared" si="1094"/>
        <v/>
      </c>
      <c r="AU3663" s="22" t="s">
        <v>3240</v>
      </c>
    </row>
    <row r="3664" spans="1:47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79"/>
        <v>Q2</v>
      </c>
      <c r="E3664" s="33" t="str">
        <f t="shared" si="1095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1082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1081"/>
        <v>1.13</v>
      </c>
      <c r="Z3664" s="196">
        <f t="shared" si="1080"/>
        <v>550000</v>
      </c>
      <c r="AA3664" s="22">
        <v>1.0980000000000001</v>
      </c>
      <c r="AB3664" s="197">
        <f t="shared" si="1096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3"/>
        <v>35931087.732566379</v>
      </c>
      <c r="AJ3664" s="200">
        <f t="shared" si="1084"/>
        <v>4347120.3954975223</v>
      </c>
      <c r="AK3664" s="201">
        <f t="shared" si="1089"/>
        <v>0.12098493727362117</v>
      </c>
      <c r="AL3664" s="24"/>
      <c r="AM3664" s="24"/>
      <c r="AN3664" s="24"/>
      <c r="AO3664" s="24"/>
      <c r="AP3664" s="165" t="str">
        <f t="shared" si="1090"/>
        <v>20249</v>
      </c>
      <c r="AQ3664" s="203" t="str">
        <f t="shared" si="1091"/>
        <v>20249RMB</v>
      </c>
      <c r="AR3664" s="206" t="str">
        <f t="shared" si="1092"/>
        <v>YAMAHA_Mounter</v>
      </c>
      <c r="AS3664" s="22">
        <f t="shared" si="1093"/>
        <v>2</v>
      </c>
      <c r="AT3664" s="24" t="str">
        <f t="shared" si="1094"/>
        <v>0-3 months</v>
      </c>
      <c r="AU3664" s="22" t="s">
        <v>3240</v>
      </c>
    </row>
    <row r="3665" spans="1:47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79"/>
        <v>Q2</v>
      </c>
      <c r="E3665" s="33" t="str">
        <f t="shared" si="1095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1082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1081"/>
        <v>1.13</v>
      </c>
      <c r="Z3665" s="196">
        <f t="shared" si="1080"/>
        <v>1587500.2749999999</v>
      </c>
      <c r="AA3665" s="22">
        <v>1.0980000000000001</v>
      </c>
      <c r="AB3665" s="197">
        <f t="shared" si="1096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3"/>
        <v>35931087.732566379</v>
      </c>
      <c r="AJ3665" s="200">
        <f t="shared" si="1084"/>
        <v>4347120.3954975223</v>
      </c>
      <c r="AK3665" s="201">
        <f t="shared" si="1089"/>
        <v>0.12098493727362117</v>
      </c>
      <c r="AL3665" s="24"/>
      <c r="AM3665" s="24"/>
      <c r="AN3665" s="24"/>
      <c r="AO3665" s="24"/>
      <c r="AP3665" s="165" t="str">
        <f t="shared" si="1090"/>
        <v>20249</v>
      </c>
      <c r="AQ3665" s="203" t="str">
        <f t="shared" si="1091"/>
        <v>20249RMB</v>
      </c>
      <c r="AR3665" s="206" t="str">
        <f t="shared" si="1092"/>
        <v>YAMAHA_Mounter</v>
      </c>
      <c r="AS3665" s="22">
        <f t="shared" si="1093"/>
        <v>1</v>
      </c>
      <c r="AT3665" s="24" t="str">
        <f t="shared" si="1094"/>
        <v>0-3 months</v>
      </c>
      <c r="AU3665" s="22" t="s">
        <v>3750</v>
      </c>
    </row>
    <row r="3666" spans="1:47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79"/>
        <v>Q2</v>
      </c>
      <c r="E3666" s="33" t="str">
        <f t="shared" si="1095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1082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1081"/>
        <v>1.13</v>
      </c>
      <c r="Z3666" s="196">
        <f t="shared" si="1080"/>
        <v>1587500.2749999999</v>
      </c>
      <c r="AA3666" s="22">
        <v>1.0980000000000001</v>
      </c>
      <c r="AB3666" s="197">
        <f t="shared" si="1096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3"/>
        <v>35931087.732566379</v>
      </c>
      <c r="AJ3666" s="200">
        <f t="shared" si="1084"/>
        <v>4347120.3954975223</v>
      </c>
      <c r="AK3666" s="201">
        <f t="shared" si="1089"/>
        <v>0.12098493727362117</v>
      </c>
      <c r="AL3666" s="24"/>
      <c r="AM3666" s="24"/>
      <c r="AN3666" s="24"/>
      <c r="AO3666" s="24"/>
      <c r="AP3666" s="165" t="str">
        <f t="shared" si="1090"/>
        <v>20249</v>
      </c>
      <c r="AQ3666" s="203" t="str">
        <f t="shared" si="1091"/>
        <v>20249RMB</v>
      </c>
      <c r="AR3666" s="206" t="str">
        <f t="shared" si="1092"/>
        <v>YAMAHA_Mounter</v>
      </c>
      <c r="AS3666" s="22">
        <f t="shared" si="1093"/>
        <v>1</v>
      </c>
      <c r="AT3666" s="24" t="str">
        <f t="shared" si="1094"/>
        <v>0-3 months</v>
      </c>
      <c r="AU3666" s="22" t="s">
        <v>3750</v>
      </c>
    </row>
    <row r="3667" spans="1:47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79"/>
        <v>Q2</v>
      </c>
      <c r="E3667" s="33" t="str">
        <f t="shared" si="1095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3628</v>
      </c>
      <c r="K3667" s="29" t="s">
        <v>3629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1082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1081"/>
        <v>1.13</v>
      </c>
      <c r="Z3667" s="196">
        <f t="shared" si="1080"/>
        <v>655000</v>
      </c>
      <c r="AA3667" s="22">
        <v>1.0640000000000001</v>
      </c>
      <c r="AB3667" s="197">
        <f t="shared" si="1096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3"/>
        <v>16190947.162761064</v>
      </c>
      <c r="AJ3667" s="200">
        <f t="shared" si="1084"/>
        <v>2256328.1660673413</v>
      </c>
      <c r="AK3667" s="201">
        <f t="shared" si="1089"/>
        <v>0.13935739171929745</v>
      </c>
      <c r="AL3667" s="24"/>
      <c r="AM3667" s="24"/>
      <c r="AN3667" s="24"/>
      <c r="AO3667" s="24" t="s">
        <v>3560</v>
      </c>
      <c r="AP3667" s="165" t="str">
        <f t="shared" si="1090"/>
        <v>20251</v>
      </c>
      <c r="AQ3667" s="203" t="str">
        <f t="shared" si="1091"/>
        <v>20251RMB</v>
      </c>
      <c r="AR3667" s="206" t="str">
        <f t="shared" si="1092"/>
        <v>YAMAHA_Mounter</v>
      </c>
      <c r="AS3667" s="22">
        <f t="shared" si="1093"/>
        <v>4</v>
      </c>
      <c r="AT3667" s="24" t="str">
        <f t="shared" si="1094"/>
        <v>4-6 months</v>
      </c>
      <c r="AU3667" s="22" t="s">
        <v>3750</v>
      </c>
    </row>
    <row r="3668" spans="1:47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79"/>
        <v>Q2</v>
      </c>
      <c r="E3668" s="33" t="str">
        <f t="shared" si="1095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1082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1097">IF(W3668="","",IF(W3668="RMB","1.13", "1"))</f>
        <v>1.13</v>
      </c>
      <c r="Z3668" s="196">
        <f t="shared" si="1080"/>
        <v>1587500.2749999999</v>
      </c>
      <c r="AA3668" s="22">
        <v>1.0980000000000001</v>
      </c>
      <c r="AB3668" s="197">
        <f t="shared" si="1096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3"/>
        <v>35931087.732566379</v>
      </c>
      <c r="AJ3668" s="200">
        <f t="shared" si="1084"/>
        <v>4347120.3954975223</v>
      </c>
      <c r="AK3668" s="201">
        <f t="shared" si="1089"/>
        <v>0.12098493727362117</v>
      </c>
      <c r="AL3668" s="24"/>
      <c r="AM3668" s="24"/>
      <c r="AN3668" s="24"/>
      <c r="AO3668" s="24"/>
      <c r="AP3668" s="165" t="str">
        <f t="shared" si="1090"/>
        <v>20249</v>
      </c>
      <c r="AQ3668" s="203" t="str">
        <f t="shared" si="1091"/>
        <v>20249RMB</v>
      </c>
      <c r="AR3668" s="206" t="str">
        <f t="shared" si="1092"/>
        <v>YAMAHA_Mounter</v>
      </c>
      <c r="AS3668" s="22">
        <f t="shared" si="1093"/>
        <v>1</v>
      </c>
      <c r="AT3668" s="24" t="str">
        <f t="shared" si="1094"/>
        <v>0-3 months</v>
      </c>
      <c r="AU3668" s="22" t="s">
        <v>3750</v>
      </c>
    </row>
    <row r="3669" spans="1:47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79"/>
        <v>Q2</v>
      </c>
      <c r="E3669" s="33" t="str">
        <f t="shared" si="1095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1082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1097"/>
        <v>1.13</v>
      </c>
      <c r="Z3669" s="196">
        <f t="shared" si="1080"/>
        <v>1587500.2749999999</v>
      </c>
      <c r="AA3669" s="22">
        <v>1.0980000000000001</v>
      </c>
      <c r="AB3669" s="197">
        <f t="shared" si="1096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3"/>
        <v>35931087.732566379</v>
      </c>
      <c r="AJ3669" s="200">
        <f t="shared" si="1084"/>
        <v>4347120.3954975223</v>
      </c>
      <c r="AK3669" s="201">
        <f t="shared" si="1089"/>
        <v>0.12098493727362117</v>
      </c>
      <c r="AL3669" s="24"/>
      <c r="AM3669" s="24"/>
      <c r="AN3669" s="24"/>
      <c r="AO3669" s="24"/>
      <c r="AP3669" s="165" t="str">
        <f t="shared" si="1090"/>
        <v>20249</v>
      </c>
      <c r="AQ3669" s="203" t="str">
        <f t="shared" si="1091"/>
        <v>20249RMB</v>
      </c>
      <c r="AR3669" s="206" t="str">
        <f t="shared" si="1092"/>
        <v>YAMAHA_Mounter</v>
      </c>
      <c r="AS3669" s="22">
        <f t="shared" si="1093"/>
        <v>1</v>
      </c>
      <c r="AT3669" s="24" t="str">
        <f t="shared" si="1094"/>
        <v>0-3 months</v>
      </c>
      <c r="AU3669" s="22" t="s">
        <v>3750</v>
      </c>
    </row>
    <row r="3670" spans="1:47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79"/>
        <v>Q2</v>
      </c>
      <c r="E3670" s="33" t="str">
        <f t="shared" si="1095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3521</v>
      </c>
      <c r="K3670" s="29" t="s">
        <v>3522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1082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1097"/>
        <v>1</v>
      </c>
      <c r="Z3670" s="196">
        <f t="shared" si="1080"/>
        <v>12280000</v>
      </c>
      <c r="AA3670" s="22">
        <v>5.5100000000000003E-2</v>
      </c>
      <c r="AB3670" s="197">
        <f t="shared" si="1096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3"/>
        <v>35931087.732566379</v>
      </c>
      <c r="AJ3670" s="200">
        <f t="shared" si="1084"/>
        <v>4347120.3954975223</v>
      </c>
      <c r="AK3670" s="201">
        <f t="shared" si="1089"/>
        <v>0.12098493727362117</v>
      </c>
      <c r="AL3670" s="24"/>
      <c r="AM3670" s="24"/>
      <c r="AN3670" s="24"/>
      <c r="AO3670" s="24"/>
      <c r="AP3670" s="165" t="str">
        <f t="shared" si="1090"/>
        <v>20249</v>
      </c>
      <c r="AQ3670" s="203" t="str">
        <f t="shared" si="1091"/>
        <v>20249JPY</v>
      </c>
      <c r="AR3670" s="206" t="str">
        <f t="shared" si="1092"/>
        <v>YAMAHA_Mounter</v>
      </c>
      <c r="AS3670" s="22">
        <f t="shared" si="1093"/>
        <v>2</v>
      </c>
      <c r="AT3670" s="24" t="str">
        <f t="shared" si="1094"/>
        <v>0-3 months</v>
      </c>
      <c r="AU3670" s="22" t="s">
        <v>3744</v>
      </c>
    </row>
    <row r="3671" spans="1:47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79"/>
        <v>Q2</v>
      </c>
      <c r="E3671" s="33" t="str">
        <f t="shared" si="1095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1082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1097"/>
        <v>1.13</v>
      </c>
      <c r="Z3671" s="196">
        <f t="shared" si="1080"/>
        <v>432999</v>
      </c>
      <c r="AA3671" s="22">
        <v>1.0980000000000001</v>
      </c>
      <c r="AB3671" s="197">
        <f t="shared" si="1096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3"/>
        <v>35931087.732566379</v>
      </c>
      <c r="AJ3671" s="200">
        <f t="shared" si="1084"/>
        <v>4347120.3954975223</v>
      </c>
      <c r="AK3671" s="201">
        <f t="shared" si="1089"/>
        <v>0.12098493727362117</v>
      </c>
      <c r="AL3671" s="24"/>
      <c r="AM3671" s="24"/>
      <c r="AN3671" s="24"/>
      <c r="AO3671" s="24"/>
      <c r="AP3671" s="165" t="str">
        <f t="shared" si="1090"/>
        <v>20249</v>
      </c>
      <c r="AQ3671" s="203" t="str">
        <f t="shared" si="1091"/>
        <v>20249RMB</v>
      </c>
      <c r="AR3671" s="206" t="str">
        <f t="shared" si="1092"/>
        <v>YAMAHA_Mounter</v>
      </c>
      <c r="AS3671" s="22">
        <f t="shared" si="1093"/>
        <v>2</v>
      </c>
      <c r="AT3671" s="24" t="str">
        <f t="shared" si="1094"/>
        <v>0-3 months</v>
      </c>
      <c r="AU3671" s="22" t="s">
        <v>3240</v>
      </c>
    </row>
    <row r="3672" spans="1:47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79"/>
        <v>Q2</v>
      </c>
      <c r="E3672" s="33" t="str">
        <f t="shared" si="1095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3536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1082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1097"/>
        <v>1.13</v>
      </c>
      <c r="Z3672" s="196">
        <f t="shared" si="1080"/>
        <v>398000</v>
      </c>
      <c r="AA3672" s="22">
        <v>1.1080000000000001</v>
      </c>
      <c r="AB3672" s="197">
        <f t="shared" si="1096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3"/>
        <v>22758096.38940867</v>
      </c>
      <c r="AJ3672" s="200">
        <f t="shared" si="1084"/>
        <v>2469357.2298956565</v>
      </c>
      <c r="AK3672" s="201">
        <f t="shared" si="1089"/>
        <v>0.10850455976822666</v>
      </c>
      <c r="AL3672" s="24"/>
      <c r="AM3672" s="24"/>
      <c r="AN3672" s="24"/>
      <c r="AO3672" s="24"/>
      <c r="AP3672" s="165" t="str">
        <f t="shared" si="1090"/>
        <v>202410</v>
      </c>
      <c r="AQ3672" s="203" t="str">
        <f t="shared" si="1091"/>
        <v>202410RMB</v>
      </c>
      <c r="AR3672" s="206" t="str">
        <f t="shared" si="1092"/>
        <v>YAMAHA_Mounter</v>
      </c>
      <c r="AS3672" s="22">
        <f t="shared" si="1093"/>
        <v>2</v>
      </c>
      <c r="AT3672" s="24" t="str">
        <f t="shared" si="1094"/>
        <v>0-3 months</v>
      </c>
      <c r="AU3672" s="22" t="s">
        <v>3240</v>
      </c>
    </row>
    <row r="3673" spans="1:47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79"/>
        <v>Q2</v>
      </c>
      <c r="E3673" s="33" t="str">
        <f t="shared" si="1095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1082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1097"/>
        <v>1</v>
      </c>
      <c r="Z3673" s="196">
        <f t="shared" si="1080"/>
        <v>13210000</v>
      </c>
      <c r="AA3673" s="22">
        <v>5.5100000000000003E-2</v>
      </c>
      <c r="AB3673" s="197">
        <f t="shared" si="1096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3"/>
        <v>35931087.732566379</v>
      </c>
      <c r="AJ3673" s="200">
        <f t="shared" si="1084"/>
        <v>4347120.3954975223</v>
      </c>
      <c r="AK3673" s="201">
        <f t="shared" si="1089"/>
        <v>0.12098493727362117</v>
      </c>
      <c r="AL3673" s="24"/>
      <c r="AM3673" s="24"/>
      <c r="AN3673" s="24"/>
      <c r="AO3673" s="24"/>
      <c r="AP3673" s="165" t="str">
        <f t="shared" si="1090"/>
        <v>20249</v>
      </c>
      <c r="AQ3673" s="203" t="str">
        <f t="shared" si="1091"/>
        <v>20249JPY</v>
      </c>
      <c r="AR3673" s="206" t="str">
        <f t="shared" si="1092"/>
        <v>YAMAHA_Mounter</v>
      </c>
      <c r="AS3673" s="22">
        <f t="shared" si="1093"/>
        <v>2</v>
      </c>
      <c r="AT3673" s="24" t="str">
        <f t="shared" si="1094"/>
        <v>0-3 months</v>
      </c>
      <c r="AU3673" s="22" t="s">
        <v>3744</v>
      </c>
    </row>
    <row r="3674" spans="1:47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79"/>
        <v>Q2</v>
      </c>
      <c r="E3674" s="33" t="str">
        <f t="shared" si="1095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1098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1097"/>
        <v>1.13</v>
      </c>
      <c r="Z3674" s="196">
        <f t="shared" si="1080"/>
        <v>675000</v>
      </c>
      <c r="AA3674" s="22">
        <v>1.0980000000000001</v>
      </c>
      <c r="AB3674" s="197">
        <f t="shared" si="1096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3"/>
        <v>35931087.732566379</v>
      </c>
      <c r="AJ3674" s="200">
        <f t="shared" si="1084"/>
        <v>4347120.3954975223</v>
      </c>
      <c r="AK3674" s="201">
        <f t="shared" si="1089"/>
        <v>0.12098493727362117</v>
      </c>
      <c r="AL3674" s="24"/>
      <c r="AM3674" s="24"/>
      <c r="AN3674" s="24"/>
      <c r="AO3674" s="24"/>
      <c r="AP3674" s="165" t="str">
        <f t="shared" si="1090"/>
        <v>20249</v>
      </c>
      <c r="AQ3674" s="203" t="str">
        <f t="shared" si="1091"/>
        <v>20249RMB</v>
      </c>
      <c r="AR3674" s="206" t="str">
        <f t="shared" si="1092"/>
        <v>YAMAHA_Mounter</v>
      </c>
      <c r="AS3674" s="22">
        <f t="shared" si="1093"/>
        <v>2</v>
      </c>
      <c r="AT3674" s="24" t="str">
        <f t="shared" si="1094"/>
        <v>0-3 months</v>
      </c>
      <c r="AU3674" s="22" t="s">
        <v>3750</v>
      </c>
    </row>
    <row r="3675" spans="1:47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79"/>
        <v>Q2</v>
      </c>
      <c r="E3675" s="33" t="str">
        <f t="shared" si="1095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3537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1098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1097"/>
        <v>1.13</v>
      </c>
      <c r="Z3675" s="196">
        <v>380666</v>
      </c>
      <c r="AA3675" s="22">
        <v>1.1080000000000001</v>
      </c>
      <c r="AB3675" s="197">
        <f t="shared" si="1096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3"/>
        <v>22758096.38940867</v>
      </c>
      <c r="AJ3675" s="200">
        <f t="shared" si="1084"/>
        <v>2469357.2298956565</v>
      </c>
      <c r="AK3675" s="201">
        <f t="shared" si="1089"/>
        <v>0.10850455976822666</v>
      </c>
      <c r="AL3675" s="24"/>
      <c r="AM3675" s="24"/>
      <c r="AN3675" s="24"/>
      <c r="AO3675" s="24"/>
      <c r="AP3675" s="165" t="str">
        <f t="shared" si="1090"/>
        <v>202410</v>
      </c>
      <c r="AQ3675" s="203" t="str">
        <f t="shared" si="1091"/>
        <v>202410RMB</v>
      </c>
      <c r="AR3675" s="206" t="str">
        <f t="shared" si="1092"/>
        <v>YAMAHA_Non_Mounter</v>
      </c>
      <c r="AS3675" s="22">
        <f t="shared" si="1093"/>
        <v>3</v>
      </c>
      <c r="AT3675" s="24" t="str">
        <f t="shared" si="1094"/>
        <v>0-3 months</v>
      </c>
      <c r="AU3675" s="22" t="s">
        <v>3240</v>
      </c>
    </row>
    <row r="3676" spans="1:47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79"/>
        <v>Q2</v>
      </c>
      <c r="E3676" s="33" t="str">
        <f t="shared" si="1095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3537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1098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1097"/>
        <v>1.13</v>
      </c>
      <c r="Z3676" s="196">
        <v>380666</v>
      </c>
      <c r="AA3676" s="22">
        <v>1.1080000000000001</v>
      </c>
      <c r="AB3676" s="197">
        <f t="shared" si="1096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3"/>
        <v>22758096.38940867</v>
      </c>
      <c r="AJ3676" s="200">
        <f t="shared" si="1084"/>
        <v>2469357.2298956565</v>
      </c>
      <c r="AK3676" s="201">
        <f t="shared" si="1089"/>
        <v>0.10850455976822666</v>
      </c>
      <c r="AL3676" s="24"/>
      <c r="AM3676" s="24"/>
      <c r="AN3676" s="24"/>
      <c r="AO3676" s="24"/>
      <c r="AP3676" s="165" t="str">
        <f t="shared" si="1090"/>
        <v>202410</v>
      </c>
      <c r="AQ3676" s="203" t="str">
        <f t="shared" si="1091"/>
        <v>202410RMB</v>
      </c>
      <c r="AR3676" s="206" t="str">
        <f t="shared" si="1092"/>
        <v>YAMAHA_Non_Mounter</v>
      </c>
      <c r="AS3676" s="22">
        <f t="shared" si="1093"/>
        <v>3</v>
      </c>
      <c r="AT3676" s="24" t="str">
        <f t="shared" si="1094"/>
        <v>0-3 months</v>
      </c>
      <c r="AU3676" s="22" t="s">
        <v>3240</v>
      </c>
    </row>
    <row r="3677" spans="1:47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79"/>
        <v>Q2</v>
      </c>
      <c r="E3677" s="33" t="str">
        <f t="shared" si="1095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3531</v>
      </c>
      <c r="K3677" s="29" t="s">
        <v>3532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1098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1097"/>
        <v>1.13</v>
      </c>
      <c r="Z3677" s="196">
        <f t="shared" si="1080"/>
        <v>780000</v>
      </c>
      <c r="AA3677" s="22">
        <v>1.0980000000000001</v>
      </c>
      <c r="AB3677" s="197">
        <f t="shared" si="1096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3"/>
        <v>35931087.732566379</v>
      </c>
      <c r="AJ3677" s="200">
        <f t="shared" si="1084"/>
        <v>4347120.3954975223</v>
      </c>
      <c r="AK3677" s="201">
        <f t="shared" si="1089"/>
        <v>0.12098493727362117</v>
      </c>
      <c r="AL3677" s="24"/>
      <c r="AM3677" s="24"/>
      <c r="AN3677" s="24"/>
      <c r="AO3677" s="24"/>
      <c r="AP3677" s="165" t="str">
        <f t="shared" si="1090"/>
        <v>20249</v>
      </c>
      <c r="AQ3677" s="203" t="str">
        <f t="shared" si="1091"/>
        <v>20249RMB</v>
      </c>
      <c r="AR3677" s="206" t="str">
        <f t="shared" si="1092"/>
        <v>YAMAHA_Mounter</v>
      </c>
      <c r="AS3677" s="22">
        <f t="shared" si="1093"/>
        <v>1</v>
      </c>
      <c r="AT3677" s="24" t="str">
        <f t="shared" si="1094"/>
        <v>0-3 months</v>
      </c>
      <c r="AU3677" s="22" t="s">
        <v>3750</v>
      </c>
    </row>
    <row r="3678" spans="1:47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79"/>
        <v>Q2</v>
      </c>
      <c r="E3678" s="33" t="str">
        <f t="shared" si="1095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3531</v>
      </c>
      <c r="K3678" s="29" t="s">
        <v>3532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1098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1097"/>
        <v>1.13</v>
      </c>
      <c r="Z3678" s="196">
        <f t="shared" si="1080"/>
        <v>571000</v>
      </c>
      <c r="AA3678" s="22">
        <v>1.0980000000000001</v>
      </c>
      <c r="AB3678" s="197">
        <f t="shared" si="1096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3"/>
        <v>35931087.732566379</v>
      </c>
      <c r="AJ3678" s="200">
        <f t="shared" si="1084"/>
        <v>4347120.3954975223</v>
      </c>
      <c r="AK3678" s="201">
        <f t="shared" si="1089"/>
        <v>0.12098493727362117</v>
      </c>
      <c r="AL3678" s="24"/>
      <c r="AM3678" s="24"/>
      <c r="AN3678" s="24"/>
      <c r="AO3678" s="24"/>
      <c r="AP3678" s="165" t="str">
        <f t="shared" si="1090"/>
        <v>20249</v>
      </c>
      <c r="AQ3678" s="203" t="str">
        <f t="shared" si="1091"/>
        <v>20249RMB</v>
      </c>
      <c r="AR3678" s="206" t="str">
        <f t="shared" si="1092"/>
        <v>YAMAHA_Mounter</v>
      </c>
      <c r="AS3678" s="22">
        <f t="shared" si="1093"/>
        <v>1</v>
      </c>
      <c r="AT3678" s="24" t="str">
        <f t="shared" si="1094"/>
        <v>0-3 months</v>
      </c>
      <c r="AU3678" s="22" t="s">
        <v>3750</v>
      </c>
    </row>
    <row r="3679" spans="1:47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79"/>
        <v>Q2</v>
      </c>
      <c r="E3679" s="33" t="str">
        <f t="shared" si="1095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3534</v>
      </c>
      <c r="K3679" s="29" t="s">
        <v>3533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1098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1097"/>
        <v>1</v>
      </c>
      <c r="Z3679" s="196">
        <f t="shared" si="1080"/>
        <v>13430000</v>
      </c>
      <c r="AA3679" s="22">
        <v>5.5100000000000003E-2</v>
      </c>
      <c r="AB3679" s="197">
        <f t="shared" si="1096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3"/>
        <v>35931087.732566379</v>
      </c>
      <c r="AJ3679" s="200">
        <f t="shared" si="1084"/>
        <v>4347120.3954975223</v>
      </c>
      <c r="AK3679" s="201">
        <f t="shared" si="1089"/>
        <v>0.12098493727362117</v>
      </c>
      <c r="AL3679" s="24"/>
      <c r="AM3679" s="24"/>
      <c r="AN3679" s="24"/>
      <c r="AO3679" s="24"/>
      <c r="AP3679" s="165" t="str">
        <f t="shared" si="1090"/>
        <v>20249</v>
      </c>
      <c r="AQ3679" s="203" t="str">
        <f t="shared" si="1091"/>
        <v>20249JPY</v>
      </c>
      <c r="AR3679" s="206" t="str">
        <f t="shared" si="1092"/>
        <v>YAMAHA_Mounter</v>
      </c>
      <c r="AS3679" s="22">
        <f t="shared" si="1093"/>
        <v>1</v>
      </c>
      <c r="AT3679" s="24" t="str">
        <f t="shared" si="1094"/>
        <v>0-3 months</v>
      </c>
      <c r="AU3679" s="22" t="s">
        <v>3240</v>
      </c>
    </row>
    <row r="3680" spans="1:47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79"/>
        <v>Q2</v>
      </c>
      <c r="E3680" s="33" t="str">
        <f t="shared" si="1095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3535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1098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1097"/>
        <v>1.13</v>
      </c>
      <c r="Z3680" s="196">
        <f t="shared" si="1080"/>
        <v>672500</v>
      </c>
      <c r="AA3680" s="22">
        <v>1.0980000000000001</v>
      </c>
      <c r="AB3680" s="197">
        <f t="shared" si="1096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3"/>
        <v>35931087.732566379</v>
      </c>
      <c r="AJ3680" s="200">
        <f t="shared" si="1084"/>
        <v>4347120.3954975223</v>
      </c>
      <c r="AK3680" s="201">
        <f t="shared" si="1089"/>
        <v>0.12098493727362117</v>
      </c>
      <c r="AL3680" s="24"/>
      <c r="AM3680" s="24"/>
      <c r="AN3680" s="24"/>
      <c r="AO3680" s="24"/>
      <c r="AP3680" s="165" t="str">
        <f t="shared" si="1090"/>
        <v>20249</v>
      </c>
      <c r="AQ3680" s="203" t="str">
        <f t="shared" si="1091"/>
        <v>20249RMB</v>
      </c>
      <c r="AR3680" s="206" t="str">
        <f t="shared" si="1092"/>
        <v>YAMAHA_Mounter</v>
      </c>
      <c r="AS3680" s="22">
        <f t="shared" si="1093"/>
        <v>1</v>
      </c>
      <c r="AT3680" s="24" t="str">
        <f t="shared" si="1094"/>
        <v>0-3 months</v>
      </c>
      <c r="AU3680" s="22" t="s">
        <v>3240</v>
      </c>
    </row>
    <row r="3681" spans="1:47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79"/>
        <v>Q2</v>
      </c>
      <c r="E3681" s="33" t="str">
        <f t="shared" si="1095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3535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1098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1097"/>
        <v>1.13</v>
      </c>
      <c r="Z3681" s="196">
        <f t="shared" si="1080"/>
        <v>672500</v>
      </c>
      <c r="AA3681" s="22">
        <v>1.0980000000000001</v>
      </c>
      <c r="AB3681" s="197">
        <f t="shared" si="1096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3"/>
        <v>35931087.732566379</v>
      </c>
      <c r="AJ3681" s="200">
        <f t="shared" si="1084"/>
        <v>4347120.3954975223</v>
      </c>
      <c r="AK3681" s="201">
        <f t="shared" si="1089"/>
        <v>0.12098493727362117</v>
      </c>
      <c r="AL3681" s="24"/>
      <c r="AM3681" s="24"/>
      <c r="AN3681" s="24"/>
      <c r="AO3681" s="24"/>
      <c r="AP3681" s="165" t="str">
        <f t="shared" si="1090"/>
        <v>20249</v>
      </c>
      <c r="AQ3681" s="203" t="str">
        <f t="shared" si="1091"/>
        <v>20249RMB</v>
      </c>
      <c r="AR3681" s="206" t="str">
        <f t="shared" si="1092"/>
        <v>YAMAHA_Mounter</v>
      </c>
      <c r="AS3681" s="22">
        <f t="shared" si="1093"/>
        <v>1</v>
      </c>
      <c r="AT3681" s="24" t="str">
        <f t="shared" si="1094"/>
        <v>0-3 months</v>
      </c>
      <c r="AU3681" s="22" t="s">
        <v>3240</v>
      </c>
    </row>
    <row r="3682" spans="1:47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79"/>
        <v>Q2</v>
      </c>
      <c r="E3682" s="33" t="str">
        <f t="shared" si="1095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3540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1098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1097"/>
        <v>1</v>
      </c>
      <c r="Z3682" s="196">
        <f t="shared" si="1080"/>
        <v>12200000</v>
      </c>
      <c r="AA3682" s="22">
        <v>5.1799999999999999E-2</v>
      </c>
      <c r="AB3682" s="197">
        <f t="shared" si="1096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3"/>
        <v>32082250.320460182</v>
      </c>
      <c r="AJ3682" s="200">
        <f t="shared" si="1084"/>
        <v>4323122.9746477893</v>
      </c>
      <c r="AK3682" s="201">
        <f t="shared" si="1089"/>
        <v>0.1347512388147771</v>
      </c>
      <c r="AL3682" s="24"/>
      <c r="AM3682" s="24"/>
      <c r="AN3682" s="24"/>
      <c r="AO3682" s="24"/>
      <c r="AP3682" s="165" t="str">
        <f t="shared" si="1090"/>
        <v>202411</v>
      </c>
      <c r="AQ3682" s="203" t="str">
        <f t="shared" si="1091"/>
        <v>202411JPY</v>
      </c>
      <c r="AR3682" s="206" t="str">
        <f t="shared" si="1092"/>
        <v>YAMAHA_Mounter</v>
      </c>
      <c r="AS3682" s="22">
        <f t="shared" si="1093"/>
        <v>3</v>
      </c>
      <c r="AT3682" s="24" t="str">
        <f t="shared" si="1094"/>
        <v>0-3 months</v>
      </c>
      <c r="AU3682" s="22" t="s">
        <v>3744</v>
      </c>
    </row>
    <row r="3683" spans="1:47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79"/>
        <v>Q2</v>
      </c>
      <c r="E3683" s="33" t="str">
        <f t="shared" si="1095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3540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1098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1097"/>
        <v>1</v>
      </c>
      <c r="Z3683" s="196">
        <f t="shared" si="1080"/>
        <v>12200000</v>
      </c>
      <c r="AA3683" s="22">
        <v>5.1799999999999999E-2</v>
      </c>
      <c r="AB3683" s="197">
        <f t="shared" si="1096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3"/>
        <v>32082250.320460182</v>
      </c>
      <c r="AJ3683" s="200">
        <f t="shared" si="1084"/>
        <v>4323122.9746477893</v>
      </c>
      <c r="AK3683" s="201">
        <f t="shared" si="1089"/>
        <v>0.1347512388147771</v>
      </c>
      <c r="AL3683" s="24"/>
      <c r="AM3683" s="24"/>
      <c r="AN3683" s="24"/>
      <c r="AO3683" s="24"/>
      <c r="AP3683" s="165" t="str">
        <f t="shared" si="1090"/>
        <v>202411</v>
      </c>
      <c r="AQ3683" s="203" t="str">
        <f t="shared" si="1091"/>
        <v>202411JPY</v>
      </c>
      <c r="AR3683" s="206" t="str">
        <f t="shared" si="1092"/>
        <v>YAMAHA_Mounter</v>
      </c>
      <c r="AS3683" s="22">
        <f t="shared" si="1093"/>
        <v>3</v>
      </c>
      <c r="AT3683" s="24" t="str">
        <f t="shared" si="1094"/>
        <v>0-3 months</v>
      </c>
      <c r="AU3683" s="22" t="s">
        <v>3744</v>
      </c>
    </row>
    <row r="3684" spans="1:47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79"/>
        <v>Q2</v>
      </c>
      <c r="E3684" s="33" t="str">
        <f t="shared" si="1095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3540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1098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1097"/>
        <v>1</v>
      </c>
      <c r="Z3684" s="196">
        <f t="shared" si="1080"/>
        <v>12200000</v>
      </c>
      <c r="AA3684" s="22">
        <v>5.1799999999999999E-2</v>
      </c>
      <c r="AB3684" s="197">
        <f t="shared" si="1096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3"/>
        <v>32082250.320460182</v>
      </c>
      <c r="AJ3684" s="200">
        <f t="shared" si="1084"/>
        <v>4323122.9746477893</v>
      </c>
      <c r="AK3684" s="201">
        <f t="shared" si="1089"/>
        <v>0.1347512388147771</v>
      </c>
      <c r="AL3684" s="24"/>
      <c r="AM3684" s="24"/>
      <c r="AN3684" s="24"/>
      <c r="AO3684" s="24"/>
      <c r="AP3684" s="165" t="str">
        <f t="shared" si="1090"/>
        <v>202411</v>
      </c>
      <c r="AQ3684" s="203" t="str">
        <f t="shared" si="1091"/>
        <v>202411JPY</v>
      </c>
      <c r="AR3684" s="206" t="str">
        <f t="shared" si="1092"/>
        <v>YAMAHA_Mounter</v>
      </c>
      <c r="AS3684" s="22">
        <f t="shared" si="1093"/>
        <v>3</v>
      </c>
      <c r="AT3684" s="24" t="str">
        <f t="shared" si="1094"/>
        <v>0-3 months</v>
      </c>
      <c r="AU3684" s="22" t="s">
        <v>3744</v>
      </c>
    </row>
    <row r="3685" spans="1:47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79"/>
        <v>Q2</v>
      </c>
      <c r="E3685" s="33" t="str">
        <f t="shared" si="1095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3540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1098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1097"/>
        <v>1</v>
      </c>
      <c r="Z3685" s="196">
        <f t="shared" si="1080"/>
        <v>7200000</v>
      </c>
      <c r="AA3685" s="22">
        <v>5.1799999999999999E-2</v>
      </c>
      <c r="AB3685" s="197">
        <f t="shared" si="1096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3"/>
        <v>32082250.320460182</v>
      </c>
      <c r="AJ3685" s="200">
        <f t="shared" si="1084"/>
        <v>4323122.9746477893</v>
      </c>
      <c r="AK3685" s="201">
        <f t="shared" si="1089"/>
        <v>0.1347512388147771</v>
      </c>
      <c r="AL3685" s="24"/>
      <c r="AM3685" s="24"/>
      <c r="AN3685" s="24"/>
      <c r="AO3685" s="24"/>
      <c r="AP3685" s="165" t="str">
        <f t="shared" si="1090"/>
        <v>202411</v>
      </c>
      <c r="AQ3685" s="203" t="str">
        <f t="shared" si="1091"/>
        <v>202411JPY</v>
      </c>
      <c r="AR3685" s="206" t="str">
        <f t="shared" si="1092"/>
        <v>YAMAHA_Mounter</v>
      </c>
      <c r="AS3685" s="22">
        <f t="shared" si="1093"/>
        <v>3</v>
      </c>
      <c r="AT3685" s="24" t="str">
        <f t="shared" si="1094"/>
        <v>0-3 months</v>
      </c>
      <c r="AU3685" s="22" t="s">
        <v>3744</v>
      </c>
    </row>
    <row r="3686" spans="1:47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79"/>
        <v>Q2</v>
      </c>
      <c r="E3686" s="33" t="str">
        <f t="shared" si="1095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3540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1098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1097"/>
        <v>1</v>
      </c>
      <c r="Z3686" s="196">
        <f t="shared" si="1080"/>
        <v>7200000</v>
      </c>
      <c r="AA3686" s="22">
        <v>5.1799999999999999E-2</v>
      </c>
      <c r="AB3686" s="197">
        <f t="shared" si="1096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3"/>
        <v>32082250.320460182</v>
      </c>
      <c r="AJ3686" s="200">
        <f t="shared" si="1084"/>
        <v>4323122.9746477893</v>
      </c>
      <c r="AK3686" s="201">
        <f t="shared" si="1089"/>
        <v>0.1347512388147771</v>
      </c>
      <c r="AL3686" s="24"/>
      <c r="AM3686" s="24"/>
      <c r="AN3686" s="24"/>
      <c r="AO3686" s="24"/>
      <c r="AP3686" s="165" t="str">
        <f t="shared" si="1090"/>
        <v>202411</v>
      </c>
      <c r="AQ3686" s="203" t="str">
        <f t="shared" si="1091"/>
        <v>202411JPY</v>
      </c>
      <c r="AR3686" s="206" t="str">
        <f t="shared" si="1092"/>
        <v>YAMAHA_Mounter</v>
      </c>
      <c r="AS3686" s="22">
        <f t="shared" si="1093"/>
        <v>3</v>
      </c>
      <c r="AT3686" s="24" t="str">
        <f t="shared" si="1094"/>
        <v>0-3 months</v>
      </c>
      <c r="AU3686" s="22" t="s">
        <v>3744</v>
      </c>
    </row>
    <row r="3687" spans="1:47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79"/>
        <v>Q2</v>
      </c>
      <c r="E3687" s="33" t="str">
        <f t="shared" ref="E3687:E3718" si="1099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1086"/>
        <v>Cancel</v>
      </c>
      <c r="J3687" s="188" t="s">
        <v>3541</v>
      </c>
      <c r="K3687" s="29" t="s">
        <v>3542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1098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1097"/>
        <v>1</v>
      </c>
      <c r="Z3687" s="196">
        <f t="shared" si="1080"/>
        <v>15530000</v>
      </c>
      <c r="AA3687" s="22">
        <v>5.1799999999999999E-2</v>
      </c>
      <c r="AB3687" s="197">
        <f t="shared" si="1096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3"/>
        <v>499582152.5142017</v>
      </c>
      <c r="AJ3687" s="200">
        <f t="shared" si="1084"/>
        <v>59520528.679470733</v>
      </c>
      <c r="AK3687" s="201">
        <f t="shared" si="1089"/>
        <v>0.11914062257814291</v>
      </c>
      <c r="AL3687" s="24"/>
      <c r="AM3687" s="24"/>
      <c r="AN3687" s="24"/>
      <c r="AO3687" s="24"/>
      <c r="AP3687" s="165" t="str">
        <f t="shared" si="1090"/>
        <v>CancelCancel</v>
      </c>
      <c r="AQ3687" s="203" t="str">
        <f t="shared" si="1091"/>
        <v>CancelCancelJPY</v>
      </c>
      <c r="AR3687" s="206" t="str">
        <f t="shared" si="1092"/>
        <v>YAMAHA_Mounter</v>
      </c>
      <c r="AS3687" s="22" t="str">
        <f t="shared" si="1093"/>
        <v/>
      </c>
      <c r="AT3687" s="24" t="str">
        <f t="shared" si="1094"/>
        <v/>
      </c>
      <c r="AU3687" s="22" t="s">
        <v>3744</v>
      </c>
    </row>
    <row r="3688" spans="1:47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79"/>
        <v>Q2</v>
      </c>
      <c r="E3688" s="33" t="str">
        <f t="shared" si="1099"/>
        <v>Cancel</v>
      </c>
      <c r="F3688" s="23" t="s">
        <v>185</v>
      </c>
      <c r="G3688" s="23" t="s">
        <v>185</v>
      </c>
      <c r="H3688" s="29"/>
      <c r="I3688" s="204" t="str">
        <f t="shared" si="1086"/>
        <v>Cancel</v>
      </c>
      <c r="J3688" s="188" t="s">
        <v>3541</v>
      </c>
      <c r="K3688" s="29" t="s">
        <v>3542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1098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1097"/>
        <v>1</v>
      </c>
      <c r="Z3688" s="196">
        <f t="shared" si="1080"/>
        <v>8170000</v>
      </c>
      <c r="AA3688" s="22">
        <v>5.1799999999999999E-2</v>
      </c>
      <c r="AB3688" s="197">
        <f t="shared" si="1096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3"/>
        <v>499582152.5142017</v>
      </c>
      <c r="AJ3688" s="200">
        <f t="shared" si="1084"/>
        <v>59520528.679470733</v>
      </c>
      <c r="AK3688" s="201">
        <f t="shared" si="1089"/>
        <v>0.11914062257814291</v>
      </c>
      <c r="AL3688" s="24"/>
      <c r="AM3688" s="24"/>
      <c r="AN3688" s="24"/>
      <c r="AO3688" s="24"/>
      <c r="AP3688" s="165" t="str">
        <f t="shared" si="1090"/>
        <v>CancelCancel</v>
      </c>
      <c r="AQ3688" s="203" t="str">
        <f t="shared" si="1091"/>
        <v>CancelCancelJPY</v>
      </c>
      <c r="AR3688" s="206" t="str">
        <f t="shared" si="1092"/>
        <v>YAMAHA_Mounter</v>
      </c>
      <c r="AS3688" s="22" t="str">
        <f t="shared" si="1093"/>
        <v/>
      </c>
      <c r="AT3688" s="24" t="str">
        <f t="shared" si="1094"/>
        <v/>
      </c>
      <c r="AU3688" s="22" t="s">
        <v>3744</v>
      </c>
    </row>
    <row r="3689" spans="1:47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79"/>
        <v>Q2</v>
      </c>
      <c r="E3689" s="33" t="str">
        <f t="shared" si="1099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3535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1098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1097"/>
        <v>1.13</v>
      </c>
      <c r="Z3689" s="196">
        <f t="shared" si="1080"/>
        <v>397500</v>
      </c>
      <c r="AA3689" s="22">
        <v>1.0980000000000001</v>
      </c>
      <c r="AB3689" s="197">
        <f t="shared" ref="AB3689:AB3720" si="1100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3"/>
        <v>35931087.732566379</v>
      </c>
      <c r="AJ3689" s="200">
        <f t="shared" si="1084"/>
        <v>4347120.3954975223</v>
      </c>
      <c r="AK3689" s="201">
        <f t="shared" si="1089"/>
        <v>0.12098493727362117</v>
      </c>
      <c r="AL3689" s="24"/>
      <c r="AM3689" s="24"/>
      <c r="AN3689" s="24"/>
      <c r="AO3689" s="24"/>
      <c r="AP3689" s="165" t="str">
        <f t="shared" si="1090"/>
        <v>20249</v>
      </c>
      <c r="AQ3689" s="203" t="str">
        <f t="shared" si="1091"/>
        <v>20249RMB</v>
      </c>
      <c r="AR3689" s="206" t="str">
        <f t="shared" si="1092"/>
        <v>YAMAHA_Mounter</v>
      </c>
      <c r="AS3689" s="22">
        <f t="shared" si="1093"/>
        <v>1</v>
      </c>
      <c r="AT3689" s="24" t="str">
        <f t="shared" si="1094"/>
        <v>0-3 months</v>
      </c>
      <c r="AU3689" s="22" t="s">
        <v>3240</v>
      </c>
    </row>
    <row r="3690" spans="1:47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79"/>
        <v>Q2</v>
      </c>
      <c r="E3690" s="33" t="str">
        <f t="shared" si="1099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3535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1098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1097"/>
        <v>1.13</v>
      </c>
      <c r="Z3690" s="196">
        <f t="shared" si="1080"/>
        <v>397500</v>
      </c>
      <c r="AA3690" s="22">
        <v>1.0980000000000001</v>
      </c>
      <c r="AB3690" s="197">
        <f t="shared" si="1100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3"/>
        <v>35931087.732566379</v>
      </c>
      <c r="AJ3690" s="200">
        <f t="shared" si="1084"/>
        <v>4347120.3954975223</v>
      </c>
      <c r="AK3690" s="201">
        <f t="shared" si="1089"/>
        <v>0.12098493727362117</v>
      </c>
      <c r="AL3690" s="24"/>
      <c r="AM3690" s="24"/>
      <c r="AN3690" s="24"/>
      <c r="AO3690" s="24"/>
      <c r="AP3690" s="165" t="str">
        <f t="shared" si="1090"/>
        <v>20249</v>
      </c>
      <c r="AQ3690" s="203" t="str">
        <f t="shared" si="1091"/>
        <v>20249RMB</v>
      </c>
      <c r="AR3690" s="206" t="str">
        <f t="shared" si="1092"/>
        <v>YAMAHA_Mounter</v>
      </c>
      <c r="AS3690" s="22">
        <f t="shared" si="1093"/>
        <v>1</v>
      </c>
      <c r="AT3690" s="24" t="str">
        <f t="shared" si="1094"/>
        <v>0-3 months</v>
      </c>
      <c r="AU3690" s="22" t="s">
        <v>3240</v>
      </c>
    </row>
    <row r="3691" spans="1:47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79"/>
        <v>Q3</v>
      </c>
      <c r="E3691" s="33" t="str">
        <f t="shared" si="1099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1098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1097"/>
        <v>1.13</v>
      </c>
      <c r="Z3691" s="18">
        <f t="shared" si="1080"/>
        <v>350000</v>
      </c>
      <c r="AA3691" s="22">
        <v>1.0980000000000001</v>
      </c>
      <c r="AB3691" s="21">
        <f t="shared" si="1100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3"/>
        <v>35931087.732566379</v>
      </c>
      <c r="AJ3691" s="27">
        <f t="shared" si="1084"/>
        <v>4347120.3954975223</v>
      </c>
      <c r="AK3691" s="28">
        <f t="shared" si="1089"/>
        <v>0.12098493727362117</v>
      </c>
      <c r="AL3691" s="24"/>
      <c r="AM3691" s="24"/>
      <c r="AN3691" s="24"/>
      <c r="AO3691" s="24"/>
      <c r="AP3691" s="95" t="str">
        <f t="shared" si="1090"/>
        <v>20249</v>
      </c>
      <c r="AQ3691" s="203" t="str">
        <f t="shared" si="1091"/>
        <v>20249RMB</v>
      </c>
      <c r="AR3691" s="206" t="str">
        <f t="shared" si="1092"/>
        <v>YAMAHA_Non_Mounter</v>
      </c>
      <c r="AS3691" s="22">
        <f t="shared" si="1093"/>
        <v>9</v>
      </c>
      <c r="AT3691" s="24" t="str">
        <f t="shared" si="1094"/>
        <v>&gt; 6 months</v>
      </c>
      <c r="AU3691" s="22" t="s">
        <v>3240</v>
      </c>
    </row>
    <row r="3692" spans="1:47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79"/>
        <v>Q2</v>
      </c>
      <c r="E3692" s="33" t="str">
        <f t="shared" si="1099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3539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1098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1097"/>
        <v>1.13</v>
      </c>
      <c r="Z3692" s="196">
        <f t="shared" si="1080"/>
        <v>810000</v>
      </c>
      <c r="AA3692" s="22">
        <v>1.0980000000000001</v>
      </c>
      <c r="AB3692" s="197">
        <f t="shared" si="1100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3"/>
        <v>35931087.732566379</v>
      </c>
      <c r="AJ3692" s="200">
        <f t="shared" si="1084"/>
        <v>4347120.3954975223</v>
      </c>
      <c r="AK3692" s="201">
        <f t="shared" si="1089"/>
        <v>0.12098493727362117</v>
      </c>
      <c r="AL3692" s="24"/>
      <c r="AM3692" s="24"/>
      <c r="AN3692" s="24"/>
      <c r="AO3692" s="24"/>
      <c r="AP3692" s="165" t="str">
        <f t="shared" si="1090"/>
        <v>20249</v>
      </c>
      <c r="AQ3692" s="203" t="str">
        <f t="shared" si="1091"/>
        <v>20249RMB</v>
      </c>
      <c r="AR3692" s="206" t="str">
        <f t="shared" si="1092"/>
        <v>YAMAHA_Mounter</v>
      </c>
      <c r="AS3692" s="22">
        <f t="shared" si="1093"/>
        <v>1</v>
      </c>
      <c r="AT3692" s="24" t="str">
        <f t="shared" si="1094"/>
        <v>0-3 months</v>
      </c>
      <c r="AU3692" s="22" t="s">
        <v>3750</v>
      </c>
    </row>
    <row r="3693" spans="1:47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79"/>
        <v>Q2</v>
      </c>
      <c r="E3693" s="33" t="str">
        <f t="shared" si="1099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3543</v>
      </c>
      <c r="K3693" s="29" t="s">
        <v>2716</v>
      </c>
      <c r="L3693" s="24" t="s">
        <v>3698</v>
      </c>
      <c r="M3693" s="13" t="s">
        <v>60</v>
      </c>
      <c r="N3693" s="13">
        <v>1</v>
      </c>
      <c r="O3693" s="22"/>
      <c r="P3693" s="202" t="str">
        <f t="shared" si="1098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1097"/>
        <v>1</v>
      </c>
      <c r="Z3693" s="196">
        <f t="shared" si="1080"/>
        <v>16400000</v>
      </c>
      <c r="AA3693" s="22">
        <v>5.1799999999999999E-2</v>
      </c>
      <c r="AB3693" s="197">
        <f t="shared" si="1100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3"/>
        <v>32082250.320460182</v>
      </c>
      <c r="AJ3693" s="200">
        <f t="shared" si="1084"/>
        <v>4323122.9746477893</v>
      </c>
      <c r="AK3693" s="201">
        <f t="shared" si="1089"/>
        <v>0.1347512388147771</v>
      </c>
      <c r="AL3693" s="24"/>
      <c r="AM3693" s="24"/>
      <c r="AN3693" s="24"/>
      <c r="AO3693" s="24"/>
      <c r="AP3693" s="165" t="str">
        <f t="shared" si="1090"/>
        <v>202411</v>
      </c>
      <c r="AQ3693" s="203" t="str">
        <f t="shared" si="1091"/>
        <v>202411JPY</v>
      </c>
      <c r="AR3693" s="206" t="str">
        <f t="shared" si="1092"/>
        <v>YAMAHA_Mounter</v>
      </c>
      <c r="AS3693" s="22">
        <f t="shared" si="1093"/>
        <v>2</v>
      </c>
      <c r="AT3693" s="24" t="str">
        <f t="shared" si="1094"/>
        <v>0-3 months</v>
      </c>
      <c r="AU3693" s="22" t="s">
        <v>3744</v>
      </c>
    </row>
    <row r="3694" spans="1:47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79"/>
        <v>Q2</v>
      </c>
      <c r="E3694" s="33" t="str">
        <f t="shared" si="1099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3544</v>
      </c>
      <c r="K3694" s="29" t="s">
        <v>2716</v>
      </c>
      <c r="L3694" s="24" t="s">
        <v>3698</v>
      </c>
      <c r="M3694" s="13" t="s">
        <v>60</v>
      </c>
      <c r="N3694" s="13">
        <v>1</v>
      </c>
      <c r="O3694" s="22"/>
      <c r="P3694" s="202" t="str">
        <f t="shared" si="1098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1097"/>
        <v>1.13</v>
      </c>
      <c r="Z3694" s="196">
        <f t="shared" si="1080"/>
        <v>930000</v>
      </c>
      <c r="AA3694" s="22">
        <v>1.1080000000000001</v>
      </c>
      <c r="AB3694" s="197">
        <f t="shared" si="1100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3"/>
        <v>22758096.38940867</v>
      </c>
      <c r="AJ3694" s="200">
        <f t="shared" si="1084"/>
        <v>2469357.2298956565</v>
      </c>
      <c r="AK3694" s="201">
        <f t="shared" si="1089"/>
        <v>0.10850455976822666</v>
      </c>
      <c r="AL3694" s="24"/>
      <c r="AM3694" s="24"/>
      <c r="AN3694" s="24"/>
      <c r="AO3694" s="24"/>
      <c r="AP3694" s="165" t="str">
        <f t="shared" si="1090"/>
        <v>202410</v>
      </c>
      <c r="AQ3694" s="203" t="str">
        <f t="shared" si="1091"/>
        <v>202410RMB</v>
      </c>
      <c r="AR3694" s="206" t="str">
        <f t="shared" si="1092"/>
        <v>YAMAHA_Mounter</v>
      </c>
      <c r="AS3694" s="22">
        <f t="shared" si="1093"/>
        <v>1</v>
      </c>
      <c r="AT3694" s="24" t="str">
        <f t="shared" si="1094"/>
        <v>0-3 months</v>
      </c>
      <c r="AU3694" s="22" t="s">
        <v>3750</v>
      </c>
    </row>
    <row r="3695" spans="1:47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79"/>
        <v>Q2</v>
      </c>
      <c r="E3695" s="33" t="str">
        <f t="shared" si="1099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3545</v>
      </c>
      <c r="K3695" s="29" t="s">
        <v>1932</v>
      </c>
      <c r="L3695" s="24" t="s">
        <v>3698</v>
      </c>
      <c r="M3695" s="13" t="s">
        <v>60</v>
      </c>
      <c r="N3695" s="22">
        <v>1</v>
      </c>
      <c r="O3695" s="22"/>
      <c r="P3695" s="202" t="str">
        <f t="shared" si="1098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1097"/>
        <v>1.13</v>
      </c>
      <c r="Z3695" s="196">
        <f t="shared" si="1080"/>
        <v>779936</v>
      </c>
      <c r="AA3695" s="22">
        <v>1.0980000000000001</v>
      </c>
      <c r="AB3695" s="197">
        <f t="shared" si="1100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3"/>
        <v>35931087.732566379</v>
      </c>
      <c r="AJ3695" s="200">
        <f t="shared" si="1084"/>
        <v>4347120.3954975223</v>
      </c>
      <c r="AK3695" s="201">
        <f t="shared" si="1089"/>
        <v>0.12098493727362117</v>
      </c>
      <c r="AL3695" s="24"/>
      <c r="AM3695" s="24"/>
      <c r="AN3695" s="24"/>
      <c r="AO3695" s="24"/>
      <c r="AP3695" s="165" t="str">
        <f t="shared" si="1090"/>
        <v>20249</v>
      </c>
      <c r="AQ3695" s="203" t="str">
        <f t="shared" si="1091"/>
        <v>20249RMB</v>
      </c>
      <c r="AR3695" s="206" t="str">
        <f t="shared" si="1092"/>
        <v>YAMAHA_Mounter</v>
      </c>
      <c r="AS3695" s="22">
        <f t="shared" si="1093"/>
        <v>0</v>
      </c>
      <c r="AT3695" s="24" t="str">
        <f t="shared" si="1094"/>
        <v>0-3 months</v>
      </c>
      <c r="AU3695" s="22" t="s">
        <v>3750</v>
      </c>
    </row>
    <row r="3696" spans="1:47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79"/>
        <v>Q2</v>
      </c>
      <c r="E3696" s="33" t="str">
        <f t="shared" si="1099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3546</v>
      </c>
      <c r="K3696" s="29" t="s">
        <v>3547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1098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1097"/>
        <v>1.13</v>
      </c>
      <c r="Z3696" s="196">
        <f t="shared" si="1080"/>
        <v>420000</v>
      </c>
      <c r="AA3696" s="22">
        <v>1.1080000000000001</v>
      </c>
      <c r="AB3696" s="197">
        <f t="shared" si="1100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3"/>
        <v>22758096.38940867</v>
      </c>
      <c r="AJ3696" s="200">
        <f t="shared" si="1084"/>
        <v>2469357.2298956565</v>
      </c>
      <c r="AK3696" s="201">
        <f t="shared" si="1089"/>
        <v>0.10850455976822666</v>
      </c>
      <c r="AL3696" s="24"/>
      <c r="AM3696" s="24"/>
      <c r="AN3696" s="24"/>
      <c r="AO3696" s="24"/>
      <c r="AP3696" s="165" t="str">
        <f t="shared" si="1090"/>
        <v>202410</v>
      </c>
      <c r="AQ3696" s="203" t="str">
        <f t="shared" si="1091"/>
        <v>202410RMB</v>
      </c>
      <c r="AR3696" s="206" t="str">
        <f t="shared" si="1092"/>
        <v>YAMAHA_Mounter</v>
      </c>
      <c r="AS3696" s="22">
        <f t="shared" si="1093"/>
        <v>1</v>
      </c>
      <c r="AT3696" s="24" t="str">
        <f t="shared" si="1094"/>
        <v>0-3 months</v>
      </c>
      <c r="AU3696" s="22" t="s">
        <v>3750</v>
      </c>
    </row>
    <row r="3697" spans="1:47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79"/>
        <v>Q2</v>
      </c>
      <c r="E3697" s="33" t="str">
        <f t="shared" si="1099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3546</v>
      </c>
      <c r="K3697" s="29" t="s">
        <v>3547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1098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1097"/>
        <v>1.13</v>
      </c>
      <c r="Z3697" s="196">
        <f t="shared" si="1080"/>
        <v>420000</v>
      </c>
      <c r="AA3697" s="22">
        <v>1.1080000000000001</v>
      </c>
      <c r="AB3697" s="197">
        <f t="shared" si="1100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3"/>
        <v>22758096.38940867</v>
      </c>
      <c r="AJ3697" s="200">
        <f t="shared" si="1084"/>
        <v>2469357.2298956565</v>
      </c>
      <c r="AK3697" s="201">
        <f t="shared" si="1089"/>
        <v>0.10850455976822666</v>
      </c>
      <c r="AL3697" s="24"/>
      <c r="AM3697" s="24"/>
      <c r="AN3697" s="24"/>
      <c r="AO3697" s="24"/>
      <c r="AP3697" s="165" t="str">
        <f t="shared" si="1090"/>
        <v>202410</v>
      </c>
      <c r="AQ3697" s="203" t="str">
        <f t="shared" si="1091"/>
        <v>202410RMB</v>
      </c>
      <c r="AR3697" s="206" t="str">
        <f t="shared" si="1092"/>
        <v>YAMAHA_Mounter</v>
      </c>
      <c r="AS3697" s="22">
        <f t="shared" si="1093"/>
        <v>1</v>
      </c>
      <c r="AT3697" s="24" t="str">
        <f t="shared" si="1094"/>
        <v>0-3 months</v>
      </c>
      <c r="AU3697" s="22" t="s">
        <v>3750</v>
      </c>
    </row>
    <row r="3698" spans="1:47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1">IF(B3698="","",IF(AND(C3698&gt;=10,C3698&lt;=12),"Q3",IF(AND(C3698&gt;=1,C3698&lt;=3),"Q4",IF(AND(C3698&gt;=7,C3698&lt;=9),"Q2",IF(AND(C3698&gt;=4,C3698&lt;=6),"Q1")))))</f>
        <v>Q2</v>
      </c>
      <c r="E3698" s="33" t="str">
        <f t="shared" si="1099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3548</v>
      </c>
      <c r="K3698" s="29" t="s">
        <v>1314</v>
      </c>
      <c r="L3698" s="24" t="s">
        <v>3549</v>
      </c>
      <c r="M3698" s="13" t="s">
        <v>60</v>
      </c>
      <c r="N3698" s="22">
        <v>1</v>
      </c>
      <c r="O3698" s="22"/>
      <c r="P3698" s="202" t="str">
        <f t="shared" si="1098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1097"/>
        <v>1</v>
      </c>
      <c r="Z3698" s="196">
        <f t="shared" ref="Z3698:Z3724" si="1102">IF(X3698="","",X3698*MAX(O3698,N3698))</f>
        <v>71000</v>
      </c>
      <c r="AA3698" s="22">
        <v>7.8</v>
      </c>
      <c r="AB3698" s="197">
        <f t="shared" si="1100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3"/>
        <v>23146578.081415929</v>
      </c>
      <c r="AJ3698" s="200">
        <f t="shared" si="1084"/>
        <v>2745231.3889985834</v>
      </c>
      <c r="AK3698" s="201">
        <f t="shared" si="1089"/>
        <v>0.11860204041143742</v>
      </c>
      <c r="AL3698" s="24"/>
      <c r="AM3698" s="24"/>
      <c r="AN3698" s="24"/>
      <c r="AO3698" s="24"/>
      <c r="AP3698" s="165" t="str">
        <f t="shared" si="1090"/>
        <v>20241</v>
      </c>
      <c r="AQ3698" s="203" t="str">
        <f t="shared" si="1091"/>
        <v>20241USD</v>
      </c>
      <c r="AR3698" s="206" t="str">
        <f t="shared" si="1092"/>
        <v>YAMAHA_Mounter</v>
      </c>
      <c r="AS3698" s="22" t="str">
        <f t="shared" si="1093"/>
        <v/>
      </c>
      <c r="AT3698" s="24" t="str">
        <f t="shared" si="1094"/>
        <v/>
      </c>
      <c r="AU3698" s="22" t="s">
        <v>3745</v>
      </c>
    </row>
    <row r="3699" spans="1:47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1"/>
        <v>Q2</v>
      </c>
      <c r="E3699" s="33" t="str">
        <f t="shared" si="1099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3550</v>
      </c>
      <c r="K3699" s="29" t="s">
        <v>1314</v>
      </c>
      <c r="L3699" s="24" t="s">
        <v>3549</v>
      </c>
      <c r="M3699" s="13" t="s">
        <v>60</v>
      </c>
      <c r="N3699" s="22">
        <v>1</v>
      </c>
      <c r="O3699" s="22"/>
      <c r="P3699" s="202" t="str">
        <f t="shared" si="1098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1097"/>
        <v>1</v>
      </c>
      <c r="Z3699" s="196">
        <f t="shared" si="1102"/>
        <v>71000</v>
      </c>
      <c r="AA3699" s="22">
        <v>7.8</v>
      </c>
      <c r="AB3699" s="197">
        <f t="shared" si="1100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3"/>
        <v>23146578.081415929</v>
      </c>
      <c r="AJ3699" s="200">
        <f t="shared" si="1084"/>
        <v>2745231.3889985834</v>
      </c>
      <c r="AK3699" s="201">
        <f t="shared" si="1089"/>
        <v>0.11860204041143742</v>
      </c>
      <c r="AL3699" s="24"/>
      <c r="AM3699" s="24"/>
      <c r="AN3699" s="24"/>
      <c r="AO3699" s="24"/>
      <c r="AP3699" s="165" t="str">
        <f t="shared" si="1090"/>
        <v>20241</v>
      </c>
      <c r="AQ3699" s="203" t="str">
        <f t="shared" si="1091"/>
        <v>20241USD</v>
      </c>
      <c r="AR3699" s="206" t="str">
        <f t="shared" si="1092"/>
        <v>YAMAHA_Mounter</v>
      </c>
      <c r="AS3699" s="22" t="str">
        <f t="shared" si="1093"/>
        <v/>
      </c>
      <c r="AT3699" s="24" t="str">
        <f t="shared" si="1094"/>
        <v/>
      </c>
      <c r="AU3699" s="22" t="s">
        <v>3745</v>
      </c>
    </row>
    <row r="3700" spans="1:47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1"/>
        <v>Q2</v>
      </c>
      <c r="E3700" s="33" t="str">
        <f t="shared" si="1099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3553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1098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1103">IF(W3700="","",IF(W3700="RMB","1.13", "1"))</f>
        <v>1.13</v>
      </c>
      <c r="Z3700" s="196">
        <f t="shared" si="1102"/>
        <v>375000</v>
      </c>
      <c r="AA3700" s="22">
        <v>1.1080000000000001</v>
      </c>
      <c r="AB3700" s="197">
        <f t="shared" si="1100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3"/>
        <v>22758096.38940867</v>
      </c>
      <c r="AJ3700" s="200">
        <f t="shared" si="1084"/>
        <v>2469357.2298956565</v>
      </c>
      <c r="AK3700" s="201">
        <f t="shared" si="1089"/>
        <v>0.10850455976822666</v>
      </c>
      <c r="AL3700" s="24"/>
      <c r="AM3700" s="24"/>
      <c r="AN3700" s="24"/>
      <c r="AO3700" s="24"/>
      <c r="AP3700" s="165" t="str">
        <f t="shared" si="1090"/>
        <v>202410</v>
      </c>
      <c r="AQ3700" s="203" t="str">
        <f t="shared" si="1091"/>
        <v>202410RMB</v>
      </c>
      <c r="AR3700" s="206" t="str">
        <f t="shared" si="1092"/>
        <v>YAMAHA_Non_Mounter</v>
      </c>
      <c r="AS3700" s="22">
        <f t="shared" si="1093"/>
        <v>1</v>
      </c>
      <c r="AT3700" s="24" t="str">
        <f t="shared" si="1094"/>
        <v>0-3 months</v>
      </c>
      <c r="AU3700" s="22" t="s">
        <v>3240</v>
      </c>
    </row>
    <row r="3701" spans="1:47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1"/>
        <v>Q2</v>
      </c>
      <c r="E3701" s="33" t="str">
        <f t="shared" si="1099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3553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1098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1103"/>
        <v>1.13</v>
      </c>
      <c r="Z3701" s="196">
        <f t="shared" si="1102"/>
        <v>375000</v>
      </c>
      <c r="AA3701" s="22">
        <v>1.1080000000000001</v>
      </c>
      <c r="AB3701" s="197">
        <f t="shared" si="1100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3"/>
        <v>22758096.38940867</v>
      </c>
      <c r="AJ3701" s="200">
        <f t="shared" si="1084"/>
        <v>2469357.2298956565</v>
      </c>
      <c r="AK3701" s="201">
        <f t="shared" si="1089"/>
        <v>0.10850455976822666</v>
      </c>
      <c r="AL3701" s="24"/>
      <c r="AM3701" s="24"/>
      <c r="AN3701" s="24"/>
      <c r="AO3701" s="24"/>
      <c r="AP3701" s="165" t="str">
        <f t="shared" si="1090"/>
        <v>202410</v>
      </c>
      <c r="AQ3701" s="203" t="str">
        <f t="shared" si="1091"/>
        <v>202410RMB</v>
      </c>
      <c r="AR3701" s="206" t="str">
        <f t="shared" si="1092"/>
        <v>YAMAHA_Non_Mounter</v>
      </c>
      <c r="AS3701" s="22">
        <f t="shared" si="1093"/>
        <v>1</v>
      </c>
      <c r="AT3701" s="24" t="str">
        <f t="shared" si="1094"/>
        <v>0-3 months</v>
      </c>
      <c r="AU3701" s="22" t="s">
        <v>3240</v>
      </c>
    </row>
    <row r="3702" spans="1:47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1"/>
        <v>Q2</v>
      </c>
      <c r="E3702" s="33" t="str">
        <f t="shared" si="1099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3551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1098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1103"/>
        <v>1.13</v>
      </c>
      <c r="Z3702" s="196">
        <f t="shared" si="1102"/>
        <v>740000.00000320002</v>
      </c>
      <c r="AA3702" s="22">
        <v>1.1080000000000001</v>
      </c>
      <c r="AB3702" s="197">
        <f t="shared" si="1100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3"/>
        <v>22758096.38940867</v>
      </c>
      <c r="AJ3702" s="200">
        <f t="shared" si="1084"/>
        <v>2469357.2298956565</v>
      </c>
      <c r="AK3702" s="201">
        <f t="shared" si="1089"/>
        <v>0.10850455976822666</v>
      </c>
      <c r="AL3702" s="24"/>
      <c r="AM3702" s="24"/>
      <c r="AN3702" s="24"/>
      <c r="AO3702" s="24"/>
      <c r="AP3702" s="165" t="str">
        <f t="shared" si="1090"/>
        <v>202410</v>
      </c>
      <c r="AQ3702" s="203" t="str">
        <f t="shared" si="1091"/>
        <v>202410RMB</v>
      </c>
      <c r="AR3702" s="206" t="str">
        <f t="shared" si="1092"/>
        <v>YAMAHA_Mounter</v>
      </c>
      <c r="AS3702" s="22">
        <f t="shared" si="1093"/>
        <v>2</v>
      </c>
      <c r="AT3702" s="24" t="str">
        <f t="shared" si="1094"/>
        <v>0-3 months</v>
      </c>
      <c r="AU3702" s="22" t="s">
        <v>3240</v>
      </c>
    </row>
    <row r="3703" spans="1:47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1"/>
        <v>Q2</v>
      </c>
      <c r="E3703" s="33" t="str">
        <f t="shared" si="1099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3551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1098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1103"/>
        <v>1.13</v>
      </c>
      <c r="Z3703" s="196">
        <f t="shared" si="1102"/>
        <v>740000.00000320002</v>
      </c>
      <c r="AA3703" s="22">
        <v>1.1080000000000001</v>
      </c>
      <c r="AB3703" s="197">
        <f t="shared" si="1100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3"/>
        <v>22758096.38940867</v>
      </c>
      <c r="AJ3703" s="200">
        <f t="shared" si="1084"/>
        <v>2469357.2298956565</v>
      </c>
      <c r="AK3703" s="201">
        <f t="shared" si="1089"/>
        <v>0.10850455976822666</v>
      </c>
      <c r="AL3703" s="24"/>
      <c r="AM3703" s="24"/>
      <c r="AN3703" s="24"/>
      <c r="AO3703" s="24"/>
      <c r="AP3703" s="165" t="str">
        <f t="shared" si="1090"/>
        <v>202410</v>
      </c>
      <c r="AQ3703" s="203" t="str">
        <f t="shared" si="1091"/>
        <v>202410RMB</v>
      </c>
      <c r="AR3703" s="206" t="str">
        <f t="shared" si="1092"/>
        <v>YAMAHA_Mounter</v>
      </c>
      <c r="AS3703" s="22">
        <f t="shared" si="1093"/>
        <v>2</v>
      </c>
      <c r="AT3703" s="24" t="str">
        <f t="shared" si="1094"/>
        <v>0-3 months</v>
      </c>
      <c r="AU3703" s="22" t="s">
        <v>3240</v>
      </c>
    </row>
    <row r="3704" spans="1:47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1"/>
        <v>Q2</v>
      </c>
      <c r="E3704" s="33" t="str">
        <f t="shared" si="1099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3551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1098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1103"/>
        <v>1.13</v>
      </c>
      <c r="Z3704" s="196">
        <f t="shared" si="1102"/>
        <v>520000.00001079991</v>
      </c>
      <c r="AA3704" s="22">
        <v>1.1080000000000001</v>
      </c>
      <c r="AB3704" s="197">
        <f t="shared" si="1100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3"/>
        <v>22758096.38940867</v>
      </c>
      <c r="AJ3704" s="200">
        <f t="shared" si="1084"/>
        <v>2469357.2298956565</v>
      </c>
      <c r="AK3704" s="201">
        <f t="shared" si="1089"/>
        <v>0.10850455976822666</v>
      </c>
      <c r="AL3704" s="24"/>
      <c r="AM3704" s="24"/>
      <c r="AN3704" s="24"/>
      <c r="AO3704" s="24"/>
      <c r="AP3704" s="165" t="str">
        <f t="shared" si="1090"/>
        <v>202410</v>
      </c>
      <c r="AQ3704" s="203" t="str">
        <f t="shared" si="1091"/>
        <v>202410RMB</v>
      </c>
      <c r="AR3704" s="206" t="str">
        <f t="shared" si="1092"/>
        <v>YAMAHA_Mounter</v>
      </c>
      <c r="AS3704" s="22">
        <f t="shared" si="1093"/>
        <v>2</v>
      </c>
      <c r="AT3704" s="24" t="str">
        <f t="shared" si="1094"/>
        <v>0-3 months</v>
      </c>
      <c r="AU3704" s="22" t="s">
        <v>3240</v>
      </c>
    </row>
    <row r="3705" spans="1:47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1"/>
        <v>Q2</v>
      </c>
      <c r="E3705" s="33" t="str">
        <f t="shared" si="1099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3551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1098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1103"/>
        <v>1.13</v>
      </c>
      <c r="Z3705" s="196">
        <f t="shared" si="1102"/>
        <v>520000.00001079991</v>
      </c>
      <c r="AA3705" s="22">
        <v>1.1080000000000001</v>
      </c>
      <c r="AB3705" s="197">
        <f t="shared" si="1100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3"/>
        <v>22758096.38940867</v>
      </c>
      <c r="AJ3705" s="200">
        <f t="shared" si="1084"/>
        <v>2469357.2298956565</v>
      </c>
      <c r="AK3705" s="201">
        <f t="shared" si="1089"/>
        <v>0.10850455976822666</v>
      </c>
      <c r="AL3705" s="24"/>
      <c r="AM3705" s="24"/>
      <c r="AN3705" s="24"/>
      <c r="AO3705" s="24"/>
      <c r="AP3705" s="165" t="str">
        <f t="shared" si="1090"/>
        <v>202410</v>
      </c>
      <c r="AQ3705" s="203" t="str">
        <f t="shared" si="1091"/>
        <v>202410RMB</v>
      </c>
      <c r="AR3705" s="206" t="str">
        <f t="shared" si="1092"/>
        <v>YAMAHA_Mounter</v>
      </c>
      <c r="AS3705" s="22">
        <f t="shared" si="1093"/>
        <v>2</v>
      </c>
      <c r="AT3705" s="24" t="str">
        <f t="shared" si="1094"/>
        <v>0-3 months</v>
      </c>
      <c r="AU3705" s="22" t="s">
        <v>3240</v>
      </c>
    </row>
    <row r="3706" spans="1:47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1"/>
        <v>Q2</v>
      </c>
      <c r="E3706" s="33" t="str">
        <f t="shared" si="1099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3551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1104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1103"/>
        <v>1.13</v>
      </c>
      <c r="Z3706" s="196">
        <f t="shared" si="1102"/>
        <v>435000.00000068999</v>
      </c>
      <c r="AA3706" s="22">
        <v>1.1080000000000001</v>
      </c>
      <c r="AB3706" s="197">
        <f t="shared" si="1100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3"/>
        <v>22758096.38940867</v>
      </c>
      <c r="AJ3706" s="200">
        <f t="shared" si="1084"/>
        <v>2469357.2298956565</v>
      </c>
      <c r="AK3706" s="201">
        <f t="shared" si="1089"/>
        <v>0.10850455976822666</v>
      </c>
      <c r="AL3706" s="24"/>
      <c r="AM3706" s="24"/>
      <c r="AN3706" s="24"/>
      <c r="AO3706" s="24"/>
      <c r="AP3706" s="165" t="str">
        <f t="shared" si="1090"/>
        <v>202410</v>
      </c>
      <c r="AQ3706" s="203" t="str">
        <f t="shared" si="1091"/>
        <v>202410RMB</v>
      </c>
      <c r="AR3706" s="206" t="str">
        <f t="shared" si="1092"/>
        <v>YAMAHA_Non_Mounter</v>
      </c>
      <c r="AS3706" s="22">
        <f t="shared" si="1093"/>
        <v>2</v>
      </c>
      <c r="AT3706" s="24" t="str">
        <f t="shared" si="1094"/>
        <v>0-3 months</v>
      </c>
      <c r="AU3706" s="22" t="s">
        <v>3240</v>
      </c>
    </row>
    <row r="3707" spans="1:47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1"/>
        <v>Q2</v>
      </c>
      <c r="E3707" s="33" t="str">
        <f t="shared" si="1099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3552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1104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1103"/>
        <v>1.13</v>
      </c>
      <c r="Z3707" s="196">
        <f t="shared" si="1102"/>
        <v>515000</v>
      </c>
      <c r="AA3707" s="22">
        <v>1.0760000000000001</v>
      </c>
      <c r="AB3707" s="197">
        <f t="shared" si="1100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3"/>
        <v>15965524.256637167</v>
      </c>
      <c r="AJ3707" s="200">
        <f t="shared" si="1084"/>
        <v>2480116.5996584073</v>
      </c>
      <c r="AK3707" s="201">
        <f t="shared" si="1089"/>
        <v>0.15534200817911609</v>
      </c>
      <c r="AL3707" s="24"/>
      <c r="AM3707" s="24"/>
      <c r="AN3707" s="24"/>
      <c r="AO3707" s="24"/>
      <c r="AP3707" s="165" t="str">
        <f t="shared" si="1090"/>
        <v>202412</v>
      </c>
      <c r="AQ3707" s="203" t="str">
        <f t="shared" si="1091"/>
        <v>202412RMB</v>
      </c>
      <c r="AR3707" s="206" t="str">
        <f t="shared" si="1092"/>
        <v>YAMAHA_Mounter</v>
      </c>
      <c r="AS3707" s="22">
        <f t="shared" si="1093"/>
        <v>3</v>
      </c>
      <c r="AT3707" s="24" t="str">
        <f t="shared" si="1094"/>
        <v>0-3 months</v>
      </c>
      <c r="AU3707" s="22" t="s">
        <v>3240</v>
      </c>
    </row>
    <row r="3708" spans="1:47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1"/>
        <v>Q2</v>
      </c>
      <c r="E3708" s="33" t="str">
        <f t="shared" si="1099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3554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1104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1103"/>
        <v>1.13</v>
      </c>
      <c r="Z3708" s="196">
        <f t="shared" si="1102"/>
        <v>800000</v>
      </c>
      <c r="AA3708" s="22">
        <v>1.0920000000000001</v>
      </c>
      <c r="AB3708" s="197">
        <f t="shared" si="1100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3"/>
        <v>32082250.320460182</v>
      </c>
      <c r="AJ3708" s="200">
        <f t="shared" si="1084"/>
        <v>4323122.9746477893</v>
      </c>
      <c r="AK3708" s="201">
        <f t="shared" si="1089"/>
        <v>0.1347512388147771</v>
      </c>
      <c r="AL3708" s="24"/>
      <c r="AM3708" s="24"/>
      <c r="AN3708" s="24"/>
      <c r="AO3708" s="24"/>
      <c r="AP3708" s="165" t="str">
        <f t="shared" si="1090"/>
        <v>202411</v>
      </c>
      <c r="AQ3708" s="203" t="str">
        <f t="shared" si="1091"/>
        <v>202411RMB</v>
      </c>
      <c r="AR3708" s="206" t="str">
        <f t="shared" si="1092"/>
        <v>YAMAHA_Mounter</v>
      </c>
      <c r="AS3708" s="22">
        <f t="shared" si="1093"/>
        <v>2</v>
      </c>
      <c r="AT3708" s="24" t="str">
        <f t="shared" si="1094"/>
        <v>0-3 months</v>
      </c>
      <c r="AU3708" s="22" t="s">
        <v>3240</v>
      </c>
    </row>
    <row r="3709" spans="1:47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1"/>
        <v>Q2</v>
      </c>
      <c r="E3709" s="33" t="str">
        <f t="shared" si="1099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3554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1104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1103"/>
        <v>1.13</v>
      </c>
      <c r="Z3709" s="196">
        <f t="shared" si="1102"/>
        <v>800000</v>
      </c>
      <c r="AA3709" s="22">
        <v>1.0920000000000001</v>
      </c>
      <c r="AB3709" s="197">
        <f t="shared" si="1100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3"/>
        <v>32082250.320460182</v>
      </c>
      <c r="AJ3709" s="200">
        <f t="shared" si="1084"/>
        <v>4323122.9746477893</v>
      </c>
      <c r="AK3709" s="201">
        <f t="shared" si="1089"/>
        <v>0.1347512388147771</v>
      </c>
      <c r="AL3709" s="24"/>
      <c r="AM3709" s="24"/>
      <c r="AN3709" s="24"/>
      <c r="AO3709" s="24"/>
      <c r="AP3709" s="165" t="str">
        <f t="shared" si="1090"/>
        <v>202411</v>
      </c>
      <c r="AQ3709" s="203" t="str">
        <f t="shared" si="1091"/>
        <v>202411RMB</v>
      </c>
      <c r="AR3709" s="206" t="str">
        <f t="shared" si="1092"/>
        <v>YAMAHA_Mounter</v>
      </c>
      <c r="AS3709" s="22">
        <f t="shared" si="1093"/>
        <v>2</v>
      </c>
      <c r="AT3709" s="24" t="str">
        <f t="shared" si="1094"/>
        <v>0-3 months</v>
      </c>
      <c r="AU3709" s="22" t="s">
        <v>3240</v>
      </c>
    </row>
    <row r="3710" spans="1:47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1"/>
        <v>Q2</v>
      </c>
      <c r="E3710" s="33" t="str">
        <f t="shared" si="1099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3554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1104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1103"/>
        <v>1.13</v>
      </c>
      <c r="Z3710" s="196">
        <f t="shared" si="1102"/>
        <v>540000</v>
      </c>
      <c r="AA3710" s="22">
        <v>1.0920000000000001</v>
      </c>
      <c r="AB3710" s="197">
        <f t="shared" si="1100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3"/>
        <v>32082250.320460182</v>
      </c>
      <c r="AJ3710" s="200">
        <f t="shared" si="1084"/>
        <v>4323122.9746477893</v>
      </c>
      <c r="AK3710" s="201">
        <f t="shared" si="1089"/>
        <v>0.1347512388147771</v>
      </c>
      <c r="AL3710" s="24"/>
      <c r="AM3710" s="24"/>
      <c r="AN3710" s="24"/>
      <c r="AO3710" s="24"/>
      <c r="AP3710" s="165" t="str">
        <f t="shared" si="1090"/>
        <v>202411</v>
      </c>
      <c r="AQ3710" s="203" t="str">
        <f t="shared" si="1091"/>
        <v>202411RMB</v>
      </c>
      <c r="AR3710" s="206" t="str">
        <f t="shared" si="1092"/>
        <v>YAMAHA_Mounter</v>
      </c>
      <c r="AS3710" s="22">
        <f t="shared" si="1093"/>
        <v>2</v>
      </c>
      <c r="AT3710" s="24" t="str">
        <f t="shared" si="1094"/>
        <v>0-3 months</v>
      </c>
      <c r="AU3710" s="22" t="s">
        <v>3240</v>
      </c>
    </row>
    <row r="3711" spans="1:47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1"/>
        <v>Q2</v>
      </c>
      <c r="E3711" s="33" t="str">
        <f t="shared" si="1099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3554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1104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1103"/>
        <v>1.13</v>
      </c>
      <c r="Z3711" s="196">
        <f t="shared" si="1102"/>
        <v>540000</v>
      </c>
      <c r="AA3711" s="22">
        <v>1.0920000000000001</v>
      </c>
      <c r="AB3711" s="197">
        <f t="shared" si="1100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3"/>
        <v>32082250.320460182</v>
      </c>
      <c r="AJ3711" s="200">
        <f t="shared" si="1084"/>
        <v>4323122.9746477893</v>
      </c>
      <c r="AK3711" s="201">
        <f t="shared" si="1089"/>
        <v>0.1347512388147771</v>
      </c>
      <c r="AL3711" s="24"/>
      <c r="AM3711" s="24"/>
      <c r="AN3711" s="24"/>
      <c r="AO3711" s="24"/>
      <c r="AP3711" s="165" t="str">
        <f t="shared" si="1090"/>
        <v>202411</v>
      </c>
      <c r="AQ3711" s="203" t="str">
        <f t="shared" si="1091"/>
        <v>202411RMB</v>
      </c>
      <c r="AR3711" s="206" t="str">
        <f t="shared" si="1092"/>
        <v>YAMAHA_Mounter</v>
      </c>
      <c r="AS3711" s="22">
        <f t="shared" si="1093"/>
        <v>2</v>
      </c>
      <c r="AT3711" s="24" t="str">
        <f t="shared" si="1094"/>
        <v>0-3 months</v>
      </c>
      <c r="AU3711" s="22" t="s">
        <v>3240</v>
      </c>
    </row>
    <row r="3712" spans="1:47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1"/>
        <v>Q2</v>
      </c>
      <c r="E3712" s="33" t="str">
        <f t="shared" si="1099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3554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1104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1103"/>
        <v>1.13</v>
      </c>
      <c r="Z3712" s="196">
        <f t="shared" si="1102"/>
        <v>350000</v>
      </c>
      <c r="AA3712" s="22">
        <v>1.0920000000000001</v>
      </c>
      <c r="AB3712" s="197">
        <f t="shared" si="1100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3"/>
        <v>32082250.320460182</v>
      </c>
      <c r="AJ3712" s="200">
        <f t="shared" si="1084"/>
        <v>4323122.9746477893</v>
      </c>
      <c r="AK3712" s="201">
        <f t="shared" si="1089"/>
        <v>0.1347512388147771</v>
      </c>
      <c r="AL3712" s="24"/>
      <c r="AM3712" s="24"/>
      <c r="AN3712" s="24"/>
      <c r="AO3712" s="24"/>
      <c r="AP3712" s="165" t="str">
        <f t="shared" si="1090"/>
        <v>202411</v>
      </c>
      <c r="AQ3712" s="203" t="str">
        <f t="shared" si="1091"/>
        <v>202411RMB</v>
      </c>
      <c r="AR3712" s="206" t="str">
        <f t="shared" si="1092"/>
        <v>YAMAHA_Non_Mounter</v>
      </c>
      <c r="AS3712" s="22">
        <f t="shared" si="1093"/>
        <v>2</v>
      </c>
      <c r="AT3712" s="24" t="str">
        <f t="shared" si="1094"/>
        <v>0-3 months</v>
      </c>
      <c r="AU3712" s="22" t="s">
        <v>3240</v>
      </c>
    </row>
    <row r="3713" spans="1:47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1"/>
        <v>Q2</v>
      </c>
      <c r="E3713" s="33" t="str">
        <f t="shared" si="1099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3554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1104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1103"/>
        <v>1.13</v>
      </c>
      <c r="Z3713" s="196">
        <f t="shared" si="1102"/>
        <v>350000</v>
      </c>
      <c r="AA3713" s="22">
        <v>1.0920000000000001</v>
      </c>
      <c r="AB3713" s="197">
        <f t="shared" si="1100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3"/>
        <v>32082250.320460182</v>
      </c>
      <c r="AJ3713" s="200">
        <f t="shared" si="1084"/>
        <v>4323122.9746477893</v>
      </c>
      <c r="AK3713" s="201">
        <f t="shared" si="1089"/>
        <v>0.1347512388147771</v>
      </c>
      <c r="AL3713" s="24"/>
      <c r="AM3713" s="24"/>
      <c r="AN3713" s="24"/>
      <c r="AO3713" s="24"/>
      <c r="AP3713" s="165" t="str">
        <f t="shared" si="1090"/>
        <v>202411</v>
      </c>
      <c r="AQ3713" s="203" t="str">
        <f t="shared" si="1091"/>
        <v>202411RMB</v>
      </c>
      <c r="AR3713" s="206" t="str">
        <f t="shared" si="1092"/>
        <v>YAMAHA_Non_Mounter</v>
      </c>
      <c r="AS3713" s="22">
        <f t="shared" si="1093"/>
        <v>2</v>
      </c>
      <c r="AT3713" s="24" t="str">
        <f t="shared" si="1094"/>
        <v>0-3 months</v>
      </c>
      <c r="AU3713" s="22" t="s">
        <v>3240</v>
      </c>
    </row>
    <row r="3714" spans="1:47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1"/>
        <v>Q2</v>
      </c>
      <c r="E3714" s="33" t="str">
        <f t="shared" si="1099"/>
        <v>Cancel</v>
      </c>
      <c r="F3714" s="23" t="s">
        <v>185</v>
      </c>
      <c r="G3714" s="23" t="s">
        <v>185</v>
      </c>
      <c r="H3714" s="29"/>
      <c r="I3714" s="204" t="str">
        <f t="shared" si="1086"/>
        <v>Cancel</v>
      </c>
      <c r="J3714" s="188" t="s">
        <v>3555</v>
      </c>
      <c r="K3714" s="29" t="s">
        <v>3557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1104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1103"/>
        <v>1.13</v>
      </c>
      <c r="Z3714" s="196">
        <f t="shared" si="1102"/>
        <v>460000</v>
      </c>
      <c r="AA3714" s="22">
        <v>1.1080000000000001</v>
      </c>
      <c r="AB3714" s="197">
        <f t="shared" si="1100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ref="AI3714:AI3777" si="1105">IF(P3714="C66 SERVICE","",SUMIFS(AB:AB,F:F,F3714,G:G,G3714,E:E,E3714))</f>
        <v>499582152.5142017</v>
      </c>
      <c r="AJ3714" s="200">
        <f t="shared" ref="AJ3714:AJ3777" si="1106">IF(P3714="C66 SERVICE","",SUMIFS(AC:AC,F:F,F3714,G:G,G3714,E:E,E3714))</f>
        <v>59520528.679470733</v>
      </c>
      <c r="AK3714" s="201">
        <f t="shared" si="1089"/>
        <v>0.11914062257814291</v>
      </c>
      <c r="AL3714" s="24"/>
      <c r="AM3714" s="24"/>
      <c r="AN3714" s="24"/>
      <c r="AO3714" s="24"/>
      <c r="AP3714" s="165" t="str">
        <f t="shared" si="1090"/>
        <v>CancelCancel</v>
      </c>
      <c r="AQ3714" s="203" t="str">
        <f t="shared" si="1091"/>
        <v>CancelCancelRMB</v>
      </c>
      <c r="AR3714" s="206" t="str">
        <f t="shared" si="1092"/>
        <v>YAMAHA_Mounter</v>
      </c>
      <c r="AS3714" s="22" t="str">
        <f t="shared" si="1093"/>
        <v/>
      </c>
      <c r="AT3714" s="24" t="str">
        <f t="shared" si="1094"/>
        <v/>
      </c>
      <c r="AU3714" s="22" t="s">
        <v>3240</v>
      </c>
    </row>
    <row r="3715" spans="1:47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1"/>
        <v>Q2</v>
      </c>
      <c r="E3715" s="33" t="str">
        <f t="shared" si="1099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3556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1104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1103"/>
        <v>1.13</v>
      </c>
      <c r="Z3715" s="196">
        <f t="shared" si="1102"/>
        <v>685278</v>
      </c>
      <c r="AA3715" s="22">
        <v>1.1080000000000001</v>
      </c>
      <c r="AB3715" s="197">
        <f t="shared" si="1100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105"/>
        <v>22758096.38940867</v>
      </c>
      <c r="AJ3715" s="200">
        <f t="shared" si="1106"/>
        <v>2469357.2298956565</v>
      </c>
      <c r="AK3715" s="201">
        <f t="shared" si="1089"/>
        <v>0.10850455976822666</v>
      </c>
      <c r="AL3715" s="24"/>
      <c r="AM3715" s="24"/>
      <c r="AN3715" s="24"/>
      <c r="AO3715" s="24"/>
      <c r="AP3715" s="165" t="str">
        <f t="shared" si="1090"/>
        <v>202410</v>
      </c>
      <c r="AQ3715" s="203" t="str">
        <f t="shared" si="1091"/>
        <v>202410RMB</v>
      </c>
      <c r="AR3715" s="206" t="str">
        <f t="shared" si="1092"/>
        <v>YAMAHA_Mounter</v>
      </c>
      <c r="AS3715" s="22">
        <f t="shared" si="1093"/>
        <v>1</v>
      </c>
      <c r="AT3715" s="24" t="str">
        <f t="shared" si="1094"/>
        <v>0-3 months</v>
      </c>
      <c r="AU3715" s="22" t="s">
        <v>3240</v>
      </c>
    </row>
    <row r="3716" spans="1:47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1"/>
        <v>Q2</v>
      </c>
      <c r="E3716" s="33" t="str">
        <f t="shared" si="1099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3556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1104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1103"/>
        <v>1.13</v>
      </c>
      <c r="Z3716" s="196">
        <f t="shared" si="1102"/>
        <v>685278</v>
      </c>
      <c r="AA3716" s="22">
        <v>1.1080000000000001</v>
      </c>
      <c r="AB3716" s="197">
        <f t="shared" si="1100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105"/>
        <v>22758096.38940867</v>
      </c>
      <c r="AJ3716" s="200">
        <f t="shared" si="1106"/>
        <v>2469357.2298956565</v>
      </c>
      <c r="AK3716" s="201">
        <f t="shared" si="1089"/>
        <v>0.10850455976822666</v>
      </c>
      <c r="AL3716" s="24"/>
      <c r="AM3716" s="24"/>
      <c r="AN3716" s="24"/>
      <c r="AO3716" s="24"/>
      <c r="AP3716" s="165" t="str">
        <f t="shared" si="1090"/>
        <v>202410</v>
      </c>
      <c r="AQ3716" s="203" t="str">
        <f t="shared" si="1091"/>
        <v>202410RMB</v>
      </c>
      <c r="AR3716" s="206" t="str">
        <f t="shared" si="1092"/>
        <v>YAMAHA_Mounter</v>
      </c>
      <c r="AS3716" s="22">
        <f t="shared" si="1093"/>
        <v>1</v>
      </c>
      <c r="AT3716" s="24" t="str">
        <f t="shared" si="1094"/>
        <v>0-3 months</v>
      </c>
      <c r="AU3716" s="22" t="s">
        <v>3240</v>
      </c>
    </row>
    <row r="3717" spans="1:47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1"/>
        <v>Q2</v>
      </c>
      <c r="E3717" s="33" t="str">
        <f t="shared" si="1099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3558</v>
      </c>
      <c r="K3717" s="29" t="s">
        <v>3587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1104"/>
        <v>MAIN UNIT</v>
      </c>
      <c r="Q3717" s="22" t="s">
        <v>68</v>
      </c>
      <c r="R3717" s="22" t="s">
        <v>62</v>
      </c>
      <c r="S3717" s="22" t="s">
        <v>51</v>
      </c>
      <c r="T3717" s="22" t="s">
        <v>3559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1103"/>
        <v>1.13</v>
      </c>
      <c r="Z3717" s="196">
        <f t="shared" si="1102"/>
        <v>820000</v>
      </c>
      <c r="AA3717" s="22">
        <v>1.0640000000000001</v>
      </c>
      <c r="AB3717" s="197">
        <f t="shared" si="1100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105"/>
        <v>32082250.320460182</v>
      </c>
      <c r="AJ3717" s="200">
        <f t="shared" si="1106"/>
        <v>4323122.9746477893</v>
      </c>
      <c r="AK3717" s="201">
        <f t="shared" si="1089"/>
        <v>0.1347512388147771</v>
      </c>
      <c r="AL3717" s="24"/>
      <c r="AM3717" s="24"/>
      <c r="AN3717" s="24"/>
      <c r="AO3717" s="24"/>
      <c r="AP3717" s="165" t="str">
        <f t="shared" si="1090"/>
        <v>202411</v>
      </c>
      <c r="AQ3717" s="203" t="str">
        <f t="shared" si="1091"/>
        <v>202411RMB</v>
      </c>
      <c r="AR3717" s="206" t="str">
        <f t="shared" si="1092"/>
        <v>YAMAHA_Mounter</v>
      </c>
      <c r="AS3717" s="22">
        <f t="shared" si="1093"/>
        <v>2</v>
      </c>
      <c r="AT3717" s="24" t="str">
        <f t="shared" si="1094"/>
        <v>0-3 months</v>
      </c>
      <c r="AU3717" s="22" t="s">
        <v>3240</v>
      </c>
    </row>
    <row r="3718" spans="1:47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1"/>
        <v>Q2</v>
      </c>
      <c r="E3718" s="33" t="str">
        <f t="shared" si="1099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3558</v>
      </c>
      <c r="K3718" s="29" t="s">
        <v>3587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1104"/>
        <v>MAIN UNIT</v>
      </c>
      <c r="Q3718" s="22" t="s">
        <v>68</v>
      </c>
      <c r="R3718" s="22" t="s">
        <v>62</v>
      </c>
      <c r="S3718" s="22" t="s">
        <v>51</v>
      </c>
      <c r="T3718" s="22" t="s">
        <v>3559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1103"/>
        <v>1.13</v>
      </c>
      <c r="Z3718" s="196">
        <f t="shared" si="1102"/>
        <v>723360</v>
      </c>
      <c r="AA3718" s="22">
        <v>1.0640000000000001</v>
      </c>
      <c r="AB3718" s="197">
        <f t="shared" si="1100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si="1105"/>
        <v>32082250.320460182</v>
      </c>
      <c r="AJ3718" s="200">
        <f t="shared" si="1106"/>
        <v>4323122.9746477893</v>
      </c>
      <c r="AK3718" s="201">
        <f t="shared" ref="AK3718:AK3724" si="1111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2">IF(F3718="","",F3718&amp;G3718)</f>
        <v>202411</v>
      </c>
      <c r="AQ3718" s="203" t="str">
        <f t="shared" ref="AQ3718:AQ3724" si="1113">IF(W3718="","",F3718&amp;G3718&amp;W3718)</f>
        <v>202411RMB</v>
      </c>
      <c r="AR3718" s="206" t="str">
        <f t="shared" ref="AR3718:AR3724" si="1114">IFERROR(IF(AND(M3718="YAMAHA", R3718="C28"), "YAMAHA_Non_Mounter", IF(AND(M3718="YAMAHA", R3718="C49"), "YAMAHA_Mounter", M3718)),"")</f>
        <v>YAMAHA_Mounter</v>
      </c>
      <c r="AS3718" s="22">
        <f t="shared" ref="AS3718:AS3724" si="1115">IFERROR(IF(OR(G3718="TBA", G3718=""), "", DATEDIF(DATE(B3718, C3718, 1), DATE(F3718, G3718, 1), "M")),"")</f>
        <v>2</v>
      </c>
      <c r="AT3718" s="24" t="str">
        <f t="shared" ref="AT3718:AT3724" si="1116">IF(ISNUMBER(AS3718), IF(AS3718&gt;=0, IF(AS3718&lt;=3, "0-3 months", IF(AS3718&lt;=6, "4-6 months", "&gt; 6 months"))), "")</f>
        <v>0-3 months</v>
      </c>
      <c r="AU3718" s="22" t="s">
        <v>3240</v>
      </c>
    </row>
    <row r="3719" spans="1:47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1"/>
        <v>Q2</v>
      </c>
      <c r="E3719" s="33" t="str">
        <f t="shared" ref="E3719:E3720" si="1117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3561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1104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1103"/>
        <v>1.13</v>
      </c>
      <c r="Z3719" s="196">
        <f t="shared" si="1102"/>
        <v>645000</v>
      </c>
      <c r="AA3719" s="22">
        <v>1.1080000000000001</v>
      </c>
      <c r="AB3719" s="197">
        <f t="shared" si="1100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05"/>
        <v>22758096.38940867</v>
      </c>
      <c r="AJ3719" s="200">
        <f t="shared" si="1106"/>
        <v>2469357.2298956565</v>
      </c>
      <c r="AK3719" s="201">
        <f t="shared" si="1111"/>
        <v>0.10850455976822666</v>
      </c>
      <c r="AL3719" s="24"/>
      <c r="AM3719" s="24"/>
      <c r="AN3719" s="24"/>
      <c r="AO3719" s="24"/>
      <c r="AP3719" s="165" t="str">
        <f t="shared" si="1112"/>
        <v>202410</v>
      </c>
      <c r="AQ3719" s="203" t="str">
        <f t="shared" si="1113"/>
        <v>202410RMB</v>
      </c>
      <c r="AR3719" s="206" t="str">
        <f t="shared" si="1114"/>
        <v>YAMAHA_Mounter</v>
      </c>
      <c r="AS3719" s="22">
        <f t="shared" si="1115"/>
        <v>1</v>
      </c>
      <c r="AT3719" s="24" t="str">
        <f t="shared" si="1116"/>
        <v>0-3 months</v>
      </c>
      <c r="AU3719" s="22" t="s">
        <v>3750</v>
      </c>
    </row>
    <row r="3720" spans="1:47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1"/>
        <v>Q2</v>
      </c>
      <c r="E3720" s="33" t="str">
        <f t="shared" si="1117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3561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1104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1103"/>
        <v>1.13</v>
      </c>
      <c r="Z3720" s="196">
        <f t="shared" si="1102"/>
        <v>645000</v>
      </c>
      <c r="AA3720" s="22">
        <v>1.1080000000000001</v>
      </c>
      <c r="AB3720" s="197">
        <f t="shared" si="1100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05"/>
        <v>22758096.38940867</v>
      </c>
      <c r="AJ3720" s="200">
        <f t="shared" si="1106"/>
        <v>2469357.2298956565</v>
      </c>
      <c r="AK3720" s="201">
        <f t="shared" si="1111"/>
        <v>0.10850455976822666</v>
      </c>
      <c r="AL3720" s="24"/>
      <c r="AM3720" s="24"/>
      <c r="AN3720" s="24"/>
      <c r="AO3720" s="24"/>
      <c r="AP3720" s="165" t="str">
        <f t="shared" si="1112"/>
        <v>202410</v>
      </c>
      <c r="AQ3720" s="203" t="str">
        <f t="shared" si="1113"/>
        <v>202410RMB</v>
      </c>
      <c r="AR3720" s="206" t="str">
        <f t="shared" si="1114"/>
        <v>YAMAHA_Mounter</v>
      </c>
      <c r="AS3720" s="22">
        <f t="shared" si="1115"/>
        <v>1</v>
      </c>
      <c r="AT3720" s="24" t="str">
        <f t="shared" si="1116"/>
        <v>0-3 months</v>
      </c>
      <c r="AU3720" s="22" t="s">
        <v>3750</v>
      </c>
    </row>
    <row r="3721" spans="1:47" ht="39.6">
      <c r="A3721" s="33" t="str">
        <f t="shared" si="1107"/>
        <v/>
      </c>
      <c r="B3721" s="23"/>
      <c r="C3721" s="23"/>
      <c r="D3721" s="202" t="str">
        <f t="shared" si="1101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1104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1103"/>
        <v/>
      </c>
      <c r="Z3721" s="196" t="str">
        <f t="shared" si="1102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05"/>
        <v>35931087.732566379</v>
      </c>
      <c r="AJ3721" s="200">
        <f t="shared" si="1106"/>
        <v>4347120.3954975223</v>
      </c>
      <c r="AK3721" s="201">
        <f t="shared" si="1111"/>
        <v>0.12098493727362117</v>
      </c>
      <c r="AL3721" s="24"/>
      <c r="AM3721" s="24"/>
      <c r="AN3721" s="24"/>
      <c r="AO3721" s="24"/>
      <c r="AP3721" s="165" t="str">
        <f t="shared" si="1112"/>
        <v>20249</v>
      </c>
      <c r="AQ3721" s="203" t="str">
        <f t="shared" si="1113"/>
        <v/>
      </c>
      <c r="AR3721" s="206" t="str">
        <f t="shared" si="1114"/>
        <v>C66 SERVICE</v>
      </c>
      <c r="AS3721" s="22" t="str">
        <f t="shared" si="1115"/>
        <v/>
      </c>
      <c r="AT3721" s="24" t="str">
        <f t="shared" si="1116"/>
        <v/>
      </c>
      <c r="AU3721" s="22">
        <v>0</v>
      </c>
    </row>
    <row r="3722" spans="1:47" ht="39.6">
      <c r="A3722" s="33" t="str">
        <f t="shared" si="1107"/>
        <v/>
      </c>
      <c r="B3722" s="23"/>
      <c r="C3722" s="23"/>
      <c r="D3722" s="202" t="str">
        <f t="shared" si="1101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1104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1103"/>
        <v/>
      </c>
      <c r="Z3722" s="196" t="str">
        <f t="shared" si="1102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05"/>
        <v>35931087.732566379</v>
      </c>
      <c r="AJ3722" s="200">
        <f t="shared" si="1106"/>
        <v>4347120.3954975223</v>
      </c>
      <c r="AK3722" s="201">
        <f t="shared" si="1111"/>
        <v>0.12098493727362117</v>
      </c>
      <c r="AL3722" s="24"/>
      <c r="AM3722" s="24"/>
      <c r="AN3722" s="24"/>
      <c r="AO3722" s="24"/>
      <c r="AP3722" s="165" t="str">
        <f t="shared" si="1112"/>
        <v>20249</v>
      </c>
      <c r="AQ3722" s="203" t="str">
        <f t="shared" si="1113"/>
        <v/>
      </c>
      <c r="AR3722" s="206" t="str">
        <f t="shared" si="1114"/>
        <v>C66 SERVICE</v>
      </c>
      <c r="AS3722" s="22" t="str">
        <f t="shared" si="1115"/>
        <v/>
      </c>
      <c r="AT3722" s="24" t="str">
        <f t="shared" si="1116"/>
        <v/>
      </c>
      <c r="AU3722" s="22">
        <v>0</v>
      </c>
    </row>
    <row r="3723" spans="1:47" ht="39.6">
      <c r="A3723" s="33" t="str">
        <f t="shared" si="1107"/>
        <v/>
      </c>
      <c r="B3723" s="23"/>
      <c r="C3723" s="23"/>
      <c r="D3723" s="202" t="str">
        <f t="shared" si="1101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1104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1103"/>
        <v/>
      </c>
      <c r="Z3723" s="196" t="str">
        <f t="shared" si="1102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05"/>
        <v>35931087.732566379</v>
      </c>
      <c r="AJ3723" s="200">
        <f t="shared" si="1106"/>
        <v>4347120.3954975223</v>
      </c>
      <c r="AK3723" s="201">
        <f t="shared" si="1111"/>
        <v>0.12098493727362117</v>
      </c>
      <c r="AL3723" s="24"/>
      <c r="AM3723" s="24"/>
      <c r="AN3723" s="24"/>
      <c r="AO3723" s="24"/>
      <c r="AP3723" s="165" t="str">
        <f t="shared" si="1112"/>
        <v>20249</v>
      </c>
      <c r="AQ3723" s="203" t="str">
        <f t="shared" si="1113"/>
        <v/>
      </c>
      <c r="AR3723" s="206" t="str">
        <f t="shared" si="1114"/>
        <v>C66 SERVICE</v>
      </c>
      <c r="AS3723" s="22" t="str">
        <f t="shared" si="1115"/>
        <v/>
      </c>
      <c r="AT3723" s="24" t="str">
        <f t="shared" si="1116"/>
        <v/>
      </c>
      <c r="AU3723" s="22">
        <v>0</v>
      </c>
    </row>
    <row r="3724" spans="1:47" ht="39.6">
      <c r="A3724" s="33" t="str">
        <f t="shared" si="1107"/>
        <v/>
      </c>
      <c r="B3724" s="23"/>
      <c r="C3724" s="23"/>
      <c r="D3724" s="202" t="str">
        <f t="shared" si="1101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1104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1103"/>
        <v/>
      </c>
      <c r="Z3724" s="196" t="str">
        <f t="shared" si="1102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05"/>
        <v>35931087.732566379</v>
      </c>
      <c r="AJ3724" s="200">
        <f t="shared" si="1106"/>
        <v>4347120.3954975223</v>
      </c>
      <c r="AK3724" s="201">
        <f t="shared" si="1111"/>
        <v>0.12098493727362117</v>
      </c>
      <c r="AL3724" s="24"/>
      <c r="AM3724" s="24"/>
      <c r="AN3724" s="24"/>
      <c r="AO3724" s="24"/>
      <c r="AP3724" s="165" t="str">
        <f t="shared" si="1112"/>
        <v>20249</v>
      </c>
      <c r="AQ3724" s="203" t="str">
        <f t="shared" si="1113"/>
        <v/>
      </c>
      <c r="AR3724" s="206" t="str">
        <f t="shared" si="1114"/>
        <v>C66 SERVICE</v>
      </c>
      <c r="AS3724" s="22" t="str">
        <f t="shared" si="1115"/>
        <v/>
      </c>
      <c r="AT3724" s="24" t="str">
        <f t="shared" si="1116"/>
        <v/>
      </c>
      <c r="AU3724" s="22">
        <v>0</v>
      </c>
    </row>
    <row r="3725" spans="1:47">
      <c r="A3725" s="33" t="str">
        <f t="shared" ref="A3725:A3743" si="1118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19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0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1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3562</v>
      </c>
      <c r="K3725" s="29" t="s">
        <v>3563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122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3566</v>
      </c>
      <c r="W3725" s="22" t="s">
        <v>64</v>
      </c>
      <c r="X3725" s="104">
        <v>355000</v>
      </c>
      <c r="Y3725" s="195" t="str">
        <f t="shared" ref="Y3725:Y3763" si="1123">IF(W3725="","",IF(W3725="RMB","1.13", "1"))</f>
        <v>1.13</v>
      </c>
      <c r="Z3725" s="196">
        <f t="shared" ref="Z3725:Z3761" si="1124">IF(X3725="","",X3725*MAX(O3725,N3725))</f>
        <v>355000</v>
      </c>
      <c r="AA3725" s="22">
        <v>1.1080000000000001</v>
      </c>
      <c r="AB3725" s="197">
        <f t="shared" ref="AB3725:AB3729" si="1125">IF(AND(R3725&lt;&gt;"C66",R3725&lt;&gt;""),Z3725/Y3725*AA3725,"")</f>
        <v>348088.49557522131</v>
      </c>
      <c r="AC3725" s="198">
        <f t="shared" ref="AC3725:AC3743" si="1126">IF(R3725&lt;&gt;"",AB3725*AD3725,"")</f>
        <v>-120682.28141592923</v>
      </c>
      <c r="AD3725" s="169">
        <v>-0.34670000000000001</v>
      </c>
      <c r="AE3725" s="199">
        <f t="shared" ref="AE3725:AE3743" si="1127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si="1105"/>
        <v>22758096.38940867</v>
      </c>
      <c r="AJ3725" s="200">
        <f t="shared" si="1106"/>
        <v>2469357.2298956565</v>
      </c>
      <c r="AK3725" s="201">
        <f t="shared" ref="AK3725:AK3743" si="1128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29">IF(F3725="","",F3725&amp;G3725)</f>
        <v>202410</v>
      </c>
      <c r="AQ3725" s="203" t="str">
        <f t="shared" ref="AQ3725:AQ3743" si="1130">IF(W3725="","",F3725&amp;G3725&amp;W3725)</f>
        <v>202410RMB</v>
      </c>
      <c r="AR3725" s="206" t="str">
        <f t="shared" ref="AR3725:AR3743" si="1131">IFERROR(IF(AND(M3725="YAMAHA", R3725="C28"), "YAMAHA_Non_Mounter", IF(AND(M3725="YAMAHA", R3725="C49"), "YAMAHA_Mounter", M3725)),"")</f>
        <v>PEMTRON</v>
      </c>
      <c r="AS3725" s="22">
        <f t="shared" ref="AS3725:AS3743" si="1132">IFERROR(IF(OR(G3725="TBA", G3725=""), "", DATEDIF(DATE(B3725, C3725, 1), DATE(F3725, G3725, 1), "M")),"")</f>
        <v>0</v>
      </c>
      <c r="AT3725" s="24" t="str">
        <f t="shared" ref="AT3725:AT3743" si="1133">IF(ISNUMBER(AS3725), IF(AS3725&gt;=0, IF(AS3725&lt;=3, "0-3 months", IF(AS3725&lt;=6, "4-6 months", "&gt; 6 months"))), "")</f>
        <v>0-3 months</v>
      </c>
      <c r="AU3725" s="22" t="s">
        <v>3750</v>
      </c>
    </row>
    <row r="3726" spans="1:47">
      <c r="A3726" s="33" t="str">
        <f t="shared" si="1118"/>
        <v>FY 24/25</v>
      </c>
      <c r="B3726" s="23">
        <v>2024</v>
      </c>
      <c r="C3726" s="23">
        <v>10</v>
      </c>
      <c r="D3726" s="202" t="str">
        <f t="shared" si="1119"/>
        <v>Q3</v>
      </c>
      <c r="E3726" s="33" t="str">
        <f t="shared" si="1120"/>
        <v>FY 24/25</v>
      </c>
      <c r="F3726" s="23">
        <v>2025</v>
      </c>
      <c r="G3726" s="23">
        <v>1</v>
      </c>
      <c r="H3726" s="29"/>
      <c r="I3726" s="204" t="str">
        <f t="shared" si="1121"/>
        <v>Q4</v>
      </c>
      <c r="J3726" s="188" t="s">
        <v>3564</v>
      </c>
      <c r="K3726" s="29" t="s">
        <v>3565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122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123"/>
        <v>1.13</v>
      </c>
      <c r="Z3726" s="196">
        <f t="shared" si="1124"/>
        <v>855000</v>
      </c>
      <c r="AA3726" s="22">
        <v>1.0640000000000001</v>
      </c>
      <c r="AB3726" s="197">
        <f t="shared" si="1125"/>
        <v>805061.94690265495</v>
      </c>
      <c r="AC3726" s="198">
        <f t="shared" si="1126"/>
        <v>100793.7557522124</v>
      </c>
      <c r="AD3726" s="169">
        <v>0.12520000000000001</v>
      </c>
      <c r="AE3726" s="199">
        <f t="shared" si="1127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05"/>
        <v>16190947.162761064</v>
      </c>
      <c r="AJ3726" s="200">
        <f t="shared" si="1106"/>
        <v>2256328.1660673413</v>
      </c>
      <c r="AK3726" s="201">
        <f t="shared" si="1128"/>
        <v>0.13935739171929745</v>
      </c>
      <c r="AL3726" s="24"/>
      <c r="AM3726" s="24"/>
      <c r="AN3726" s="24"/>
      <c r="AO3726" s="24"/>
      <c r="AP3726" s="165" t="str">
        <f t="shared" si="1129"/>
        <v>20251</v>
      </c>
      <c r="AQ3726" s="203" t="str">
        <f t="shared" si="1130"/>
        <v>20251RMB</v>
      </c>
      <c r="AR3726" s="206" t="str">
        <f t="shared" si="1131"/>
        <v>YAMAHA_Mounter</v>
      </c>
      <c r="AS3726" s="22">
        <f t="shared" si="1132"/>
        <v>3</v>
      </c>
      <c r="AT3726" s="24" t="str">
        <f t="shared" si="1133"/>
        <v>0-3 months</v>
      </c>
      <c r="AU3726" s="22" t="s">
        <v>3750</v>
      </c>
    </row>
    <row r="3727" spans="1:47">
      <c r="A3727" s="33" t="str">
        <f t="shared" si="1118"/>
        <v>FY 24/25</v>
      </c>
      <c r="B3727" s="23">
        <v>2024</v>
      </c>
      <c r="C3727" s="23">
        <v>10</v>
      </c>
      <c r="D3727" s="202" t="str">
        <f t="shared" si="1119"/>
        <v>Q3</v>
      </c>
      <c r="E3727" s="33" t="str">
        <f t="shared" si="1120"/>
        <v>FY 24/25</v>
      </c>
      <c r="F3727" s="23">
        <v>2024</v>
      </c>
      <c r="G3727" s="23">
        <v>11</v>
      </c>
      <c r="H3727" s="29"/>
      <c r="I3727" s="204" t="str">
        <f t="shared" si="1121"/>
        <v>Q3</v>
      </c>
      <c r="J3727" s="188" t="s">
        <v>3567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122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123"/>
        <v>1.13</v>
      </c>
      <c r="Z3727" s="196">
        <f t="shared" si="1124"/>
        <v>759998</v>
      </c>
      <c r="AA3727" s="22">
        <v>1.0920000000000001</v>
      </c>
      <c r="AB3727" s="197">
        <f t="shared" si="1125"/>
        <v>734440.54513274354</v>
      </c>
      <c r="AC3727" s="198">
        <f t="shared" si="1126"/>
        <v>76455.2607483186</v>
      </c>
      <c r="AD3727" s="169">
        <v>0.1041</v>
      </c>
      <c r="AE3727" s="199">
        <f t="shared" si="1127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05"/>
        <v>32082250.320460182</v>
      </c>
      <c r="AJ3727" s="200">
        <f t="shared" si="1106"/>
        <v>4323122.9746477893</v>
      </c>
      <c r="AK3727" s="201">
        <f t="shared" si="1128"/>
        <v>0.1347512388147771</v>
      </c>
      <c r="AL3727" s="24"/>
      <c r="AM3727" s="24"/>
      <c r="AN3727" s="24"/>
      <c r="AO3727" s="24"/>
      <c r="AP3727" s="165" t="str">
        <f t="shared" si="1129"/>
        <v>202411</v>
      </c>
      <c r="AQ3727" s="203" t="str">
        <f t="shared" si="1130"/>
        <v>202411RMB</v>
      </c>
      <c r="AR3727" s="206" t="str">
        <f t="shared" si="1131"/>
        <v>YAMAHA_Mounter</v>
      </c>
      <c r="AS3727" s="22">
        <f t="shared" si="1132"/>
        <v>1</v>
      </c>
      <c r="AT3727" s="24" t="str">
        <f t="shared" si="1133"/>
        <v>0-3 months</v>
      </c>
      <c r="AU3727" s="22" t="s">
        <v>3240</v>
      </c>
    </row>
    <row r="3728" spans="1:47">
      <c r="A3728" s="33" t="str">
        <f t="shared" si="1118"/>
        <v>FY 24/25</v>
      </c>
      <c r="B3728" s="23">
        <v>2024</v>
      </c>
      <c r="C3728" s="23">
        <v>10</v>
      </c>
      <c r="D3728" s="202" t="str">
        <f t="shared" si="1119"/>
        <v>Q3</v>
      </c>
      <c r="E3728" s="33" t="str">
        <f t="shared" si="1120"/>
        <v>FY 24/25</v>
      </c>
      <c r="F3728" s="23">
        <v>2024</v>
      </c>
      <c r="G3728" s="23">
        <v>12</v>
      </c>
      <c r="H3728" s="29"/>
      <c r="I3728" s="204" t="str">
        <f t="shared" si="1121"/>
        <v>Q3</v>
      </c>
      <c r="J3728" s="188" t="s">
        <v>3568</v>
      </c>
      <c r="K3728" s="29" t="s">
        <v>3571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122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123"/>
        <v>1.13</v>
      </c>
      <c r="Z3728" s="196">
        <f t="shared" si="1124"/>
        <v>370000</v>
      </c>
      <c r="AA3728" s="22">
        <v>1.0760000000000001</v>
      </c>
      <c r="AB3728" s="197">
        <f t="shared" si="1125"/>
        <v>352318.58407079655</v>
      </c>
      <c r="AC3728" s="198">
        <f t="shared" si="1126"/>
        <v>42278.230088495584</v>
      </c>
      <c r="AD3728" s="169">
        <v>0.12</v>
      </c>
      <c r="AE3728" s="199">
        <f t="shared" si="1127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05"/>
        <v>15965524.256637167</v>
      </c>
      <c r="AJ3728" s="200">
        <f t="shared" si="1106"/>
        <v>2480116.5996584073</v>
      </c>
      <c r="AK3728" s="201">
        <f t="shared" si="1128"/>
        <v>0.15534200817911609</v>
      </c>
      <c r="AL3728" s="24"/>
      <c r="AM3728" s="24"/>
      <c r="AN3728" s="24"/>
      <c r="AO3728" s="24"/>
      <c r="AP3728" s="165" t="str">
        <f t="shared" si="1129"/>
        <v>202412</v>
      </c>
      <c r="AQ3728" s="203" t="str">
        <f t="shared" si="1130"/>
        <v>202412RMB</v>
      </c>
      <c r="AR3728" s="206" t="str">
        <f t="shared" si="1131"/>
        <v>YAMAHA_Non_Mounter</v>
      </c>
      <c r="AS3728" s="22">
        <f t="shared" si="1132"/>
        <v>2</v>
      </c>
      <c r="AT3728" s="24" t="str">
        <f t="shared" si="1133"/>
        <v>0-3 months</v>
      </c>
      <c r="AU3728" s="22" t="s">
        <v>3240</v>
      </c>
    </row>
    <row r="3729" spans="1:47">
      <c r="A3729" s="33" t="str">
        <f t="shared" si="1118"/>
        <v>FY 24/25</v>
      </c>
      <c r="B3729" s="23">
        <v>2024</v>
      </c>
      <c r="C3729" s="23">
        <v>10</v>
      </c>
      <c r="D3729" s="202" t="str">
        <f t="shared" si="1119"/>
        <v>Q3</v>
      </c>
      <c r="E3729" s="33" t="str">
        <f t="shared" si="1120"/>
        <v>FY 24/25</v>
      </c>
      <c r="F3729" s="23">
        <v>2024</v>
      </c>
      <c r="G3729" s="23">
        <v>12</v>
      </c>
      <c r="H3729" s="29"/>
      <c r="I3729" s="204" t="str">
        <f t="shared" si="1121"/>
        <v>Q3</v>
      </c>
      <c r="J3729" s="188" t="s">
        <v>3569</v>
      </c>
      <c r="K3729" s="29" t="s">
        <v>3572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122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123"/>
        <v>1.13</v>
      </c>
      <c r="Z3729" s="196">
        <f t="shared" si="1124"/>
        <v>368000</v>
      </c>
      <c r="AA3729" s="22">
        <v>1.0760000000000001</v>
      </c>
      <c r="AB3729" s="197">
        <f t="shared" si="1125"/>
        <v>350414.15929203545</v>
      </c>
      <c r="AC3729" s="198">
        <f t="shared" si="1126"/>
        <v>62583.968849557532</v>
      </c>
      <c r="AD3729" s="169">
        <v>0.17860000000000001</v>
      </c>
      <c r="AE3729" s="199">
        <f t="shared" si="1127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05"/>
        <v>15965524.256637167</v>
      </c>
      <c r="AJ3729" s="200">
        <f t="shared" si="1106"/>
        <v>2480116.5996584073</v>
      </c>
      <c r="AK3729" s="201">
        <f t="shared" si="1128"/>
        <v>0.15534200817911609</v>
      </c>
      <c r="AL3729" s="24"/>
      <c r="AM3729" s="24"/>
      <c r="AN3729" s="24"/>
      <c r="AO3729" s="24"/>
      <c r="AP3729" s="165" t="str">
        <f t="shared" si="1129"/>
        <v>202412</v>
      </c>
      <c r="AQ3729" s="203" t="str">
        <f t="shared" si="1130"/>
        <v>202412RMB</v>
      </c>
      <c r="AR3729" s="206" t="str">
        <f t="shared" si="1131"/>
        <v>YAMAHA_Non_Mounter</v>
      </c>
      <c r="AS3729" s="22">
        <f t="shared" si="1132"/>
        <v>2</v>
      </c>
      <c r="AT3729" s="24" t="str">
        <f t="shared" si="1133"/>
        <v>0-3 months</v>
      </c>
      <c r="AU3729" s="22" t="s">
        <v>3240</v>
      </c>
    </row>
    <row r="3730" spans="1:47">
      <c r="A3730" s="33" t="str">
        <f t="shared" si="1118"/>
        <v>FY 24/25</v>
      </c>
      <c r="B3730" s="23">
        <v>2024</v>
      </c>
      <c r="C3730" s="23">
        <v>10</v>
      </c>
      <c r="D3730" s="202" t="str">
        <f t="shared" si="1119"/>
        <v>Q3</v>
      </c>
      <c r="E3730" s="33" t="str">
        <f t="shared" si="1120"/>
        <v>FY 24/25</v>
      </c>
      <c r="F3730" s="23">
        <v>2024</v>
      </c>
      <c r="G3730" s="23">
        <v>11</v>
      </c>
      <c r="H3730" s="29"/>
      <c r="I3730" s="204" t="str">
        <f t="shared" si="1121"/>
        <v>Q3</v>
      </c>
      <c r="J3730" s="188" t="s">
        <v>3570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122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123"/>
        <v>1.13</v>
      </c>
      <c r="Z3730" s="196">
        <f t="shared" si="1124"/>
        <v>347000</v>
      </c>
      <c r="AA3730" s="22">
        <v>1.0920000000000001</v>
      </c>
      <c r="AB3730" s="197">
        <f t="shared" ref="AB3730:AB3793" si="1134">IF(AND(R3730&lt;&gt;"C66",R3730&lt;&gt;""),Z3730/Y3730*AA3730,"")</f>
        <v>335330.97345132747</v>
      </c>
      <c r="AC3730" s="198">
        <f t="shared" si="1126"/>
        <v>50031.381238938062</v>
      </c>
      <c r="AD3730" s="169">
        <v>0.1492</v>
      </c>
      <c r="AE3730" s="199">
        <f t="shared" si="1127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05"/>
        <v>32082250.320460182</v>
      </c>
      <c r="AJ3730" s="200">
        <f t="shared" si="1106"/>
        <v>4323122.9746477893</v>
      </c>
      <c r="AK3730" s="201">
        <f t="shared" si="1128"/>
        <v>0.1347512388147771</v>
      </c>
      <c r="AL3730" s="24"/>
      <c r="AM3730" s="24"/>
      <c r="AN3730" s="24"/>
      <c r="AO3730" s="24"/>
      <c r="AP3730" s="165" t="str">
        <f t="shared" si="1129"/>
        <v>202411</v>
      </c>
      <c r="AQ3730" s="203" t="str">
        <f t="shared" si="1130"/>
        <v>202411RMB</v>
      </c>
      <c r="AR3730" s="206" t="str">
        <f t="shared" si="1131"/>
        <v>YAMAHA_Non_Mounter</v>
      </c>
      <c r="AS3730" s="22">
        <f t="shared" si="1132"/>
        <v>1</v>
      </c>
      <c r="AT3730" s="24" t="str">
        <f t="shared" si="1133"/>
        <v>0-3 months</v>
      </c>
      <c r="AU3730" s="22" t="s">
        <v>3240</v>
      </c>
    </row>
    <row r="3731" spans="1:47">
      <c r="A3731" s="33" t="str">
        <f t="shared" si="1118"/>
        <v>FY 24/25</v>
      </c>
      <c r="B3731" s="23">
        <v>2024</v>
      </c>
      <c r="C3731" s="23">
        <v>10</v>
      </c>
      <c r="D3731" s="202" t="str">
        <f t="shared" si="1119"/>
        <v>Q3</v>
      </c>
      <c r="E3731" s="33" t="str">
        <f t="shared" si="1120"/>
        <v>FY 24/25</v>
      </c>
      <c r="F3731" s="23">
        <v>2024</v>
      </c>
      <c r="G3731" s="23">
        <v>11</v>
      </c>
      <c r="H3731" s="29"/>
      <c r="I3731" s="204" t="str">
        <f t="shared" si="1121"/>
        <v>Q3</v>
      </c>
      <c r="J3731" s="188" t="s">
        <v>3573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122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123"/>
        <v>1.13</v>
      </c>
      <c r="Z3731" s="196">
        <f t="shared" si="1124"/>
        <v>677000</v>
      </c>
      <c r="AA3731" s="22">
        <v>1.1080000000000001</v>
      </c>
      <c r="AB3731" s="197">
        <f t="shared" si="1134"/>
        <v>663819.46902654879</v>
      </c>
      <c r="AC3731" s="198">
        <f t="shared" si="1126"/>
        <v>68771.696991150457</v>
      </c>
      <c r="AD3731" s="169">
        <v>0.1036</v>
      </c>
      <c r="AE3731" s="199">
        <f t="shared" si="1127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05"/>
        <v>32082250.320460182</v>
      </c>
      <c r="AJ3731" s="200">
        <f t="shared" si="1106"/>
        <v>4323122.9746477893</v>
      </c>
      <c r="AK3731" s="201">
        <f t="shared" si="1128"/>
        <v>0.1347512388147771</v>
      </c>
      <c r="AL3731" s="24"/>
      <c r="AM3731" s="24"/>
      <c r="AN3731" s="24"/>
      <c r="AO3731" s="24"/>
      <c r="AP3731" s="165" t="str">
        <f t="shared" si="1129"/>
        <v>202411</v>
      </c>
      <c r="AQ3731" s="203" t="str">
        <f t="shared" si="1130"/>
        <v>202411RMB</v>
      </c>
      <c r="AR3731" s="206" t="str">
        <f t="shared" si="1131"/>
        <v>YAMAHA_Mounter</v>
      </c>
      <c r="AS3731" s="22">
        <f t="shared" si="1132"/>
        <v>1</v>
      </c>
      <c r="AT3731" s="24" t="str">
        <f t="shared" si="1133"/>
        <v>0-3 months</v>
      </c>
      <c r="AU3731" s="22" t="s">
        <v>3750</v>
      </c>
    </row>
    <row r="3732" spans="1:47">
      <c r="A3732" s="33" t="str">
        <f t="shared" si="1118"/>
        <v>FY 24/25</v>
      </c>
      <c r="B3732" s="23">
        <v>2024</v>
      </c>
      <c r="C3732" s="23">
        <v>10</v>
      </c>
      <c r="D3732" s="202" t="str">
        <f t="shared" si="1119"/>
        <v>Q3</v>
      </c>
      <c r="E3732" s="33" t="str">
        <f t="shared" si="1120"/>
        <v>FY 24/25</v>
      </c>
      <c r="F3732" s="23">
        <v>2024</v>
      </c>
      <c r="G3732" s="23">
        <v>11</v>
      </c>
      <c r="H3732" s="29"/>
      <c r="I3732" s="204" t="str">
        <f t="shared" si="1121"/>
        <v>Q3</v>
      </c>
      <c r="J3732" s="188" t="s">
        <v>3574</v>
      </c>
      <c r="K3732" s="29" t="s">
        <v>3575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122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123"/>
        <v>1</v>
      </c>
      <c r="Z3732" s="196">
        <f t="shared" si="1124"/>
        <v>11974790</v>
      </c>
      <c r="AA3732" s="22">
        <v>5.5599999999999997E-2</v>
      </c>
      <c r="AB3732" s="197">
        <f t="shared" si="1134"/>
        <v>665798.32399999991</v>
      </c>
      <c r="AC3732" s="198">
        <f t="shared" si="1126"/>
        <v>79895.798879999988</v>
      </c>
      <c r="AD3732" s="169">
        <v>0.12</v>
      </c>
      <c r="AE3732" s="199">
        <f t="shared" si="1127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05"/>
        <v>32082250.320460182</v>
      </c>
      <c r="AJ3732" s="200">
        <f t="shared" si="1106"/>
        <v>4323122.9746477893</v>
      </c>
      <c r="AK3732" s="201">
        <f t="shared" si="1128"/>
        <v>0.1347512388147771</v>
      </c>
      <c r="AL3732" s="24"/>
      <c r="AM3732" s="24"/>
      <c r="AN3732" s="24"/>
      <c r="AO3732" s="24"/>
      <c r="AP3732" s="165" t="str">
        <f t="shared" si="1129"/>
        <v>202411</v>
      </c>
      <c r="AQ3732" s="203" t="str">
        <f t="shared" si="1130"/>
        <v>202411JPY</v>
      </c>
      <c r="AR3732" s="206" t="str">
        <f t="shared" si="1131"/>
        <v>YAMAHA_Mounter</v>
      </c>
      <c r="AS3732" s="22">
        <f t="shared" si="1132"/>
        <v>1</v>
      </c>
      <c r="AT3732" s="24" t="str">
        <f t="shared" si="1133"/>
        <v>0-3 months</v>
      </c>
      <c r="AU3732" s="22" t="s">
        <v>3745</v>
      </c>
    </row>
    <row r="3733" spans="1:47">
      <c r="A3733" s="33" t="str">
        <f t="shared" si="1118"/>
        <v>FY 24/25</v>
      </c>
      <c r="B3733" s="23">
        <v>2024</v>
      </c>
      <c r="C3733" s="23">
        <v>10</v>
      </c>
      <c r="D3733" s="202" t="str">
        <f t="shared" si="1119"/>
        <v>Q3</v>
      </c>
      <c r="E3733" s="33" t="str">
        <f t="shared" si="1120"/>
        <v>FY 24/25</v>
      </c>
      <c r="F3733" s="23">
        <v>2024</v>
      </c>
      <c r="G3733" s="23">
        <v>11</v>
      </c>
      <c r="H3733" s="29"/>
      <c r="I3733" s="204" t="str">
        <f t="shared" si="1121"/>
        <v>Q3</v>
      </c>
      <c r="J3733" s="188" t="s">
        <v>3574</v>
      </c>
      <c r="K3733" s="29" t="s">
        <v>3575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122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123"/>
        <v>1</v>
      </c>
      <c r="Z3733" s="196">
        <f t="shared" si="1124"/>
        <v>10000000</v>
      </c>
      <c r="AA3733" s="22">
        <v>5.5599999999999997E-2</v>
      </c>
      <c r="AB3733" s="197">
        <f t="shared" si="1134"/>
        <v>556000</v>
      </c>
      <c r="AC3733" s="198">
        <f t="shared" si="1126"/>
        <v>66720</v>
      </c>
      <c r="AD3733" s="169">
        <v>0.12</v>
      </c>
      <c r="AE3733" s="199">
        <f t="shared" si="1127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05"/>
        <v>32082250.320460182</v>
      </c>
      <c r="AJ3733" s="200">
        <f t="shared" si="1106"/>
        <v>4323122.9746477893</v>
      </c>
      <c r="AK3733" s="201">
        <f t="shared" si="1128"/>
        <v>0.1347512388147771</v>
      </c>
      <c r="AL3733" s="24"/>
      <c r="AM3733" s="24"/>
      <c r="AN3733" s="24"/>
      <c r="AO3733" s="24"/>
      <c r="AP3733" s="165" t="str">
        <f t="shared" si="1129"/>
        <v>202411</v>
      </c>
      <c r="AQ3733" s="203" t="str">
        <f t="shared" si="1130"/>
        <v>202411JPY</v>
      </c>
      <c r="AR3733" s="206" t="str">
        <f t="shared" si="1131"/>
        <v>YAMAHA_Mounter</v>
      </c>
      <c r="AS3733" s="22">
        <f t="shared" si="1132"/>
        <v>1</v>
      </c>
      <c r="AT3733" s="24" t="str">
        <f t="shared" si="1133"/>
        <v>0-3 months</v>
      </c>
      <c r="AU3733" s="22" t="s">
        <v>3745</v>
      </c>
    </row>
    <row r="3734" spans="1:47">
      <c r="A3734" s="33" t="str">
        <f t="shared" si="1118"/>
        <v>FY 24/25</v>
      </c>
      <c r="B3734" s="23">
        <v>2024</v>
      </c>
      <c r="C3734" s="23">
        <v>10</v>
      </c>
      <c r="D3734" s="202" t="str">
        <f t="shared" si="1119"/>
        <v>Q3</v>
      </c>
      <c r="E3734" s="33" t="str">
        <f t="shared" si="1120"/>
        <v>FY 24/25</v>
      </c>
      <c r="F3734" s="23">
        <v>2024</v>
      </c>
      <c r="G3734" s="23">
        <v>11</v>
      </c>
      <c r="H3734" s="29"/>
      <c r="I3734" s="204" t="str">
        <f t="shared" si="1121"/>
        <v>Q3</v>
      </c>
      <c r="J3734" s="188" t="s">
        <v>3576</v>
      </c>
      <c r="K3734" s="29" t="s">
        <v>3577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122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123"/>
        <v>1.13</v>
      </c>
      <c r="Z3734" s="196">
        <f t="shared" si="1124"/>
        <v>390000</v>
      </c>
      <c r="AA3734" s="22">
        <v>1.1080000000000001</v>
      </c>
      <c r="AB3734" s="197">
        <f t="shared" si="1134"/>
        <v>382407.07964601775</v>
      </c>
      <c r="AC3734" s="198">
        <f t="shared" si="1126"/>
        <v>45888.849557522131</v>
      </c>
      <c r="AD3734" s="169">
        <v>0.12</v>
      </c>
      <c r="AE3734" s="199">
        <f t="shared" si="1127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05"/>
        <v>32082250.320460182</v>
      </c>
      <c r="AJ3734" s="200">
        <f t="shared" si="1106"/>
        <v>4323122.9746477893</v>
      </c>
      <c r="AK3734" s="201">
        <f t="shared" si="1128"/>
        <v>0.1347512388147771</v>
      </c>
      <c r="AL3734" s="24"/>
      <c r="AM3734" s="24"/>
      <c r="AN3734" s="24"/>
      <c r="AO3734" s="24"/>
      <c r="AP3734" s="165" t="str">
        <f t="shared" si="1129"/>
        <v>202411</v>
      </c>
      <c r="AQ3734" s="203" t="str">
        <f t="shared" si="1130"/>
        <v>202411RMB</v>
      </c>
      <c r="AR3734" s="206" t="str">
        <f t="shared" si="1131"/>
        <v>YAMAHA_Mounter</v>
      </c>
      <c r="AS3734" s="22">
        <f t="shared" si="1132"/>
        <v>1</v>
      </c>
      <c r="AT3734" s="24" t="str">
        <f t="shared" si="1133"/>
        <v>0-3 months</v>
      </c>
      <c r="AU3734" s="22" t="s">
        <v>3750</v>
      </c>
    </row>
    <row r="3735" spans="1:47">
      <c r="A3735" s="33" t="str">
        <f t="shared" si="1118"/>
        <v>FY 24/25</v>
      </c>
      <c r="B3735" s="23">
        <v>2024</v>
      </c>
      <c r="C3735" s="23">
        <v>10</v>
      </c>
      <c r="D3735" s="202" t="str">
        <f t="shared" si="1119"/>
        <v>Q3</v>
      </c>
      <c r="E3735" s="33" t="str">
        <f t="shared" si="1120"/>
        <v>FY 24/25</v>
      </c>
      <c r="F3735" s="23">
        <v>2024</v>
      </c>
      <c r="G3735" s="23">
        <v>12</v>
      </c>
      <c r="H3735" s="29"/>
      <c r="I3735" s="204" t="str">
        <f t="shared" si="1121"/>
        <v>Q3</v>
      </c>
      <c r="J3735" s="188" t="s">
        <v>3578</v>
      </c>
      <c r="K3735" s="29" t="s">
        <v>3579</v>
      </c>
      <c r="L3735" s="24" t="s">
        <v>3580</v>
      </c>
      <c r="M3735" s="22" t="s">
        <v>2607</v>
      </c>
      <c r="N3735" s="22">
        <v>1</v>
      </c>
      <c r="O3735" s="22"/>
      <c r="P3735" s="202" t="str">
        <f t="shared" si="1122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123"/>
        <v>1.13</v>
      </c>
      <c r="Z3735" s="196">
        <f t="shared" si="1124"/>
        <v>452000</v>
      </c>
      <c r="AA3735" s="22">
        <v>1.0760000000000001</v>
      </c>
      <c r="AB3735" s="197">
        <f t="shared" si="1134"/>
        <v>430400.00000000012</v>
      </c>
      <c r="AC3735" s="198">
        <f t="shared" si="1126"/>
        <v>51346.720000000016</v>
      </c>
      <c r="AD3735" s="169">
        <v>0.1193</v>
      </c>
      <c r="AE3735" s="199">
        <f t="shared" si="1127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05"/>
        <v>15965524.256637167</v>
      </c>
      <c r="AJ3735" s="200">
        <f t="shared" si="1106"/>
        <v>2480116.5996584073</v>
      </c>
      <c r="AK3735" s="201">
        <f t="shared" si="1128"/>
        <v>0.15534200817911609</v>
      </c>
      <c r="AL3735" s="24"/>
      <c r="AM3735" s="24"/>
      <c r="AN3735" s="24"/>
      <c r="AO3735" s="24"/>
      <c r="AP3735" s="165" t="str">
        <f t="shared" si="1129"/>
        <v>202412</v>
      </c>
      <c r="AQ3735" s="203" t="str">
        <f t="shared" si="1130"/>
        <v>202412RMB</v>
      </c>
      <c r="AR3735" s="206" t="str">
        <f t="shared" si="1131"/>
        <v>HELLER</v>
      </c>
      <c r="AS3735" s="22">
        <f t="shared" si="1132"/>
        <v>2</v>
      </c>
      <c r="AT3735" s="24" t="str">
        <f t="shared" si="1133"/>
        <v>0-3 months</v>
      </c>
      <c r="AU3735" s="22" t="s">
        <v>3750</v>
      </c>
    </row>
    <row r="3736" spans="1:47">
      <c r="A3736" s="33" t="str">
        <f t="shared" si="1118"/>
        <v>FY 24/25</v>
      </c>
      <c r="B3736" s="23">
        <v>2024</v>
      </c>
      <c r="C3736" s="23">
        <v>10</v>
      </c>
      <c r="D3736" s="202" t="str">
        <f t="shared" si="1119"/>
        <v>Q3</v>
      </c>
      <c r="E3736" s="33" t="str">
        <f t="shared" ref="E3736:E3799" si="1135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1"/>
        <v>Q3</v>
      </c>
      <c r="J3736" s="188" t="s">
        <v>3581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122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123"/>
        <v>1</v>
      </c>
      <c r="Z3736" s="196">
        <f t="shared" si="1124"/>
        <v>14350000</v>
      </c>
      <c r="AA3736" s="22">
        <v>5.5599999999999997E-2</v>
      </c>
      <c r="AB3736" s="197">
        <f t="shared" si="1134"/>
        <v>797860</v>
      </c>
      <c r="AC3736" s="198">
        <f t="shared" si="1126"/>
        <v>120875.79</v>
      </c>
      <c r="AD3736" s="169">
        <v>0.1515</v>
      </c>
      <c r="AE3736" s="199">
        <f t="shared" si="1127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05"/>
        <v>22758096.38940867</v>
      </c>
      <c r="AJ3736" s="200">
        <f t="shared" si="1106"/>
        <v>2469357.2298956565</v>
      </c>
      <c r="AK3736" s="201">
        <f t="shared" si="1128"/>
        <v>0.10850455976822666</v>
      </c>
      <c r="AL3736" s="24"/>
      <c r="AM3736" s="24"/>
      <c r="AN3736" s="24"/>
      <c r="AO3736" s="24"/>
      <c r="AP3736" s="165" t="str">
        <f t="shared" si="1129"/>
        <v>202410</v>
      </c>
      <c r="AQ3736" s="203" t="str">
        <f t="shared" si="1130"/>
        <v>202410JPY</v>
      </c>
      <c r="AR3736" s="206" t="str">
        <f t="shared" si="1131"/>
        <v>YAMAHA_Mounter</v>
      </c>
      <c r="AS3736" s="22">
        <f t="shared" si="1132"/>
        <v>0</v>
      </c>
      <c r="AT3736" s="24" t="str">
        <f t="shared" si="1133"/>
        <v>0-3 months</v>
      </c>
      <c r="AU3736" s="22" t="s">
        <v>3744</v>
      </c>
    </row>
    <row r="3737" spans="1:47">
      <c r="A3737" s="33" t="str">
        <f t="shared" si="1118"/>
        <v>FY 24/25</v>
      </c>
      <c r="B3737" s="23">
        <v>2024</v>
      </c>
      <c r="C3737" s="23">
        <v>10</v>
      </c>
      <c r="D3737" s="202" t="str">
        <f t="shared" si="1119"/>
        <v>Q3</v>
      </c>
      <c r="E3737" s="33" t="str">
        <f t="shared" si="1135"/>
        <v>FY 24/25</v>
      </c>
      <c r="F3737" s="23">
        <v>2025</v>
      </c>
      <c r="G3737" s="23">
        <v>2</v>
      </c>
      <c r="H3737" s="29"/>
      <c r="I3737" s="204" t="str">
        <f t="shared" si="1121"/>
        <v>Q4</v>
      </c>
      <c r="J3737" s="188" t="s">
        <v>3582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122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123"/>
        <v>1.13</v>
      </c>
      <c r="Z3737" s="196">
        <f t="shared" si="1124"/>
        <v>375000</v>
      </c>
      <c r="AA3737" s="22">
        <v>1.073</v>
      </c>
      <c r="AB3737" s="197">
        <f t="shared" si="1134"/>
        <v>356084.0707964602</v>
      </c>
      <c r="AC3737" s="198">
        <f t="shared" si="1126"/>
        <v>65839.944690265489</v>
      </c>
      <c r="AD3737" s="170">
        <v>0.18490000000000001</v>
      </c>
      <c r="AE3737" s="199">
        <f t="shared" si="1127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05"/>
        <v>30691842.970796466</v>
      </c>
      <c r="AJ3737" s="200">
        <f t="shared" si="1106"/>
        <v>4088324.205777524</v>
      </c>
      <c r="AK3737" s="201">
        <f t="shared" si="1128"/>
        <v>0.1332055624573473</v>
      </c>
      <c r="AL3737" s="24"/>
      <c r="AM3737" s="24"/>
      <c r="AN3737" s="24"/>
      <c r="AO3737" s="24"/>
      <c r="AP3737" s="165" t="str">
        <f t="shared" si="1129"/>
        <v>20252</v>
      </c>
      <c r="AQ3737" s="203" t="str">
        <f t="shared" si="1130"/>
        <v>20252RMB</v>
      </c>
      <c r="AR3737" s="206" t="str">
        <f t="shared" si="1131"/>
        <v>YAMAHA_Non_Mounter</v>
      </c>
      <c r="AS3737" s="22">
        <f t="shared" si="1132"/>
        <v>4</v>
      </c>
      <c r="AT3737" s="24" t="str">
        <f t="shared" si="1133"/>
        <v>4-6 months</v>
      </c>
      <c r="AU3737" s="22" t="s">
        <v>3240</v>
      </c>
    </row>
    <row r="3738" spans="1:47">
      <c r="A3738" s="33" t="str">
        <f t="shared" si="1118"/>
        <v>FY 24/25</v>
      </c>
      <c r="B3738" s="23">
        <v>2024</v>
      </c>
      <c r="C3738" s="23">
        <v>9</v>
      </c>
      <c r="D3738" s="202" t="str">
        <f t="shared" si="1119"/>
        <v>Q2</v>
      </c>
      <c r="E3738" s="33" t="str">
        <f t="shared" si="1135"/>
        <v>FY 24/25</v>
      </c>
      <c r="F3738" s="23">
        <v>2024</v>
      </c>
      <c r="G3738" s="23">
        <v>10</v>
      </c>
      <c r="H3738" s="29"/>
      <c r="I3738" s="204" t="str">
        <f t="shared" si="1121"/>
        <v>Q3</v>
      </c>
      <c r="J3738" s="188" t="s">
        <v>3583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122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123"/>
        <v>1.13</v>
      </c>
      <c r="Z3738" s="196">
        <f t="shared" si="1124"/>
        <v>920000</v>
      </c>
      <c r="AA3738" s="22">
        <v>1.1080000000000001</v>
      </c>
      <c r="AB3738" s="197">
        <f t="shared" si="1134"/>
        <v>902088.49557522137</v>
      </c>
      <c r="AC3738" s="198">
        <f t="shared" si="1126"/>
        <v>93546.576991150461</v>
      </c>
      <c r="AD3738" s="169">
        <v>0.1037</v>
      </c>
      <c r="AE3738" s="199">
        <f t="shared" si="1127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05"/>
        <v>22758096.38940867</v>
      </c>
      <c r="AJ3738" s="200">
        <f t="shared" si="1106"/>
        <v>2469357.2298956565</v>
      </c>
      <c r="AK3738" s="201">
        <f t="shared" si="1128"/>
        <v>0.10850455976822666</v>
      </c>
      <c r="AL3738" s="24"/>
      <c r="AM3738" s="24"/>
      <c r="AN3738" s="24"/>
      <c r="AO3738" s="24"/>
      <c r="AP3738" s="165" t="str">
        <f t="shared" si="1129"/>
        <v>202410</v>
      </c>
      <c r="AQ3738" s="203" t="str">
        <f t="shared" si="1130"/>
        <v>202410RMB</v>
      </c>
      <c r="AR3738" s="206" t="str">
        <f t="shared" si="1131"/>
        <v>YAMAHA_Mounter</v>
      </c>
      <c r="AS3738" s="22">
        <f t="shared" si="1132"/>
        <v>1</v>
      </c>
      <c r="AT3738" s="24" t="str">
        <f t="shared" si="1133"/>
        <v>0-3 months</v>
      </c>
      <c r="AU3738" s="22" t="s">
        <v>3240</v>
      </c>
    </row>
    <row r="3739" spans="1:47">
      <c r="A3739" s="33" t="str">
        <f t="shared" si="1118"/>
        <v>FY 24/25</v>
      </c>
      <c r="B3739" s="23">
        <v>2024</v>
      </c>
      <c r="C3739" s="23">
        <v>9</v>
      </c>
      <c r="D3739" s="202" t="str">
        <f t="shared" si="1119"/>
        <v>Q2</v>
      </c>
      <c r="E3739" s="33" t="str">
        <f t="shared" si="1135"/>
        <v>FY 24/25</v>
      </c>
      <c r="F3739" s="23">
        <v>2024</v>
      </c>
      <c r="G3739" s="23">
        <v>10</v>
      </c>
      <c r="H3739" s="29"/>
      <c r="I3739" s="204" t="str">
        <f t="shared" si="1121"/>
        <v>Q3</v>
      </c>
      <c r="J3739" s="188" t="s">
        <v>3583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122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123"/>
        <v>1.13</v>
      </c>
      <c r="Z3739" s="196">
        <f t="shared" si="1124"/>
        <v>920000</v>
      </c>
      <c r="AA3739" s="22">
        <v>1.1080000000000001</v>
      </c>
      <c r="AB3739" s="197">
        <f t="shared" si="1134"/>
        <v>902088.49557522137</v>
      </c>
      <c r="AC3739" s="198">
        <f t="shared" si="1126"/>
        <v>93546.576991150461</v>
      </c>
      <c r="AD3739" s="169">
        <v>0.1037</v>
      </c>
      <c r="AE3739" s="199">
        <f t="shared" si="1127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05"/>
        <v>22758096.38940867</v>
      </c>
      <c r="AJ3739" s="200">
        <f t="shared" si="1106"/>
        <v>2469357.2298956565</v>
      </c>
      <c r="AK3739" s="201">
        <f t="shared" si="1128"/>
        <v>0.10850455976822666</v>
      </c>
      <c r="AL3739" s="24"/>
      <c r="AM3739" s="24"/>
      <c r="AN3739" s="24"/>
      <c r="AO3739" s="24"/>
      <c r="AP3739" s="165" t="str">
        <f t="shared" si="1129"/>
        <v>202410</v>
      </c>
      <c r="AQ3739" s="203" t="str">
        <f t="shared" si="1130"/>
        <v>202410RMB</v>
      </c>
      <c r="AR3739" s="206" t="str">
        <f t="shared" si="1131"/>
        <v>YAMAHA_Mounter</v>
      </c>
      <c r="AS3739" s="22">
        <f t="shared" si="1132"/>
        <v>1</v>
      </c>
      <c r="AT3739" s="24" t="str">
        <f t="shared" si="1133"/>
        <v>0-3 months</v>
      </c>
      <c r="AU3739" s="22" t="s">
        <v>3240</v>
      </c>
    </row>
    <row r="3740" spans="1:47">
      <c r="A3740" s="33" t="str">
        <f t="shared" si="1118"/>
        <v>FY 24/25</v>
      </c>
      <c r="B3740" s="23">
        <v>2024</v>
      </c>
      <c r="C3740" s="23">
        <v>9</v>
      </c>
      <c r="D3740" s="202" t="str">
        <f t="shared" si="1119"/>
        <v>Q2</v>
      </c>
      <c r="E3740" s="33" t="str">
        <f t="shared" si="1135"/>
        <v>FY 24/25</v>
      </c>
      <c r="F3740" s="23">
        <v>2024</v>
      </c>
      <c r="G3740" s="23">
        <v>10</v>
      </c>
      <c r="H3740" s="29"/>
      <c r="I3740" s="204" t="str">
        <f t="shared" si="1121"/>
        <v>Q3</v>
      </c>
      <c r="J3740" s="188" t="s">
        <v>3583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122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123"/>
        <v>1.13</v>
      </c>
      <c r="Z3740" s="196">
        <f t="shared" si="1124"/>
        <v>920000</v>
      </c>
      <c r="AA3740" s="22">
        <v>1.1080000000000001</v>
      </c>
      <c r="AB3740" s="197">
        <f t="shared" si="1134"/>
        <v>902088.49557522137</v>
      </c>
      <c r="AC3740" s="198">
        <f t="shared" si="1126"/>
        <v>93546.576991150461</v>
      </c>
      <c r="AD3740" s="169">
        <v>0.1037</v>
      </c>
      <c r="AE3740" s="199">
        <f t="shared" si="1127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05"/>
        <v>22758096.38940867</v>
      </c>
      <c r="AJ3740" s="200">
        <f t="shared" si="1106"/>
        <v>2469357.2298956565</v>
      </c>
      <c r="AK3740" s="201">
        <f t="shared" si="1128"/>
        <v>0.10850455976822666</v>
      </c>
      <c r="AL3740" s="24"/>
      <c r="AM3740" s="24"/>
      <c r="AN3740" s="24"/>
      <c r="AO3740" s="24"/>
      <c r="AP3740" s="165" t="str">
        <f t="shared" si="1129"/>
        <v>202410</v>
      </c>
      <c r="AQ3740" s="203" t="str">
        <f t="shared" si="1130"/>
        <v>202410RMB</v>
      </c>
      <c r="AR3740" s="206" t="str">
        <f t="shared" si="1131"/>
        <v>YAMAHA_Mounter</v>
      </c>
      <c r="AS3740" s="22">
        <f t="shared" si="1132"/>
        <v>1</v>
      </c>
      <c r="AT3740" s="24" t="str">
        <f t="shared" si="1133"/>
        <v>0-3 months</v>
      </c>
      <c r="AU3740" s="22" t="s">
        <v>3240</v>
      </c>
    </row>
    <row r="3741" spans="1:47">
      <c r="A3741" s="33" t="str">
        <f t="shared" si="1118"/>
        <v>FY 24/25</v>
      </c>
      <c r="B3741" s="23">
        <v>2024</v>
      </c>
      <c r="C3741" s="23">
        <v>9</v>
      </c>
      <c r="D3741" s="202" t="str">
        <f t="shared" si="1119"/>
        <v>Q2</v>
      </c>
      <c r="E3741" s="33" t="str">
        <f t="shared" si="1135"/>
        <v>FY 24/25</v>
      </c>
      <c r="F3741" s="23">
        <v>2024</v>
      </c>
      <c r="G3741" s="23">
        <v>10</v>
      </c>
      <c r="H3741" s="29"/>
      <c r="I3741" s="204" t="str">
        <f t="shared" si="1121"/>
        <v>Q3</v>
      </c>
      <c r="J3741" s="188" t="s">
        <v>3583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122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123"/>
        <v>1.13</v>
      </c>
      <c r="Z3741" s="196">
        <f t="shared" si="1124"/>
        <v>707040</v>
      </c>
      <c r="AA3741" s="22">
        <v>1.1080000000000001</v>
      </c>
      <c r="AB3741" s="197">
        <f t="shared" si="1134"/>
        <v>693274.61946902669</v>
      </c>
      <c r="AC3741" s="198">
        <f t="shared" si="1126"/>
        <v>71892.578038938067</v>
      </c>
      <c r="AD3741" s="169">
        <v>0.1037</v>
      </c>
      <c r="AE3741" s="199">
        <f t="shared" si="1127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05"/>
        <v>22758096.38940867</v>
      </c>
      <c r="AJ3741" s="200">
        <f t="shared" si="1106"/>
        <v>2469357.2298956565</v>
      </c>
      <c r="AK3741" s="201">
        <f t="shared" si="1128"/>
        <v>0.10850455976822666</v>
      </c>
      <c r="AL3741" s="24"/>
      <c r="AM3741" s="24"/>
      <c r="AN3741" s="24"/>
      <c r="AO3741" s="24"/>
      <c r="AP3741" s="165" t="str">
        <f t="shared" si="1129"/>
        <v>202410</v>
      </c>
      <c r="AQ3741" s="203" t="str">
        <f t="shared" si="1130"/>
        <v>202410RMB</v>
      </c>
      <c r="AR3741" s="206" t="str">
        <f t="shared" si="1131"/>
        <v>YAMAHA_Mounter</v>
      </c>
      <c r="AS3741" s="22">
        <f t="shared" si="1132"/>
        <v>1</v>
      </c>
      <c r="AT3741" s="24" t="str">
        <f t="shared" si="1133"/>
        <v>0-3 months</v>
      </c>
      <c r="AU3741" s="22" t="s">
        <v>3240</v>
      </c>
    </row>
    <row r="3742" spans="1:47">
      <c r="A3742" s="33" t="str">
        <f t="shared" si="1118"/>
        <v>FY 24/25</v>
      </c>
      <c r="B3742" s="23">
        <v>2024</v>
      </c>
      <c r="C3742" s="23">
        <v>9</v>
      </c>
      <c r="D3742" s="202" t="str">
        <f t="shared" si="1119"/>
        <v>Q2</v>
      </c>
      <c r="E3742" s="33" t="str">
        <f t="shared" si="1135"/>
        <v>FY 24/25</v>
      </c>
      <c r="F3742" s="23">
        <v>2024</v>
      </c>
      <c r="G3742" s="23">
        <v>10</v>
      </c>
      <c r="H3742" s="29"/>
      <c r="I3742" s="204" t="str">
        <f t="shared" si="1121"/>
        <v>Q3</v>
      </c>
      <c r="J3742" s="188" t="s">
        <v>3583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122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123"/>
        <v>1.13</v>
      </c>
      <c r="Z3742" s="196">
        <f t="shared" si="1124"/>
        <v>707040</v>
      </c>
      <c r="AA3742" s="22">
        <v>1.1080000000000001</v>
      </c>
      <c r="AB3742" s="197">
        <f t="shared" si="1134"/>
        <v>693274.61946902669</v>
      </c>
      <c r="AC3742" s="198">
        <f t="shared" si="1126"/>
        <v>71892.578038938067</v>
      </c>
      <c r="AD3742" s="169">
        <v>0.1037</v>
      </c>
      <c r="AE3742" s="199">
        <f t="shared" si="1127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05"/>
        <v>22758096.38940867</v>
      </c>
      <c r="AJ3742" s="200">
        <f t="shared" si="1106"/>
        <v>2469357.2298956565</v>
      </c>
      <c r="AK3742" s="201">
        <f t="shared" si="1128"/>
        <v>0.10850455976822666</v>
      </c>
      <c r="AL3742" s="24"/>
      <c r="AM3742" s="24"/>
      <c r="AN3742" s="24"/>
      <c r="AO3742" s="24"/>
      <c r="AP3742" s="165" t="str">
        <f t="shared" si="1129"/>
        <v>202410</v>
      </c>
      <c r="AQ3742" s="203" t="str">
        <f t="shared" si="1130"/>
        <v>202410RMB</v>
      </c>
      <c r="AR3742" s="206" t="str">
        <f t="shared" si="1131"/>
        <v>YAMAHA_Mounter</v>
      </c>
      <c r="AS3742" s="22">
        <f t="shared" si="1132"/>
        <v>1</v>
      </c>
      <c r="AT3742" s="24" t="str">
        <f t="shared" si="1133"/>
        <v>0-3 months</v>
      </c>
      <c r="AU3742" s="22" t="s">
        <v>3240</v>
      </c>
    </row>
    <row r="3743" spans="1:47">
      <c r="A3743" s="33" t="str">
        <f t="shared" si="1118"/>
        <v>FY 24/25</v>
      </c>
      <c r="B3743" s="23">
        <v>2024</v>
      </c>
      <c r="C3743" s="23">
        <v>9</v>
      </c>
      <c r="D3743" s="202" t="str">
        <f t="shared" si="1119"/>
        <v>Q2</v>
      </c>
      <c r="E3743" s="33" t="str">
        <f t="shared" si="1135"/>
        <v>FY 24/25</v>
      </c>
      <c r="F3743" s="23">
        <v>2024</v>
      </c>
      <c r="G3743" s="23">
        <v>10</v>
      </c>
      <c r="H3743" s="29"/>
      <c r="I3743" s="204" t="str">
        <f t="shared" si="1121"/>
        <v>Q3</v>
      </c>
      <c r="J3743" s="188" t="s">
        <v>3583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122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123"/>
        <v>1.13</v>
      </c>
      <c r="Z3743" s="196">
        <f t="shared" si="1124"/>
        <v>707040</v>
      </c>
      <c r="AA3743" s="22">
        <v>1.1080000000000001</v>
      </c>
      <c r="AB3743" s="197">
        <f t="shared" si="1134"/>
        <v>693274.61946902669</v>
      </c>
      <c r="AC3743" s="198">
        <f t="shared" si="1126"/>
        <v>71892.578038938067</v>
      </c>
      <c r="AD3743" s="169">
        <v>0.1037</v>
      </c>
      <c r="AE3743" s="199">
        <f t="shared" si="1127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05"/>
        <v>22758096.38940867</v>
      </c>
      <c r="AJ3743" s="200">
        <f t="shared" si="1106"/>
        <v>2469357.2298956565</v>
      </c>
      <c r="AK3743" s="201">
        <f t="shared" si="1128"/>
        <v>0.10850455976822666</v>
      </c>
      <c r="AL3743" s="24"/>
      <c r="AM3743" s="24"/>
      <c r="AN3743" s="24"/>
      <c r="AO3743" s="24"/>
      <c r="AP3743" s="165" t="str">
        <f t="shared" si="1129"/>
        <v>202410</v>
      </c>
      <c r="AQ3743" s="203" t="str">
        <f t="shared" si="1130"/>
        <v>202410RMB</v>
      </c>
      <c r="AR3743" s="206" t="str">
        <f t="shared" si="1131"/>
        <v>YAMAHA_Mounter</v>
      </c>
      <c r="AS3743" s="22">
        <f t="shared" si="1132"/>
        <v>1</v>
      </c>
      <c r="AT3743" s="24" t="str">
        <f t="shared" si="1133"/>
        <v>0-3 months</v>
      </c>
      <c r="AU3743" s="22" t="s">
        <v>3240</v>
      </c>
    </row>
    <row r="3744" spans="1:47">
      <c r="A3744" s="33" t="str">
        <f t="shared" ref="A3744:A3807" si="1136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19"/>
        <v>Q2</v>
      </c>
      <c r="E3744" s="33" t="str">
        <f t="shared" si="1135"/>
        <v>FY 24/25</v>
      </c>
      <c r="F3744" s="23">
        <v>2024</v>
      </c>
      <c r="G3744" s="23">
        <v>12</v>
      </c>
      <c r="H3744" s="29"/>
      <c r="I3744" s="204" t="str">
        <f t="shared" ref="I3744:I3807" si="1137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3584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122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123"/>
        <v>1.13</v>
      </c>
      <c r="Z3744" s="196">
        <f t="shared" si="1124"/>
        <v>375000</v>
      </c>
      <c r="AA3744" s="22">
        <v>1.0760000000000001</v>
      </c>
      <c r="AB3744" s="197">
        <f t="shared" si="1134"/>
        <v>357079.64601769921</v>
      </c>
      <c r="AC3744" s="198">
        <f t="shared" ref="AC3744:AC3807" si="1138">IF(R3744&lt;&gt;"",AB3744*AD3744,"")</f>
        <v>60774.955752212401</v>
      </c>
      <c r="AD3744" s="169">
        <v>0.17019999999999999</v>
      </c>
      <c r="AE3744" s="199">
        <f t="shared" ref="AE3744:AE3807" si="1139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05"/>
        <v>15965524.256637167</v>
      </c>
      <c r="AJ3744" s="200">
        <f t="shared" si="1106"/>
        <v>2480116.5996584073</v>
      </c>
      <c r="AK3744" s="201">
        <f t="shared" ref="AK3744:AK3807" si="1140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1">IF(F3744="","",F3744&amp;G3744)</f>
        <v>202412</v>
      </c>
      <c r="AQ3744" s="203" t="str">
        <f t="shared" ref="AQ3744:AQ3807" si="1142">IF(W3744="","",F3744&amp;G3744&amp;W3744)</f>
        <v>202412RMB</v>
      </c>
      <c r="AR3744" s="206" t="str">
        <f t="shared" ref="AR3744:AR3807" si="1143">IFERROR(IF(AND(M3744="YAMAHA", R3744="C28"), "YAMAHA_Non_Mounter", IF(AND(M3744="YAMAHA", R3744="C49"), "YAMAHA_Mounter", M3744)),"")</f>
        <v>YAMAHA_Non_Mounter</v>
      </c>
      <c r="AS3744" s="22">
        <f t="shared" ref="AS3744:AS3807" si="1144">IFERROR(IF(OR(G3744="TBA", G3744=""), "", DATEDIF(DATE(B3744, C3744, 1), DATE(F3744, G3744, 1), "M")),"")</f>
        <v>3</v>
      </c>
      <c r="AT3744" s="24" t="str">
        <f t="shared" ref="AT3744:AT3807" si="1145">IF(ISNUMBER(AS3744), IF(AS3744&gt;=0, IF(AS3744&lt;=3, "0-3 months", IF(AS3744&lt;=6, "4-6 months", "&gt; 6 months"))), "")</f>
        <v>0-3 months</v>
      </c>
      <c r="AU3744" s="22" t="s">
        <v>3240</v>
      </c>
    </row>
    <row r="3745" spans="1:47">
      <c r="A3745" s="33" t="str">
        <f t="shared" si="1136"/>
        <v>FY 24/25</v>
      </c>
      <c r="B3745" s="23">
        <v>2024</v>
      </c>
      <c r="C3745" s="23">
        <v>9</v>
      </c>
      <c r="D3745" s="202" t="str">
        <f t="shared" si="1119"/>
        <v>Q2</v>
      </c>
      <c r="E3745" s="33" t="str">
        <f t="shared" si="1135"/>
        <v>FY 24/25</v>
      </c>
      <c r="F3745" s="23">
        <v>2024</v>
      </c>
      <c r="G3745" s="23">
        <v>12</v>
      </c>
      <c r="H3745" s="29"/>
      <c r="I3745" s="204" t="str">
        <f t="shared" si="1137"/>
        <v>Q3</v>
      </c>
      <c r="J3745" s="188" t="s">
        <v>3584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146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123"/>
        <v>1.13</v>
      </c>
      <c r="Z3745" s="196">
        <f t="shared" si="1124"/>
        <v>375000</v>
      </c>
      <c r="AA3745" s="22">
        <v>1.0760000000000001</v>
      </c>
      <c r="AB3745" s="197">
        <f t="shared" si="1134"/>
        <v>357079.64601769921</v>
      </c>
      <c r="AC3745" s="198">
        <f t="shared" si="1138"/>
        <v>60774.955752212401</v>
      </c>
      <c r="AD3745" s="169">
        <v>0.17019999999999999</v>
      </c>
      <c r="AE3745" s="199">
        <f t="shared" si="1139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05"/>
        <v>15965524.256637167</v>
      </c>
      <c r="AJ3745" s="200">
        <f t="shared" si="1106"/>
        <v>2480116.5996584073</v>
      </c>
      <c r="AK3745" s="201">
        <f t="shared" si="1140"/>
        <v>0.15534200817911609</v>
      </c>
      <c r="AL3745" s="24"/>
      <c r="AM3745" s="24"/>
      <c r="AN3745" s="24"/>
      <c r="AO3745" s="24"/>
      <c r="AP3745" s="165" t="str">
        <f t="shared" si="1141"/>
        <v>202412</v>
      </c>
      <c r="AQ3745" s="203" t="str">
        <f t="shared" si="1142"/>
        <v>202412RMB</v>
      </c>
      <c r="AR3745" s="206" t="str">
        <f t="shared" si="1143"/>
        <v>YAMAHA_Non_Mounter</v>
      </c>
      <c r="AS3745" s="22">
        <f t="shared" si="1144"/>
        <v>3</v>
      </c>
      <c r="AT3745" s="24" t="str">
        <f t="shared" si="1145"/>
        <v>0-3 months</v>
      </c>
      <c r="AU3745" s="22" t="s">
        <v>3240</v>
      </c>
    </row>
    <row r="3746" spans="1:47">
      <c r="A3746" s="33" t="str">
        <f t="shared" si="1136"/>
        <v>FY 24/25</v>
      </c>
      <c r="B3746" s="23">
        <v>2024</v>
      </c>
      <c r="C3746" s="23">
        <v>9</v>
      </c>
      <c r="D3746" s="202" t="str">
        <f t="shared" si="1119"/>
        <v>Q2</v>
      </c>
      <c r="E3746" s="33" t="str">
        <f t="shared" si="1135"/>
        <v>FY 24/25</v>
      </c>
      <c r="F3746" s="23">
        <v>2024</v>
      </c>
      <c r="G3746" s="23">
        <v>12</v>
      </c>
      <c r="H3746" s="29"/>
      <c r="I3746" s="204" t="str">
        <f t="shared" si="1137"/>
        <v>Q3</v>
      </c>
      <c r="J3746" s="188" t="s">
        <v>3584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146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123"/>
        <v>1.13</v>
      </c>
      <c r="Z3746" s="196">
        <f t="shared" si="1124"/>
        <v>375000</v>
      </c>
      <c r="AA3746" s="22">
        <v>1.0760000000000001</v>
      </c>
      <c r="AB3746" s="197">
        <f t="shared" si="1134"/>
        <v>357079.64601769921</v>
      </c>
      <c r="AC3746" s="198">
        <f t="shared" si="1138"/>
        <v>60774.955752212401</v>
      </c>
      <c r="AD3746" s="169">
        <v>0.17019999999999999</v>
      </c>
      <c r="AE3746" s="199">
        <f t="shared" si="1139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05"/>
        <v>15965524.256637167</v>
      </c>
      <c r="AJ3746" s="200">
        <f t="shared" si="1106"/>
        <v>2480116.5996584073</v>
      </c>
      <c r="AK3746" s="201">
        <f t="shared" si="1140"/>
        <v>0.15534200817911609</v>
      </c>
      <c r="AL3746" s="24"/>
      <c r="AM3746" s="24"/>
      <c r="AN3746" s="24"/>
      <c r="AO3746" s="24"/>
      <c r="AP3746" s="165" t="str">
        <f t="shared" si="1141"/>
        <v>202412</v>
      </c>
      <c r="AQ3746" s="203" t="str">
        <f t="shared" si="1142"/>
        <v>202412RMB</v>
      </c>
      <c r="AR3746" s="206" t="str">
        <f t="shared" si="1143"/>
        <v>YAMAHA_Non_Mounter</v>
      </c>
      <c r="AS3746" s="22">
        <f t="shared" si="1144"/>
        <v>3</v>
      </c>
      <c r="AT3746" s="24" t="str">
        <f t="shared" si="1145"/>
        <v>0-3 months</v>
      </c>
      <c r="AU3746" s="22" t="s">
        <v>3240</v>
      </c>
    </row>
    <row r="3747" spans="1:47">
      <c r="A3747" s="33" t="str">
        <f t="shared" si="1136"/>
        <v>FY 24/25</v>
      </c>
      <c r="B3747" s="23">
        <v>2024</v>
      </c>
      <c r="C3747" s="23">
        <v>9</v>
      </c>
      <c r="D3747" s="202" t="str">
        <f t="shared" si="1119"/>
        <v>Q2</v>
      </c>
      <c r="E3747" s="33" t="str">
        <f t="shared" si="1135"/>
        <v>FY 24/25</v>
      </c>
      <c r="F3747" s="23">
        <v>2024</v>
      </c>
      <c r="G3747" s="23">
        <v>12</v>
      </c>
      <c r="H3747" s="29"/>
      <c r="I3747" s="204" t="str">
        <f t="shared" si="1137"/>
        <v>Q3</v>
      </c>
      <c r="J3747" s="188" t="s">
        <v>3585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146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123"/>
        <v>1.13</v>
      </c>
      <c r="Z3747" s="196">
        <f t="shared" si="1124"/>
        <v>375000</v>
      </c>
      <c r="AA3747" s="22">
        <v>1.0760000000000001</v>
      </c>
      <c r="AB3747" s="197">
        <f t="shared" si="1134"/>
        <v>357079.64601769921</v>
      </c>
      <c r="AC3747" s="198">
        <f t="shared" si="1138"/>
        <v>65881.194690265504</v>
      </c>
      <c r="AD3747" s="169">
        <v>0.1845</v>
      </c>
      <c r="AE3747" s="199">
        <f t="shared" si="1139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05"/>
        <v>15965524.256637167</v>
      </c>
      <c r="AJ3747" s="200">
        <f t="shared" si="1106"/>
        <v>2480116.5996584073</v>
      </c>
      <c r="AK3747" s="201">
        <f t="shared" si="1140"/>
        <v>0.15534200817911609</v>
      </c>
      <c r="AL3747" s="24"/>
      <c r="AM3747" s="24"/>
      <c r="AN3747" s="24"/>
      <c r="AO3747" s="24"/>
      <c r="AP3747" s="165" t="str">
        <f t="shared" si="1141"/>
        <v>202412</v>
      </c>
      <c r="AQ3747" s="203" t="str">
        <f t="shared" si="1142"/>
        <v>202412RMB</v>
      </c>
      <c r="AR3747" s="206" t="str">
        <f t="shared" si="1143"/>
        <v>YAMAHA_Non_Mounter</v>
      </c>
      <c r="AS3747" s="22">
        <f t="shared" si="1144"/>
        <v>3</v>
      </c>
      <c r="AT3747" s="24" t="str">
        <f t="shared" si="1145"/>
        <v>0-3 months</v>
      </c>
      <c r="AU3747" s="22" t="s">
        <v>3240</v>
      </c>
    </row>
    <row r="3748" spans="1:47">
      <c r="A3748" s="33" t="str">
        <f t="shared" si="1136"/>
        <v>FY 24/25</v>
      </c>
      <c r="B3748" s="23">
        <v>2024</v>
      </c>
      <c r="C3748" s="23">
        <v>9</v>
      </c>
      <c r="D3748" s="202" t="str">
        <f t="shared" si="1119"/>
        <v>Q2</v>
      </c>
      <c r="E3748" s="33" t="str">
        <f t="shared" si="1135"/>
        <v>FY 24/25</v>
      </c>
      <c r="F3748" s="23">
        <v>2024</v>
      </c>
      <c r="G3748" s="23">
        <v>12</v>
      </c>
      <c r="H3748" s="29"/>
      <c r="I3748" s="204" t="str">
        <f t="shared" si="1137"/>
        <v>Q3</v>
      </c>
      <c r="J3748" s="188" t="s">
        <v>3585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146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123"/>
        <v>1.13</v>
      </c>
      <c r="Z3748" s="196">
        <f t="shared" si="1124"/>
        <v>375000</v>
      </c>
      <c r="AA3748" s="22">
        <v>1.0760000000000001</v>
      </c>
      <c r="AB3748" s="197">
        <f t="shared" si="1134"/>
        <v>357079.64601769921</v>
      </c>
      <c r="AC3748" s="198">
        <f t="shared" si="1138"/>
        <v>65881.194690265504</v>
      </c>
      <c r="AD3748" s="169">
        <v>0.1845</v>
      </c>
      <c r="AE3748" s="199">
        <f t="shared" si="1139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05"/>
        <v>15965524.256637167</v>
      </c>
      <c r="AJ3748" s="200">
        <f t="shared" si="1106"/>
        <v>2480116.5996584073</v>
      </c>
      <c r="AK3748" s="201">
        <f t="shared" si="1140"/>
        <v>0.15534200817911609</v>
      </c>
      <c r="AL3748" s="24"/>
      <c r="AM3748" s="24"/>
      <c r="AN3748" s="24"/>
      <c r="AO3748" s="24"/>
      <c r="AP3748" s="165" t="str">
        <f t="shared" si="1141"/>
        <v>202412</v>
      </c>
      <c r="AQ3748" s="203" t="str">
        <f t="shared" si="1142"/>
        <v>202412RMB</v>
      </c>
      <c r="AR3748" s="206" t="str">
        <f t="shared" si="1143"/>
        <v>YAMAHA_Non_Mounter</v>
      </c>
      <c r="AS3748" s="22">
        <f t="shared" si="1144"/>
        <v>3</v>
      </c>
      <c r="AT3748" s="24" t="str">
        <f t="shared" si="1145"/>
        <v>0-3 months</v>
      </c>
      <c r="AU3748" s="22" t="s">
        <v>3240</v>
      </c>
    </row>
    <row r="3749" spans="1:47">
      <c r="A3749" s="33" t="str">
        <f t="shared" si="1136"/>
        <v>FY 24/25</v>
      </c>
      <c r="B3749" s="23">
        <v>2024</v>
      </c>
      <c r="C3749" s="23">
        <v>9</v>
      </c>
      <c r="D3749" s="202" t="str">
        <f t="shared" si="1119"/>
        <v>Q2</v>
      </c>
      <c r="E3749" s="33" t="str">
        <f t="shared" si="1135"/>
        <v>FY 24/25</v>
      </c>
      <c r="F3749" s="23">
        <v>2024</v>
      </c>
      <c r="G3749" s="23">
        <v>12</v>
      </c>
      <c r="H3749" s="29"/>
      <c r="I3749" s="204" t="str">
        <f t="shared" si="1137"/>
        <v>Q3</v>
      </c>
      <c r="J3749" s="188" t="s">
        <v>3585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146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123"/>
        <v>1.13</v>
      </c>
      <c r="Z3749" s="196">
        <f t="shared" si="1124"/>
        <v>375000</v>
      </c>
      <c r="AA3749" s="22">
        <v>1.0760000000000001</v>
      </c>
      <c r="AB3749" s="197">
        <f t="shared" si="1134"/>
        <v>357079.64601769921</v>
      </c>
      <c r="AC3749" s="198">
        <f t="shared" si="1138"/>
        <v>65881.194690265504</v>
      </c>
      <c r="AD3749" s="169">
        <v>0.1845</v>
      </c>
      <c r="AE3749" s="199">
        <f t="shared" si="1139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05"/>
        <v>15965524.256637167</v>
      </c>
      <c r="AJ3749" s="200">
        <f t="shared" si="1106"/>
        <v>2480116.5996584073</v>
      </c>
      <c r="AK3749" s="201">
        <f t="shared" si="1140"/>
        <v>0.15534200817911609</v>
      </c>
      <c r="AL3749" s="24"/>
      <c r="AM3749" s="24"/>
      <c r="AN3749" s="24"/>
      <c r="AO3749" s="24"/>
      <c r="AP3749" s="165" t="str">
        <f t="shared" si="1141"/>
        <v>202412</v>
      </c>
      <c r="AQ3749" s="203" t="str">
        <f t="shared" si="1142"/>
        <v>202412RMB</v>
      </c>
      <c r="AR3749" s="206" t="str">
        <f t="shared" si="1143"/>
        <v>YAMAHA_Non_Mounter</v>
      </c>
      <c r="AS3749" s="22">
        <f t="shared" si="1144"/>
        <v>3</v>
      </c>
      <c r="AT3749" s="24" t="str">
        <f t="shared" si="1145"/>
        <v>0-3 months</v>
      </c>
      <c r="AU3749" s="22" t="s">
        <v>3240</v>
      </c>
    </row>
    <row r="3750" spans="1:47">
      <c r="A3750" s="33" t="str">
        <f t="shared" si="1136"/>
        <v>FY 24/25</v>
      </c>
      <c r="B3750" s="23">
        <v>2024</v>
      </c>
      <c r="C3750" s="23">
        <v>10</v>
      </c>
      <c r="D3750" s="202" t="str">
        <f t="shared" si="1119"/>
        <v>Q3</v>
      </c>
      <c r="E3750" s="33" t="str">
        <f t="shared" si="1135"/>
        <v>FY 24/25</v>
      </c>
      <c r="F3750" s="23">
        <v>2025</v>
      </c>
      <c r="G3750" s="23">
        <v>2</v>
      </c>
      <c r="H3750" s="29"/>
      <c r="I3750" s="204" t="str">
        <f t="shared" si="1137"/>
        <v>Q4</v>
      </c>
      <c r="J3750" s="188" t="s">
        <v>3586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146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123"/>
        <v>1</v>
      </c>
      <c r="Z3750" s="196">
        <f t="shared" si="1124"/>
        <v>14000000</v>
      </c>
      <c r="AA3750" s="22">
        <v>5.11E-2</v>
      </c>
      <c r="AB3750" s="197">
        <f t="shared" si="1134"/>
        <v>715400</v>
      </c>
      <c r="AC3750" s="198">
        <f t="shared" si="1138"/>
        <v>84345.66</v>
      </c>
      <c r="AD3750" s="170">
        <v>0.1179</v>
      </c>
      <c r="AE3750" s="199">
        <f t="shared" si="1139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05"/>
        <v>30691842.970796466</v>
      </c>
      <c r="AJ3750" s="200">
        <f t="shared" si="1106"/>
        <v>4088324.205777524</v>
      </c>
      <c r="AK3750" s="201">
        <f t="shared" si="1140"/>
        <v>0.1332055624573473</v>
      </c>
      <c r="AL3750" s="24"/>
      <c r="AM3750" s="24"/>
      <c r="AN3750" s="24"/>
      <c r="AO3750" s="24"/>
      <c r="AP3750" s="165" t="str">
        <f t="shared" si="1141"/>
        <v>20252</v>
      </c>
      <c r="AQ3750" s="203" t="str">
        <f t="shared" si="1142"/>
        <v>20252JPY</v>
      </c>
      <c r="AR3750" s="206" t="str">
        <f t="shared" si="1143"/>
        <v>YAMAHA_Mounter</v>
      </c>
      <c r="AS3750" s="22">
        <f t="shared" si="1144"/>
        <v>4</v>
      </c>
      <c r="AT3750" s="24" t="str">
        <f t="shared" si="1145"/>
        <v>4-6 months</v>
      </c>
      <c r="AU3750" s="22" t="s">
        <v>3744</v>
      </c>
    </row>
    <row r="3751" spans="1:47">
      <c r="A3751" s="33" t="str">
        <f t="shared" si="1136"/>
        <v>FY 24/25</v>
      </c>
      <c r="B3751" s="23">
        <v>2024</v>
      </c>
      <c r="C3751" s="23">
        <v>10</v>
      </c>
      <c r="D3751" s="202" t="str">
        <f t="shared" si="1119"/>
        <v>Q3</v>
      </c>
      <c r="E3751" s="33" t="str">
        <f t="shared" si="1135"/>
        <v>FY 24/25</v>
      </c>
      <c r="F3751" s="23">
        <v>2025</v>
      </c>
      <c r="G3751" s="23">
        <v>2</v>
      </c>
      <c r="H3751" s="29"/>
      <c r="I3751" s="204" t="str">
        <f t="shared" si="1137"/>
        <v>Q4</v>
      </c>
      <c r="J3751" s="188" t="s">
        <v>3586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146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123"/>
        <v>1</v>
      </c>
      <c r="Z3751" s="196">
        <f t="shared" si="1124"/>
        <v>14000000</v>
      </c>
      <c r="AA3751" s="22">
        <v>5.11E-2</v>
      </c>
      <c r="AB3751" s="197">
        <f t="shared" si="1134"/>
        <v>715400</v>
      </c>
      <c r="AC3751" s="198">
        <f t="shared" si="1138"/>
        <v>84345.66</v>
      </c>
      <c r="AD3751" s="170">
        <v>0.1179</v>
      </c>
      <c r="AE3751" s="199">
        <f t="shared" si="1139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05"/>
        <v>30691842.970796466</v>
      </c>
      <c r="AJ3751" s="200">
        <f t="shared" si="1106"/>
        <v>4088324.205777524</v>
      </c>
      <c r="AK3751" s="201">
        <f t="shared" si="1140"/>
        <v>0.1332055624573473</v>
      </c>
      <c r="AL3751" s="24"/>
      <c r="AM3751" s="24"/>
      <c r="AN3751" s="24"/>
      <c r="AO3751" s="24"/>
      <c r="AP3751" s="165" t="str">
        <f t="shared" si="1141"/>
        <v>20252</v>
      </c>
      <c r="AQ3751" s="203" t="str">
        <f t="shared" si="1142"/>
        <v>20252JPY</v>
      </c>
      <c r="AR3751" s="206" t="str">
        <f t="shared" si="1143"/>
        <v>YAMAHA_Mounter</v>
      </c>
      <c r="AS3751" s="22">
        <f t="shared" si="1144"/>
        <v>4</v>
      </c>
      <c r="AT3751" s="24" t="str">
        <f t="shared" si="1145"/>
        <v>4-6 months</v>
      </c>
      <c r="AU3751" s="22" t="s">
        <v>3744</v>
      </c>
    </row>
    <row r="3752" spans="1:47">
      <c r="A3752" s="33" t="str">
        <f t="shared" si="1136"/>
        <v>FY 24/25</v>
      </c>
      <c r="B3752" s="23">
        <v>2024</v>
      </c>
      <c r="C3752" s="23">
        <v>10</v>
      </c>
      <c r="D3752" s="202" t="str">
        <f t="shared" si="1119"/>
        <v>Q3</v>
      </c>
      <c r="E3752" s="33" t="str">
        <f t="shared" si="1135"/>
        <v>FY 24/25</v>
      </c>
      <c r="F3752" s="23">
        <v>2025</v>
      </c>
      <c r="G3752" s="23">
        <v>2</v>
      </c>
      <c r="H3752" s="29"/>
      <c r="I3752" s="204" t="str">
        <f t="shared" si="1137"/>
        <v>Q4</v>
      </c>
      <c r="J3752" s="188" t="s">
        <v>3586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146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123"/>
        <v>1</v>
      </c>
      <c r="Z3752" s="196">
        <f t="shared" si="1124"/>
        <v>14000000</v>
      </c>
      <c r="AA3752" s="22">
        <v>5.11E-2</v>
      </c>
      <c r="AB3752" s="197">
        <f t="shared" si="1134"/>
        <v>715400</v>
      </c>
      <c r="AC3752" s="198">
        <f t="shared" si="1138"/>
        <v>84345.66</v>
      </c>
      <c r="AD3752" s="170">
        <v>0.1179</v>
      </c>
      <c r="AE3752" s="199">
        <f t="shared" si="1139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05"/>
        <v>30691842.970796466</v>
      </c>
      <c r="AJ3752" s="200">
        <f t="shared" si="1106"/>
        <v>4088324.205777524</v>
      </c>
      <c r="AK3752" s="201">
        <f t="shared" si="1140"/>
        <v>0.1332055624573473</v>
      </c>
      <c r="AL3752" s="24"/>
      <c r="AM3752" s="24"/>
      <c r="AN3752" s="24"/>
      <c r="AO3752" s="24"/>
      <c r="AP3752" s="165" t="str">
        <f t="shared" si="1141"/>
        <v>20252</v>
      </c>
      <c r="AQ3752" s="203" t="str">
        <f t="shared" si="1142"/>
        <v>20252JPY</v>
      </c>
      <c r="AR3752" s="206" t="str">
        <f t="shared" si="1143"/>
        <v>YAMAHA_Mounter</v>
      </c>
      <c r="AS3752" s="22">
        <f t="shared" si="1144"/>
        <v>4</v>
      </c>
      <c r="AT3752" s="24" t="str">
        <f t="shared" si="1145"/>
        <v>4-6 months</v>
      </c>
      <c r="AU3752" s="22" t="s">
        <v>3744</v>
      </c>
    </row>
    <row r="3753" spans="1:47">
      <c r="A3753" s="33" t="str">
        <f t="shared" si="1136"/>
        <v>FY 24/25</v>
      </c>
      <c r="B3753" s="23">
        <v>2024</v>
      </c>
      <c r="C3753" s="23">
        <v>10</v>
      </c>
      <c r="D3753" s="202" t="str">
        <f t="shared" si="1119"/>
        <v>Q3</v>
      </c>
      <c r="E3753" s="33" t="str">
        <f t="shared" si="1135"/>
        <v>FY 24/25</v>
      </c>
      <c r="F3753" s="23">
        <v>2025</v>
      </c>
      <c r="G3753" s="23">
        <v>2</v>
      </c>
      <c r="H3753" s="29"/>
      <c r="I3753" s="204" t="str">
        <f t="shared" si="1137"/>
        <v>Q4</v>
      </c>
      <c r="J3753" s="188" t="s">
        <v>3586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146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123"/>
        <v>1</v>
      </c>
      <c r="Z3753" s="196">
        <f t="shared" si="1124"/>
        <v>14000000</v>
      </c>
      <c r="AA3753" s="22">
        <v>5.11E-2</v>
      </c>
      <c r="AB3753" s="197">
        <f t="shared" si="1134"/>
        <v>715400</v>
      </c>
      <c r="AC3753" s="198">
        <f t="shared" si="1138"/>
        <v>84345.66</v>
      </c>
      <c r="AD3753" s="170">
        <v>0.1179</v>
      </c>
      <c r="AE3753" s="199">
        <f t="shared" si="1139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05"/>
        <v>30691842.970796466</v>
      </c>
      <c r="AJ3753" s="200">
        <f t="shared" si="1106"/>
        <v>4088324.205777524</v>
      </c>
      <c r="AK3753" s="201">
        <f t="shared" si="1140"/>
        <v>0.1332055624573473</v>
      </c>
      <c r="AL3753" s="24"/>
      <c r="AM3753" s="24"/>
      <c r="AN3753" s="24"/>
      <c r="AO3753" s="24"/>
      <c r="AP3753" s="165" t="str">
        <f t="shared" si="1141"/>
        <v>20252</v>
      </c>
      <c r="AQ3753" s="203" t="str">
        <f t="shared" si="1142"/>
        <v>20252JPY</v>
      </c>
      <c r="AR3753" s="206" t="str">
        <f t="shared" si="1143"/>
        <v>YAMAHA_Mounter</v>
      </c>
      <c r="AS3753" s="22">
        <f t="shared" si="1144"/>
        <v>4</v>
      </c>
      <c r="AT3753" s="24" t="str">
        <f t="shared" si="1145"/>
        <v>4-6 months</v>
      </c>
      <c r="AU3753" s="22" t="s">
        <v>3744</v>
      </c>
    </row>
    <row r="3754" spans="1:47">
      <c r="A3754" s="33" t="str">
        <f t="shared" si="1136"/>
        <v>FY 24/25</v>
      </c>
      <c r="B3754" s="23">
        <v>2024</v>
      </c>
      <c r="C3754" s="23">
        <v>10</v>
      </c>
      <c r="D3754" s="202" t="str">
        <f t="shared" si="1119"/>
        <v>Q3</v>
      </c>
      <c r="E3754" s="33" t="str">
        <f t="shared" si="1135"/>
        <v>FY 24/25</v>
      </c>
      <c r="F3754" s="23">
        <v>2025</v>
      </c>
      <c r="G3754" s="23">
        <v>1</v>
      </c>
      <c r="H3754" s="29"/>
      <c r="I3754" s="204" t="str">
        <f t="shared" si="1137"/>
        <v>Q4</v>
      </c>
      <c r="J3754" s="188" t="s">
        <v>3652</v>
      </c>
      <c r="K3754" s="29" t="s">
        <v>3611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146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123"/>
        <v>1</v>
      </c>
      <c r="Z3754" s="196">
        <f t="shared" si="1124"/>
        <v>105570</v>
      </c>
      <c r="AA3754" s="22">
        <v>7.8</v>
      </c>
      <c r="AB3754" s="197">
        <f t="shared" si="1134"/>
        <v>823446</v>
      </c>
      <c r="AC3754" s="198">
        <f t="shared" si="1138"/>
        <v>138338.92800000001</v>
      </c>
      <c r="AD3754" s="169">
        <v>0.16800000000000001</v>
      </c>
      <c r="AE3754" s="199">
        <f t="shared" si="1139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05"/>
        <v>16190947.162761064</v>
      </c>
      <c r="AJ3754" s="200">
        <f t="shared" si="1106"/>
        <v>2256328.1660673413</v>
      </c>
      <c r="AK3754" s="201">
        <f t="shared" si="1140"/>
        <v>0.13935739171929745</v>
      </c>
      <c r="AL3754" s="24"/>
      <c r="AM3754" s="24"/>
      <c r="AN3754" s="24"/>
      <c r="AO3754" s="24"/>
      <c r="AP3754" s="165" t="str">
        <f t="shared" si="1141"/>
        <v>20251</v>
      </c>
      <c r="AQ3754" s="203" t="str">
        <f t="shared" si="1142"/>
        <v>20251USD</v>
      </c>
      <c r="AR3754" s="206" t="str">
        <f t="shared" si="1143"/>
        <v>YAMAHA_Mounter</v>
      </c>
      <c r="AS3754" s="22">
        <f t="shared" si="1144"/>
        <v>3</v>
      </c>
      <c r="AT3754" s="24" t="str">
        <f t="shared" si="1145"/>
        <v>0-3 months</v>
      </c>
      <c r="AU3754" s="22" t="s">
        <v>3747</v>
      </c>
    </row>
    <row r="3755" spans="1:47">
      <c r="A3755" s="33" t="str">
        <f t="shared" si="1136"/>
        <v>FY 24/25</v>
      </c>
      <c r="B3755" s="23">
        <v>2024</v>
      </c>
      <c r="C3755" s="23">
        <v>10</v>
      </c>
      <c r="D3755" s="202" t="str">
        <f t="shared" si="1119"/>
        <v>Q3</v>
      </c>
      <c r="E3755" s="33" t="str">
        <f t="shared" si="1135"/>
        <v>FY 24/25</v>
      </c>
      <c r="F3755" s="23">
        <v>2025</v>
      </c>
      <c r="G3755" s="23">
        <v>1</v>
      </c>
      <c r="H3755" s="29"/>
      <c r="I3755" s="204" t="str">
        <f t="shared" si="1137"/>
        <v>Q4</v>
      </c>
      <c r="J3755" s="188" t="s">
        <v>3652</v>
      </c>
      <c r="K3755" s="29" t="s">
        <v>3611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146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123"/>
        <v>1</v>
      </c>
      <c r="Z3755" s="196">
        <f t="shared" si="1124"/>
        <v>105570</v>
      </c>
      <c r="AA3755" s="22">
        <v>7.8</v>
      </c>
      <c r="AB3755" s="197">
        <f t="shared" si="1134"/>
        <v>823446</v>
      </c>
      <c r="AC3755" s="198">
        <f t="shared" si="1138"/>
        <v>138338.92800000001</v>
      </c>
      <c r="AD3755" s="169">
        <v>0.16800000000000001</v>
      </c>
      <c r="AE3755" s="199">
        <f t="shared" si="1139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05"/>
        <v>16190947.162761064</v>
      </c>
      <c r="AJ3755" s="200">
        <f t="shared" si="1106"/>
        <v>2256328.1660673413</v>
      </c>
      <c r="AK3755" s="201">
        <f t="shared" si="1140"/>
        <v>0.13935739171929745</v>
      </c>
      <c r="AL3755" s="24"/>
      <c r="AM3755" s="24"/>
      <c r="AN3755" s="24"/>
      <c r="AO3755" s="24"/>
      <c r="AP3755" s="165" t="str">
        <f t="shared" si="1141"/>
        <v>20251</v>
      </c>
      <c r="AQ3755" s="203" t="str">
        <f t="shared" si="1142"/>
        <v>20251USD</v>
      </c>
      <c r="AR3755" s="206" t="str">
        <f t="shared" si="1143"/>
        <v>YAMAHA_Mounter</v>
      </c>
      <c r="AS3755" s="22">
        <f t="shared" si="1144"/>
        <v>3</v>
      </c>
      <c r="AT3755" s="24" t="str">
        <f t="shared" si="1145"/>
        <v>0-3 months</v>
      </c>
      <c r="AU3755" s="22" t="s">
        <v>3747</v>
      </c>
    </row>
    <row r="3756" spans="1:47">
      <c r="A3756" s="33" t="str">
        <f t="shared" si="1136"/>
        <v>FY 24/25</v>
      </c>
      <c r="B3756" s="23">
        <v>2024</v>
      </c>
      <c r="C3756" s="23">
        <v>10</v>
      </c>
      <c r="D3756" s="202" t="str">
        <f t="shared" si="1119"/>
        <v>Q3</v>
      </c>
      <c r="E3756" s="33" t="str">
        <f t="shared" si="1135"/>
        <v>FY 24/25</v>
      </c>
      <c r="F3756" s="23">
        <v>2025</v>
      </c>
      <c r="G3756" s="23">
        <v>1</v>
      </c>
      <c r="H3756" s="29"/>
      <c r="I3756" s="204" t="str">
        <f t="shared" si="1137"/>
        <v>Q4</v>
      </c>
      <c r="J3756" s="188" t="s">
        <v>3652</v>
      </c>
      <c r="K3756" s="29" t="s">
        <v>3611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146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123"/>
        <v>1</v>
      </c>
      <c r="Z3756" s="196">
        <f t="shared" si="1124"/>
        <v>73440</v>
      </c>
      <c r="AA3756" s="22">
        <v>7.8</v>
      </c>
      <c r="AB3756" s="197">
        <f t="shared" si="1134"/>
        <v>572832</v>
      </c>
      <c r="AC3756" s="198">
        <f t="shared" si="1138"/>
        <v>96235.776000000013</v>
      </c>
      <c r="AD3756" s="169">
        <v>0.16800000000000001</v>
      </c>
      <c r="AE3756" s="199">
        <f t="shared" si="1139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05"/>
        <v>16190947.162761064</v>
      </c>
      <c r="AJ3756" s="200">
        <f t="shared" si="1106"/>
        <v>2256328.1660673413</v>
      </c>
      <c r="AK3756" s="201">
        <f t="shared" si="1140"/>
        <v>0.13935739171929745</v>
      </c>
      <c r="AL3756" s="24"/>
      <c r="AM3756" s="24"/>
      <c r="AN3756" s="24"/>
      <c r="AO3756" s="24"/>
      <c r="AP3756" s="165" t="str">
        <f t="shared" si="1141"/>
        <v>20251</v>
      </c>
      <c r="AQ3756" s="203" t="str">
        <f t="shared" si="1142"/>
        <v>20251USD</v>
      </c>
      <c r="AR3756" s="206" t="str">
        <f t="shared" si="1143"/>
        <v>YAMAHA_Mounter</v>
      </c>
      <c r="AS3756" s="22">
        <f t="shared" si="1144"/>
        <v>3</v>
      </c>
      <c r="AT3756" s="24" t="str">
        <f t="shared" si="1145"/>
        <v>0-3 months</v>
      </c>
      <c r="AU3756" s="22" t="s">
        <v>3747</v>
      </c>
    </row>
    <row r="3757" spans="1:47">
      <c r="A3757" s="33" t="str">
        <f t="shared" si="1136"/>
        <v>cancel</v>
      </c>
      <c r="B3757" s="23" t="s">
        <v>185</v>
      </c>
      <c r="C3757" s="23" t="s">
        <v>185</v>
      </c>
      <c r="D3757" s="202" t="b">
        <f t="shared" si="1119"/>
        <v>0</v>
      </c>
      <c r="E3757" s="33" t="str">
        <f t="shared" si="1135"/>
        <v>Cancel</v>
      </c>
      <c r="F3757" s="23" t="s">
        <v>185</v>
      </c>
      <c r="G3757" s="23" t="s">
        <v>185</v>
      </c>
      <c r="H3757" s="29"/>
      <c r="I3757" s="204" t="str">
        <f t="shared" si="1137"/>
        <v>Cancel</v>
      </c>
      <c r="J3757" s="188" t="s">
        <v>3588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146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3590</v>
      </c>
      <c r="W3757" s="22" t="s">
        <v>901</v>
      </c>
      <c r="X3757" s="104">
        <v>35000</v>
      </c>
      <c r="Y3757" s="195" t="str">
        <f t="shared" si="1123"/>
        <v>1</v>
      </c>
      <c r="Z3757" s="196">
        <f t="shared" si="1124"/>
        <v>35000</v>
      </c>
      <c r="AA3757" s="22">
        <v>7.8</v>
      </c>
      <c r="AB3757" s="197">
        <f t="shared" si="1134"/>
        <v>273000</v>
      </c>
      <c r="AC3757" s="198">
        <f t="shared" si="1138"/>
        <v>32760</v>
      </c>
      <c r="AD3757" s="169">
        <v>0.12</v>
      </c>
      <c r="AE3757" s="199">
        <f t="shared" si="1139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05"/>
        <v>499582152.5142017</v>
      </c>
      <c r="AJ3757" s="200">
        <f t="shared" si="1106"/>
        <v>59520528.679470733</v>
      </c>
      <c r="AK3757" s="201">
        <f t="shared" si="1140"/>
        <v>0.11914062257814291</v>
      </c>
      <c r="AL3757" s="24"/>
      <c r="AM3757" s="24"/>
      <c r="AN3757" s="24"/>
      <c r="AO3757" s="24"/>
      <c r="AP3757" s="165" t="str">
        <f t="shared" si="1141"/>
        <v>CancelCancel</v>
      </c>
      <c r="AQ3757" s="203" t="str">
        <f t="shared" si="1142"/>
        <v>CancelCancelUSD</v>
      </c>
      <c r="AR3757" s="206" t="str">
        <f t="shared" si="1143"/>
        <v>YAMAHA_Non_Mounter</v>
      </c>
      <c r="AS3757" s="22" t="str">
        <f t="shared" si="1144"/>
        <v/>
      </c>
      <c r="AT3757" s="24" t="str">
        <f t="shared" si="1145"/>
        <v/>
      </c>
      <c r="AU3757" s="22" t="s">
        <v>3240</v>
      </c>
    </row>
    <row r="3758" spans="1:47">
      <c r="A3758" s="33" t="str">
        <f t="shared" si="1136"/>
        <v>cancel</v>
      </c>
      <c r="B3758" s="23" t="s">
        <v>185</v>
      </c>
      <c r="C3758" s="23" t="s">
        <v>185</v>
      </c>
      <c r="D3758" s="202" t="b">
        <f t="shared" si="1119"/>
        <v>0</v>
      </c>
      <c r="E3758" s="33" t="str">
        <f t="shared" si="1135"/>
        <v>Cancel</v>
      </c>
      <c r="F3758" s="23" t="s">
        <v>185</v>
      </c>
      <c r="G3758" s="23" t="s">
        <v>185</v>
      </c>
      <c r="H3758" s="29"/>
      <c r="I3758" s="204" t="str">
        <f t="shared" si="1137"/>
        <v>Cancel</v>
      </c>
      <c r="J3758" s="188" t="s">
        <v>3589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146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3590</v>
      </c>
      <c r="W3758" s="22" t="s">
        <v>901</v>
      </c>
      <c r="X3758" s="104">
        <v>82500</v>
      </c>
      <c r="Y3758" s="195" t="str">
        <f t="shared" si="1123"/>
        <v>1</v>
      </c>
      <c r="Z3758" s="196">
        <f t="shared" si="1124"/>
        <v>82500</v>
      </c>
      <c r="AA3758" s="22">
        <v>7.8</v>
      </c>
      <c r="AB3758" s="197">
        <f t="shared" si="1134"/>
        <v>643500</v>
      </c>
      <c r="AC3758" s="198">
        <f t="shared" si="1138"/>
        <v>77220</v>
      </c>
      <c r="AD3758" s="169">
        <v>0.12</v>
      </c>
      <c r="AE3758" s="199">
        <f t="shared" si="1139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05"/>
        <v>499582152.5142017</v>
      </c>
      <c r="AJ3758" s="200">
        <f t="shared" si="1106"/>
        <v>59520528.679470733</v>
      </c>
      <c r="AK3758" s="201">
        <f t="shared" si="1140"/>
        <v>0.11914062257814291</v>
      </c>
      <c r="AL3758" s="24"/>
      <c r="AM3758" s="24"/>
      <c r="AN3758" s="24"/>
      <c r="AO3758" s="24"/>
      <c r="AP3758" s="165" t="str">
        <f t="shared" si="1141"/>
        <v>CancelCancel</v>
      </c>
      <c r="AQ3758" s="203" t="str">
        <f t="shared" si="1142"/>
        <v>CancelCancelUSD</v>
      </c>
      <c r="AR3758" s="206" t="str">
        <f t="shared" si="1143"/>
        <v>YAMAHA_Non_Mounter</v>
      </c>
      <c r="AS3758" s="22" t="str">
        <f t="shared" si="1144"/>
        <v/>
      </c>
      <c r="AT3758" s="24" t="str">
        <f t="shared" si="1145"/>
        <v/>
      </c>
      <c r="AU3758" s="22" t="s">
        <v>3240</v>
      </c>
    </row>
    <row r="3759" spans="1:47">
      <c r="A3759" s="33" t="str">
        <f t="shared" si="1136"/>
        <v>FY 24/25</v>
      </c>
      <c r="B3759" s="23">
        <v>2024</v>
      </c>
      <c r="C3759" s="23">
        <v>10</v>
      </c>
      <c r="D3759" s="33" t="str">
        <f t="shared" si="1119"/>
        <v>Q3</v>
      </c>
      <c r="E3759" s="33" t="str">
        <f t="shared" si="1135"/>
        <v>FY 24/25</v>
      </c>
      <c r="F3759" s="23">
        <v>2025</v>
      </c>
      <c r="G3759" s="23">
        <v>2</v>
      </c>
      <c r="H3759" s="29"/>
      <c r="I3759" s="93" t="str">
        <f t="shared" si="1137"/>
        <v>Q4</v>
      </c>
      <c r="J3759" s="188" t="s">
        <v>3591</v>
      </c>
      <c r="K3759" s="29" t="s">
        <v>3592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146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123"/>
        <v>1</v>
      </c>
      <c r="Z3759" s="228">
        <f t="shared" si="1124"/>
        <v>13800000</v>
      </c>
      <c r="AA3759" s="22">
        <v>5.11E-2</v>
      </c>
      <c r="AB3759" s="229">
        <f t="shared" si="1134"/>
        <v>705180</v>
      </c>
      <c r="AC3759" s="25">
        <f t="shared" si="1138"/>
        <v>92942.724000000002</v>
      </c>
      <c r="AD3759" s="170">
        <v>0.1318</v>
      </c>
      <c r="AE3759" s="26">
        <f t="shared" si="1139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05"/>
        <v>30691842.970796466</v>
      </c>
      <c r="AJ3759" s="27">
        <f t="shared" si="1106"/>
        <v>4088324.205777524</v>
      </c>
      <c r="AK3759" s="230">
        <f t="shared" si="1140"/>
        <v>0.1332055624573473</v>
      </c>
      <c r="AL3759" s="24"/>
      <c r="AM3759" s="24"/>
      <c r="AN3759" s="24"/>
      <c r="AO3759" s="24"/>
      <c r="AP3759" s="165" t="str">
        <f t="shared" si="1141"/>
        <v>20252</v>
      </c>
      <c r="AQ3759" s="231" t="str">
        <f t="shared" si="1142"/>
        <v>20252JPY</v>
      </c>
      <c r="AR3759" s="232" t="str">
        <f t="shared" si="1143"/>
        <v>YAMAHA_Mounter</v>
      </c>
      <c r="AS3759" s="22">
        <f t="shared" si="1144"/>
        <v>4</v>
      </c>
      <c r="AT3759" s="24" t="str">
        <f t="shared" si="1145"/>
        <v>4-6 months</v>
      </c>
      <c r="AU3759" s="22" t="s">
        <v>3744</v>
      </c>
    </row>
    <row r="3760" spans="1:47">
      <c r="A3760" s="33" t="str">
        <f t="shared" si="1136"/>
        <v>FY 24/25</v>
      </c>
      <c r="B3760" s="23">
        <v>2024</v>
      </c>
      <c r="C3760" s="23">
        <v>10</v>
      </c>
      <c r="D3760" s="33" t="str">
        <f t="shared" si="1119"/>
        <v>Q3</v>
      </c>
      <c r="E3760" s="33" t="str">
        <f t="shared" si="1135"/>
        <v>FY 24/25</v>
      </c>
      <c r="F3760" s="23">
        <v>2025</v>
      </c>
      <c r="G3760" s="23">
        <v>2</v>
      </c>
      <c r="H3760" s="29"/>
      <c r="I3760" s="93" t="str">
        <f t="shared" si="1137"/>
        <v>Q4</v>
      </c>
      <c r="J3760" s="188" t="s">
        <v>3591</v>
      </c>
      <c r="K3760" s="29" t="s">
        <v>3592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146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123"/>
        <v>1</v>
      </c>
      <c r="Z3760" s="228">
        <f t="shared" si="1124"/>
        <v>13800000</v>
      </c>
      <c r="AA3760" s="22">
        <v>5.11E-2</v>
      </c>
      <c r="AB3760" s="229">
        <f t="shared" si="1134"/>
        <v>705180</v>
      </c>
      <c r="AC3760" s="25">
        <f t="shared" si="1138"/>
        <v>92942.724000000002</v>
      </c>
      <c r="AD3760" s="170">
        <v>0.1318</v>
      </c>
      <c r="AE3760" s="26">
        <f t="shared" si="1139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05"/>
        <v>30691842.970796466</v>
      </c>
      <c r="AJ3760" s="27">
        <f t="shared" si="1106"/>
        <v>4088324.205777524</v>
      </c>
      <c r="AK3760" s="230">
        <f t="shared" si="1140"/>
        <v>0.1332055624573473</v>
      </c>
      <c r="AL3760" s="24"/>
      <c r="AM3760" s="24"/>
      <c r="AN3760" s="24"/>
      <c r="AO3760" s="24"/>
      <c r="AP3760" s="165" t="str">
        <f t="shared" si="1141"/>
        <v>20252</v>
      </c>
      <c r="AQ3760" s="231" t="str">
        <f t="shared" si="1142"/>
        <v>20252JPY</v>
      </c>
      <c r="AR3760" s="232" t="str">
        <f t="shared" si="1143"/>
        <v>YAMAHA_Mounter</v>
      </c>
      <c r="AS3760" s="22">
        <f t="shared" si="1144"/>
        <v>4</v>
      </c>
      <c r="AT3760" s="24" t="str">
        <f t="shared" si="1145"/>
        <v>4-6 months</v>
      </c>
      <c r="AU3760" s="22" t="s">
        <v>3744</v>
      </c>
    </row>
    <row r="3761" spans="1:47">
      <c r="A3761" s="33" t="str">
        <f t="shared" si="1136"/>
        <v>FY 24/25</v>
      </c>
      <c r="B3761" s="23">
        <v>2024</v>
      </c>
      <c r="C3761" s="23">
        <v>10</v>
      </c>
      <c r="D3761" s="33" t="str">
        <f t="shared" si="1119"/>
        <v>Q3</v>
      </c>
      <c r="E3761" s="33" t="str">
        <f t="shared" si="1135"/>
        <v>FY 24/25</v>
      </c>
      <c r="F3761" s="23">
        <v>2025</v>
      </c>
      <c r="G3761" s="23">
        <v>2</v>
      </c>
      <c r="H3761" s="29"/>
      <c r="I3761" s="93" t="str">
        <f t="shared" si="1137"/>
        <v>Q4</v>
      </c>
      <c r="J3761" s="188" t="s">
        <v>3591</v>
      </c>
      <c r="K3761" s="29" t="s">
        <v>3592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146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123"/>
        <v>1</v>
      </c>
      <c r="Z3761" s="228">
        <f t="shared" si="1124"/>
        <v>13800000</v>
      </c>
      <c r="AA3761" s="22">
        <v>5.11E-2</v>
      </c>
      <c r="AB3761" s="229">
        <f t="shared" si="1134"/>
        <v>705180</v>
      </c>
      <c r="AC3761" s="25">
        <f t="shared" si="1138"/>
        <v>92942.724000000002</v>
      </c>
      <c r="AD3761" s="170">
        <v>0.1318</v>
      </c>
      <c r="AE3761" s="26">
        <f t="shared" si="1139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05"/>
        <v>30691842.970796466</v>
      </c>
      <c r="AJ3761" s="27">
        <f t="shared" si="1106"/>
        <v>4088324.205777524</v>
      </c>
      <c r="AK3761" s="230">
        <f t="shared" si="1140"/>
        <v>0.1332055624573473</v>
      </c>
      <c r="AL3761" s="24"/>
      <c r="AM3761" s="24"/>
      <c r="AN3761" s="24"/>
      <c r="AO3761" s="24"/>
      <c r="AP3761" s="165" t="str">
        <f t="shared" si="1141"/>
        <v>20252</v>
      </c>
      <c r="AQ3761" s="231" t="str">
        <f t="shared" si="1142"/>
        <v>20252JPY</v>
      </c>
      <c r="AR3761" s="232" t="str">
        <f t="shared" si="1143"/>
        <v>YAMAHA_Mounter</v>
      </c>
      <c r="AS3761" s="22">
        <f t="shared" si="1144"/>
        <v>4</v>
      </c>
      <c r="AT3761" s="24" t="str">
        <f t="shared" si="1145"/>
        <v>4-6 months</v>
      </c>
      <c r="AU3761" s="22" t="s">
        <v>3744</v>
      </c>
    </row>
    <row r="3762" spans="1:47">
      <c r="A3762" s="33" t="str">
        <f t="shared" si="1136"/>
        <v>FY 24/25</v>
      </c>
      <c r="B3762" s="23">
        <v>2024</v>
      </c>
      <c r="C3762" s="23">
        <v>10</v>
      </c>
      <c r="D3762" s="33" t="str">
        <f t="shared" ref="D3762:D3825" si="1147">IF(B3762="","",IF(AND(C3762&gt;=10,C3762&lt;=12),"Q3",IF(AND(C3762&gt;=1,C3762&lt;=3),"Q4",IF(AND(C3762&gt;=7,C3762&lt;=9),"Q2",IF(AND(C3762&gt;=4,C3762&lt;=6),"Q1")))))</f>
        <v>Q3</v>
      </c>
      <c r="E3762" s="33" t="str">
        <f t="shared" si="1135"/>
        <v>FY 24/25</v>
      </c>
      <c r="F3762" s="23">
        <v>2025</v>
      </c>
      <c r="G3762" s="23">
        <v>2</v>
      </c>
      <c r="H3762" s="29"/>
      <c r="I3762" s="93" t="str">
        <f t="shared" si="1137"/>
        <v>Q4</v>
      </c>
      <c r="J3762" s="188" t="s">
        <v>3591</v>
      </c>
      <c r="K3762" s="29" t="s">
        <v>3592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146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123"/>
        <v>1</v>
      </c>
      <c r="Z3762" s="228">
        <f t="shared" ref="Z3762:Z3825" si="1148">IF(X3762="","",X3762*MAX(O3762,N3762))</f>
        <v>13800000</v>
      </c>
      <c r="AA3762" s="22">
        <v>5.11E-2</v>
      </c>
      <c r="AB3762" s="229">
        <f t="shared" si="1134"/>
        <v>705180</v>
      </c>
      <c r="AC3762" s="25">
        <f t="shared" si="1138"/>
        <v>92942.724000000002</v>
      </c>
      <c r="AD3762" s="170">
        <v>0.1318</v>
      </c>
      <c r="AE3762" s="26">
        <f t="shared" si="1139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05"/>
        <v>30691842.970796466</v>
      </c>
      <c r="AJ3762" s="27">
        <f t="shared" si="1106"/>
        <v>4088324.205777524</v>
      </c>
      <c r="AK3762" s="230">
        <f t="shared" si="1140"/>
        <v>0.1332055624573473</v>
      </c>
      <c r="AL3762" s="24"/>
      <c r="AM3762" s="24"/>
      <c r="AN3762" s="24"/>
      <c r="AO3762" s="24"/>
      <c r="AP3762" s="165" t="str">
        <f t="shared" si="1141"/>
        <v>20252</v>
      </c>
      <c r="AQ3762" s="231" t="str">
        <f t="shared" si="1142"/>
        <v>20252JPY</v>
      </c>
      <c r="AR3762" s="232" t="str">
        <f t="shared" si="1143"/>
        <v>YAMAHA_Mounter</v>
      </c>
      <c r="AS3762" s="22">
        <f t="shared" si="1144"/>
        <v>4</v>
      </c>
      <c r="AT3762" s="24" t="str">
        <f t="shared" si="1145"/>
        <v>4-6 months</v>
      </c>
      <c r="AU3762" s="22" t="s">
        <v>3744</v>
      </c>
    </row>
    <row r="3763" spans="1:47">
      <c r="A3763" s="33" t="str">
        <f t="shared" si="1136"/>
        <v>FY 24/25</v>
      </c>
      <c r="B3763" s="23">
        <v>2024</v>
      </c>
      <c r="C3763" s="23">
        <v>10</v>
      </c>
      <c r="D3763" s="33" t="str">
        <f t="shared" si="1147"/>
        <v>Q3</v>
      </c>
      <c r="E3763" s="33" t="str">
        <f t="shared" si="1135"/>
        <v>FY 24/25</v>
      </c>
      <c r="F3763" s="23">
        <v>2025</v>
      </c>
      <c r="G3763" s="23">
        <v>2</v>
      </c>
      <c r="H3763" s="29"/>
      <c r="I3763" s="93" t="str">
        <f t="shared" si="1137"/>
        <v>Q4</v>
      </c>
      <c r="J3763" s="188" t="s">
        <v>3591</v>
      </c>
      <c r="K3763" s="29" t="s">
        <v>3592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146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123"/>
        <v>1</v>
      </c>
      <c r="Z3763" s="228">
        <f t="shared" si="1148"/>
        <v>13800000</v>
      </c>
      <c r="AA3763" s="22">
        <v>5.11E-2</v>
      </c>
      <c r="AB3763" s="229">
        <f t="shared" si="1134"/>
        <v>705180</v>
      </c>
      <c r="AC3763" s="25">
        <f t="shared" si="1138"/>
        <v>92942.724000000002</v>
      </c>
      <c r="AD3763" s="170">
        <v>0.1318</v>
      </c>
      <c r="AE3763" s="26">
        <f t="shared" si="1139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05"/>
        <v>30691842.970796466</v>
      </c>
      <c r="AJ3763" s="27">
        <f t="shared" si="1106"/>
        <v>4088324.205777524</v>
      </c>
      <c r="AK3763" s="230">
        <f t="shared" si="1140"/>
        <v>0.1332055624573473</v>
      </c>
      <c r="AL3763" s="24"/>
      <c r="AM3763" s="24"/>
      <c r="AN3763" s="24"/>
      <c r="AO3763" s="24"/>
      <c r="AP3763" s="165" t="str">
        <f t="shared" si="1141"/>
        <v>20252</v>
      </c>
      <c r="AQ3763" s="231" t="str">
        <f t="shared" si="1142"/>
        <v>20252JPY</v>
      </c>
      <c r="AR3763" s="232" t="str">
        <f t="shared" si="1143"/>
        <v>YAMAHA_Mounter</v>
      </c>
      <c r="AS3763" s="22">
        <f t="shared" si="1144"/>
        <v>4</v>
      </c>
      <c r="AT3763" s="24" t="str">
        <f t="shared" si="1145"/>
        <v>4-6 months</v>
      </c>
      <c r="AU3763" s="22" t="s">
        <v>3744</v>
      </c>
    </row>
    <row r="3764" spans="1:47">
      <c r="A3764" s="33" t="str">
        <f t="shared" si="1136"/>
        <v>FY 24/25</v>
      </c>
      <c r="B3764" s="23">
        <v>2024</v>
      </c>
      <c r="C3764" s="23">
        <v>10</v>
      </c>
      <c r="D3764" s="33" t="str">
        <f t="shared" si="1147"/>
        <v>Q3</v>
      </c>
      <c r="E3764" s="33" t="str">
        <f t="shared" si="1135"/>
        <v>FY 24/25</v>
      </c>
      <c r="F3764" s="23">
        <v>2025</v>
      </c>
      <c r="G3764" s="23">
        <v>2</v>
      </c>
      <c r="H3764" s="29"/>
      <c r="I3764" s="93" t="str">
        <f t="shared" si="1137"/>
        <v>Q4</v>
      </c>
      <c r="J3764" s="188" t="s">
        <v>3591</v>
      </c>
      <c r="K3764" s="29" t="s">
        <v>3592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146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149">IF(W3764="","",IF(W3764="RMB","1.13", "1"))</f>
        <v>1</v>
      </c>
      <c r="Z3764" s="228">
        <f t="shared" si="1148"/>
        <v>13800000</v>
      </c>
      <c r="AA3764" s="22">
        <v>5.11E-2</v>
      </c>
      <c r="AB3764" s="229">
        <f t="shared" si="1134"/>
        <v>705180</v>
      </c>
      <c r="AC3764" s="25">
        <f t="shared" si="1138"/>
        <v>92942.724000000002</v>
      </c>
      <c r="AD3764" s="170">
        <v>0.1318</v>
      </c>
      <c r="AE3764" s="26">
        <f t="shared" si="1139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05"/>
        <v>30691842.970796466</v>
      </c>
      <c r="AJ3764" s="27">
        <f t="shared" si="1106"/>
        <v>4088324.205777524</v>
      </c>
      <c r="AK3764" s="230">
        <f t="shared" si="1140"/>
        <v>0.1332055624573473</v>
      </c>
      <c r="AL3764" s="24"/>
      <c r="AM3764" s="24"/>
      <c r="AN3764" s="24"/>
      <c r="AO3764" s="24"/>
      <c r="AP3764" s="165" t="str">
        <f t="shared" si="1141"/>
        <v>20252</v>
      </c>
      <c r="AQ3764" s="231" t="str">
        <f t="shared" si="1142"/>
        <v>20252JPY</v>
      </c>
      <c r="AR3764" s="232" t="str">
        <f t="shared" si="1143"/>
        <v>YAMAHA_Mounter</v>
      </c>
      <c r="AS3764" s="22">
        <f t="shared" si="1144"/>
        <v>4</v>
      </c>
      <c r="AT3764" s="24" t="str">
        <f t="shared" si="1145"/>
        <v>4-6 months</v>
      </c>
      <c r="AU3764" s="22" t="s">
        <v>3744</v>
      </c>
    </row>
    <row r="3765" spans="1:47">
      <c r="A3765" s="33" t="str">
        <f t="shared" si="1136"/>
        <v>FY 24/25</v>
      </c>
      <c r="B3765" s="23">
        <v>2024</v>
      </c>
      <c r="C3765" s="23">
        <v>10</v>
      </c>
      <c r="D3765" s="33" t="str">
        <f t="shared" si="1147"/>
        <v>Q3</v>
      </c>
      <c r="E3765" s="33" t="str">
        <f t="shared" si="1135"/>
        <v>FY 24/25</v>
      </c>
      <c r="F3765" s="23">
        <v>2025</v>
      </c>
      <c r="G3765" s="23">
        <v>2</v>
      </c>
      <c r="H3765" s="29"/>
      <c r="I3765" s="93" t="str">
        <f t="shared" si="1137"/>
        <v>Q4</v>
      </c>
      <c r="J3765" s="188" t="s">
        <v>3591</v>
      </c>
      <c r="K3765" s="29" t="s">
        <v>3592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146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149"/>
        <v>1</v>
      </c>
      <c r="Z3765" s="228">
        <f t="shared" si="1148"/>
        <v>9920000</v>
      </c>
      <c r="AA3765" s="22">
        <v>5.11E-2</v>
      </c>
      <c r="AB3765" s="229">
        <f t="shared" si="1134"/>
        <v>506912</v>
      </c>
      <c r="AC3765" s="25">
        <f t="shared" si="1138"/>
        <v>66811.001600000003</v>
      </c>
      <c r="AD3765" s="170">
        <v>0.1318</v>
      </c>
      <c r="AE3765" s="26">
        <f t="shared" si="1139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05"/>
        <v>30691842.970796466</v>
      </c>
      <c r="AJ3765" s="27">
        <f t="shared" si="1106"/>
        <v>4088324.205777524</v>
      </c>
      <c r="AK3765" s="230">
        <f t="shared" si="1140"/>
        <v>0.1332055624573473</v>
      </c>
      <c r="AL3765" s="24"/>
      <c r="AM3765" s="24"/>
      <c r="AN3765" s="24"/>
      <c r="AO3765" s="24"/>
      <c r="AP3765" s="165" t="str">
        <f t="shared" si="1141"/>
        <v>20252</v>
      </c>
      <c r="AQ3765" s="231" t="str">
        <f t="shared" si="1142"/>
        <v>20252JPY</v>
      </c>
      <c r="AR3765" s="232" t="str">
        <f t="shared" si="1143"/>
        <v>YAMAHA_Mounter</v>
      </c>
      <c r="AS3765" s="22">
        <f t="shared" si="1144"/>
        <v>4</v>
      </c>
      <c r="AT3765" s="24" t="str">
        <f t="shared" si="1145"/>
        <v>4-6 months</v>
      </c>
      <c r="AU3765" s="22" t="s">
        <v>3744</v>
      </c>
    </row>
    <row r="3766" spans="1:47">
      <c r="A3766" s="33" t="str">
        <f t="shared" si="1136"/>
        <v>FY 24/25</v>
      </c>
      <c r="B3766" s="23">
        <v>2024</v>
      </c>
      <c r="C3766" s="23">
        <v>10</v>
      </c>
      <c r="D3766" s="33" t="str">
        <f t="shared" si="1147"/>
        <v>Q3</v>
      </c>
      <c r="E3766" s="33" t="str">
        <f t="shared" si="1135"/>
        <v>FY 24/25</v>
      </c>
      <c r="F3766" s="23">
        <v>2025</v>
      </c>
      <c r="G3766" s="23">
        <v>2</v>
      </c>
      <c r="H3766" s="29"/>
      <c r="I3766" s="93" t="str">
        <f t="shared" si="1137"/>
        <v>Q4</v>
      </c>
      <c r="J3766" s="188" t="s">
        <v>3591</v>
      </c>
      <c r="K3766" s="29" t="s">
        <v>3592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146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149"/>
        <v>1</v>
      </c>
      <c r="Z3766" s="228">
        <f t="shared" si="1148"/>
        <v>9920000</v>
      </c>
      <c r="AA3766" s="22">
        <v>5.11E-2</v>
      </c>
      <c r="AB3766" s="229">
        <f t="shared" si="1134"/>
        <v>506912</v>
      </c>
      <c r="AC3766" s="25">
        <f t="shared" si="1138"/>
        <v>66811.001600000003</v>
      </c>
      <c r="AD3766" s="170">
        <v>0.1318</v>
      </c>
      <c r="AE3766" s="26">
        <f t="shared" si="1139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05"/>
        <v>30691842.970796466</v>
      </c>
      <c r="AJ3766" s="27">
        <f t="shared" si="1106"/>
        <v>4088324.205777524</v>
      </c>
      <c r="AK3766" s="230">
        <f t="shared" si="1140"/>
        <v>0.1332055624573473</v>
      </c>
      <c r="AL3766" s="24"/>
      <c r="AM3766" s="24"/>
      <c r="AN3766" s="24"/>
      <c r="AO3766" s="24"/>
      <c r="AP3766" s="165" t="str">
        <f t="shared" si="1141"/>
        <v>20252</v>
      </c>
      <c r="AQ3766" s="231" t="str">
        <f t="shared" si="1142"/>
        <v>20252JPY</v>
      </c>
      <c r="AR3766" s="232" t="str">
        <f t="shared" si="1143"/>
        <v>YAMAHA_Mounter</v>
      </c>
      <c r="AS3766" s="22">
        <f t="shared" si="1144"/>
        <v>4</v>
      </c>
      <c r="AT3766" s="24" t="str">
        <f t="shared" si="1145"/>
        <v>4-6 months</v>
      </c>
      <c r="AU3766" s="22" t="s">
        <v>3744</v>
      </c>
    </row>
    <row r="3767" spans="1:47">
      <c r="A3767" s="33" t="str">
        <f t="shared" si="1136"/>
        <v>FY 24/25</v>
      </c>
      <c r="B3767" s="23">
        <v>2024</v>
      </c>
      <c r="C3767" s="23">
        <v>10</v>
      </c>
      <c r="D3767" s="33" t="str">
        <f t="shared" si="1147"/>
        <v>Q3</v>
      </c>
      <c r="E3767" s="33" t="str">
        <f t="shared" si="1135"/>
        <v>FY 24/25</v>
      </c>
      <c r="F3767" s="23">
        <v>2025</v>
      </c>
      <c r="G3767" s="23">
        <v>2</v>
      </c>
      <c r="H3767" s="29"/>
      <c r="I3767" s="93" t="str">
        <f t="shared" si="1137"/>
        <v>Q4</v>
      </c>
      <c r="J3767" s="188" t="s">
        <v>3591</v>
      </c>
      <c r="K3767" s="29" t="s">
        <v>3592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146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149"/>
        <v>1</v>
      </c>
      <c r="Z3767" s="228">
        <f t="shared" si="1148"/>
        <v>9920000</v>
      </c>
      <c r="AA3767" s="22">
        <v>5.11E-2</v>
      </c>
      <c r="AB3767" s="229">
        <f t="shared" si="1134"/>
        <v>506912</v>
      </c>
      <c r="AC3767" s="25">
        <f t="shared" si="1138"/>
        <v>66811.001600000003</v>
      </c>
      <c r="AD3767" s="170">
        <v>0.1318</v>
      </c>
      <c r="AE3767" s="26">
        <f t="shared" si="1139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05"/>
        <v>30691842.970796466</v>
      </c>
      <c r="AJ3767" s="27">
        <f t="shared" si="1106"/>
        <v>4088324.205777524</v>
      </c>
      <c r="AK3767" s="230">
        <f t="shared" si="1140"/>
        <v>0.1332055624573473</v>
      </c>
      <c r="AL3767" s="24"/>
      <c r="AM3767" s="24"/>
      <c r="AN3767" s="24"/>
      <c r="AO3767" s="24"/>
      <c r="AP3767" s="165" t="str">
        <f t="shared" si="1141"/>
        <v>20252</v>
      </c>
      <c r="AQ3767" s="231" t="str">
        <f t="shared" si="1142"/>
        <v>20252JPY</v>
      </c>
      <c r="AR3767" s="232" t="str">
        <f t="shared" si="1143"/>
        <v>YAMAHA_Mounter</v>
      </c>
      <c r="AS3767" s="22">
        <f t="shared" si="1144"/>
        <v>4</v>
      </c>
      <c r="AT3767" s="24" t="str">
        <f t="shared" si="1145"/>
        <v>4-6 months</v>
      </c>
      <c r="AU3767" s="22" t="s">
        <v>3744</v>
      </c>
    </row>
    <row r="3768" spans="1:47">
      <c r="A3768" s="33" t="str">
        <f t="shared" si="1136"/>
        <v>FY 24/25</v>
      </c>
      <c r="B3768" s="23">
        <v>2024</v>
      </c>
      <c r="C3768" s="23">
        <v>10</v>
      </c>
      <c r="D3768" s="33" t="str">
        <f t="shared" si="1147"/>
        <v>Q3</v>
      </c>
      <c r="E3768" s="33" t="str">
        <f t="shared" si="1135"/>
        <v>FY 24/25</v>
      </c>
      <c r="F3768" s="23">
        <v>2025</v>
      </c>
      <c r="G3768" s="23">
        <v>2</v>
      </c>
      <c r="H3768" s="29"/>
      <c r="I3768" s="93" t="str">
        <f t="shared" si="1137"/>
        <v>Q4</v>
      </c>
      <c r="J3768" s="188" t="s">
        <v>3591</v>
      </c>
      <c r="K3768" s="29" t="s">
        <v>3592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146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149"/>
        <v>1</v>
      </c>
      <c r="Z3768" s="228">
        <f t="shared" si="1148"/>
        <v>9920000</v>
      </c>
      <c r="AA3768" s="22">
        <v>5.11E-2</v>
      </c>
      <c r="AB3768" s="229">
        <f t="shared" si="1134"/>
        <v>506912</v>
      </c>
      <c r="AC3768" s="25">
        <f t="shared" si="1138"/>
        <v>66811.001600000003</v>
      </c>
      <c r="AD3768" s="170">
        <v>0.1318</v>
      </c>
      <c r="AE3768" s="26">
        <f t="shared" si="1139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05"/>
        <v>30691842.970796466</v>
      </c>
      <c r="AJ3768" s="27">
        <f t="shared" si="1106"/>
        <v>4088324.205777524</v>
      </c>
      <c r="AK3768" s="230">
        <f t="shared" si="1140"/>
        <v>0.1332055624573473</v>
      </c>
      <c r="AL3768" s="24"/>
      <c r="AM3768" s="24"/>
      <c r="AN3768" s="24"/>
      <c r="AO3768" s="24"/>
      <c r="AP3768" s="165" t="str">
        <f t="shared" si="1141"/>
        <v>20252</v>
      </c>
      <c r="AQ3768" s="231" t="str">
        <f t="shared" si="1142"/>
        <v>20252JPY</v>
      </c>
      <c r="AR3768" s="232" t="str">
        <f t="shared" si="1143"/>
        <v>YAMAHA_Mounter</v>
      </c>
      <c r="AS3768" s="22">
        <f t="shared" si="1144"/>
        <v>4</v>
      </c>
      <c r="AT3768" s="24" t="str">
        <f t="shared" si="1145"/>
        <v>4-6 months</v>
      </c>
      <c r="AU3768" s="22" t="s">
        <v>3744</v>
      </c>
    </row>
    <row r="3769" spans="1:47">
      <c r="A3769" s="33" t="str">
        <f t="shared" si="1136"/>
        <v>FY 24/25</v>
      </c>
      <c r="B3769" s="23">
        <v>2024</v>
      </c>
      <c r="C3769" s="23">
        <v>10</v>
      </c>
      <c r="D3769" s="33" t="str">
        <f t="shared" si="1147"/>
        <v>Q3</v>
      </c>
      <c r="E3769" s="33" t="str">
        <f t="shared" si="1135"/>
        <v>FY 24/25</v>
      </c>
      <c r="F3769" s="23">
        <v>2025</v>
      </c>
      <c r="G3769" s="23">
        <v>2</v>
      </c>
      <c r="H3769" s="29"/>
      <c r="I3769" s="93" t="str">
        <f t="shared" si="1137"/>
        <v>Q4</v>
      </c>
      <c r="J3769" s="188" t="s">
        <v>3591</v>
      </c>
      <c r="K3769" s="29" t="s">
        <v>3592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146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149"/>
        <v>1</v>
      </c>
      <c r="Z3769" s="228">
        <f t="shared" si="1148"/>
        <v>9920000</v>
      </c>
      <c r="AA3769" s="22">
        <v>5.11E-2</v>
      </c>
      <c r="AB3769" s="229">
        <f t="shared" si="1134"/>
        <v>506912</v>
      </c>
      <c r="AC3769" s="25">
        <f t="shared" si="1138"/>
        <v>66811.001600000003</v>
      </c>
      <c r="AD3769" s="170">
        <v>0.1318</v>
      </c>
      <c r="AE3769" s="26">
        <f t="shared" si="1139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05"/>
        <v>30691842.970796466</v>
      </c>
      <c r="AJ3769" s="27">
        <f t="shared" si="1106"/>
        <v>4088324.205777524</v>
      </c>
      <c r="AK3769" s="230">
        <f t="shared" si="1140"/>
        <v>0.1332055624573473</v>
      </c>
      <c r="AL3769" s="24"/>
      <c r="AM3769" s="24"/>
      <c r="AN3769" s="24"/>
      <c r="AO3769" s="24"/>
      <c r="AP3769" s="165" t="str">
        <f t="shared" si="1141"/>
        <v>20252</v>
      </c>
      <c r="AQ3769" s="231" t="str">
        <f t="shared" si="1142"/>
        <v>20252JPY</v>
      </c>
      <c r="AR3769" s="232" t="str">
        <f t="shared" si="1143"/>
        <v>YAMAHA_Mounter</v>
      </c>
      <c r="AS3769" s="22">
        <f t="shared" si="1144"/>
        <v>4</v>
      </c>
      <c r="AT3769" s="24" t="str">
        <f t="shared" si="1145"/>
        <v>4-6 months</v>
      </c>
      <c r="AU3769" s="22" t="s">
        <v>3744</v>
      </c>
    </row>
    <row r="3770" spans="1:47">
      <c r="A3770" s="33" t="str">
        <f t="shared" si="1136"/>
        <v>FY 24/25</v>
      </c>
      <c r="B3770" s="23">
        <v>2024</v>
      </c>
      <c r="C3770" s="23">
        <v>10</v>
      </c>
      <c r="D3770" s="33" t="str">
        <f t="shared" si="1147"/>
        <v>Q3</v>
      </c>
      <c r="E3770" s="33" t="str">
        <f t="shared" si="1135"/>
        <v>FY 24/25</v>
      </c>
      <c r="F3770" s="23">
        <v>2025</v>
      </c>
      <c r="G3770" s="23">
        <v>2</v>
      </c>
      <c r="H3770" s="29"/>
      <c r="I3770" s="93" t="str">
        <f t="shared" si="1137"/>
        <v>Q4</v>
      </c>
      <c r="J3770" s="188" t="s">
        <v>3593</v>
      </c>
      <c r="K3770" s="29" t="s">
        <v>3592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146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149"/>
        <v>1</v>
      </c>
      <c r="Z3770" s="228">
        <f t="shared" si="1148"/>
        <v>7800000</v>
      </c>
      <c r="AA3770" s="22">
        <v>5.11E-2</v>
      </c>
      <c r="AB3770" s="229">
        <f t="shared" si="1134"/>
        <v>398580</v>
      </c>
      <c r="AC3770" s="25">
        <f t="shared" si="1138"/>
        <v>51934.974000000002</v>
      </c>
      <c r="AD3770" s="170">
        <v>0.1303</v>
      </c>
      <c r="AE3770" s="26">
        <f t="shared" si="1139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05"/>
        <v>30691842.970796466</v>
      </c>
      <c r="AJ3770" s="27">
        <f t="shared" si="1106"/>
        <v>4088324.205777524</v>
      </c>
      <c r="AK3770" s="230">
        <f t="shared" si="1140"/>
        <v>0.1332055624573473</v>
      </c>
      <c r="AL3770" s="24"/>
      <c r="AM3770" s="24"/>
      <c r="AN3770" s="24"/>
      <c r="AO3770" s="24"/>
      <c r="AP3770" s="165" t="str">
        <f t="shared" si="1141"/>
        <v>20252</v>
      </c>
      <c r="AQ3770" s="231" t="str">
        <f t="shared" si="1142"/>
        <v>20252JPY</v>
      </c>
      <c r="AR3770" s="232" t="str">
        <f t="shared" si="1143"/>
        <v>YAMAHA_Non_Mounter</v>
      </c>
      <c r="AS3770" s="22">
        <f t="shared" si="1144"/>
        <v>4</v>
      </c>
      <c r="AT3770" s="24" t="str">
        <f t="shared" si="1145"/>
        <v>4-6 months</v>
      </c>
      <c r="AU3770" s="22" t="s">
        <v>3744</v>
      </c>
    </row>
    <row r="3771" spans="1:47">
      <c r="A3771" s="33" t="str">
        <f t="shared" si="1136"/>
        <v>FY 24/25</v>
      </c>
      <c r="B3771" s="23">
        <v>2024</v>
      </c>
      <c r="C3771" s="23">
        <v>11</v>
      </c>
      <c r="D3771" s="33" t="str">
        <f t="shared" si="1147"/>
        <v>Q3</v>
      </c>
      <c r="E3771" s="33" t="str">
        <f t="shared" si="1135"/>
        <v>FY 24/25</v>
      </c>
      <c r="F3771" s="23">
        <v>2024</v>
      </c>
      <c r="G3771" s="23">
        <v>11</v>
      </c>
      <c r="H3771" s="29"/>
      <c r="I3771" s="93" t="str">
        <f t="shared" si="1137"/>
        <v>Q3</v>
      </c>
      <c r="J3771" s="188" t="s">
        <v>3594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146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149"/>
        <v>1</v>
      </c>
      <c r="Z3771" s="228">
        <f t="shared" si="1148"/>
        <v>13500000</v>
      </c>
      <c r="AA3771" s="22">
        <v>5.5599999999999997E-2</v>
      </c>
      <c r="AB3771" s="229">
        <f t="shared" si="1134"/>
        <v>750600</v>
      </c>
      <c r="AC3771" s="25">
        <f t="shared" si="1138"/>
        <v>68304.599999999991</v>
      </c>
      <c r="AD3771" s="169">
        <v>9.0999999999999998E-2</v>
      </c>
      <c r="AE3771" s="26">
        <f t="shared" si="1139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05"/>
        <v>32082250.320460182</v>
      </c>
      <c r="AJ3771" s="27">
        <f t="shared" si="1106"/>
        <v>4323122.9746477893</v>
      </c>
      <c r="AK3771" s="230">
        <f t="shared" si="1140"/>
        <v>0.1347512388147771</v>
      </c>
      <c r="AL3771" s="24"/>
      <c r="AM3771" s="24"/>
      <c r="AN3771" s="24"/>
      <c r="AO3771" s="24"/>
      <c r="AP3771" s="165" t="str">
        <f t="shared" si="1141"/>
        <v>202411</v>
      </c>
      <c r="AQ3771" s="231" t="str">
        <f t="shared" si="1142"/>
        <v>202411JPY</v>
      </c>
      <c r="AR3771" s="232" t="str">
        <f t="shared" si="1143"/>
        <v>YAMAHA_Mounter</v>
      </c>
      <c r="AS3771" s="22">
        <f t="shared" si="1144"/>
        <v>0</v>
      </c>
      <c r="AT3771" s="24" t="str">
        <f t="shared" si="1145"/>
        <v>0-3 months</v>
      </c>
      <c r="AU3771" s="22" t="s">
        <v>3744</v>
      </c>
    </row>
    <row r="3772" spans="1:47">
      <c r="A3772" s="33" t="str">
        <f t="shared" si="1136"/>
        <v>FY 24/25</v>
      </c>
      <c r="B3772" s="23">
        <v>2024</v>
      </c>
      <c r="C3772" s="23">
        <v>11</v>
      </c>
      <c r="D3772" s="33" t="str">
        <f t="shared" si="1147"/>
        <v>Q3</v>
      </c>
      <c r="E3772" s="33" t="str">
        <f t="shared" si="1135"/>
        <v>FY 24/25</v>
      </c>
      <c r="F3772" s="23">
        <v>2024</v>
      </c>
      <c r="G3772" s="23">
        <v>11</v>
      </c>
      <c r="H3772" s="29"/>
      <c r="I3772" s="93" t="str">
        <f t="shared" si="1137"/>
        <v>Q3</v>
      </c>
      <c r="J3772" s="188" t="s">
        <v>3594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146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149"/>
        <v>1</v>
      </c>
      <c r="Z3772" s="228">
        <f t="shared" si="1148"/>
        <v>13500000</v>
      </c>
      <c r="AA3772" s="22">
        <v>5.5599999999999997E-2</v>
      </c>
      <c r="AB3772" s="229">
        <f t="shared" si="1134"/>
        <v>750600</v>
      </c>
      <c r="AC3772" s="25">
        <f t="shared" si="1138"/>
        <v>68304.599999999991</v>
      </c>
      <c r="AD3772" s="169">
        <v>9.0999999999999998E-2</v>
      </c>
      <c r="AE3772" s="26">
        <f t="shared" si="1139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05"/>
        <v>32082250.320460182</v>
      </c>
      <c r="AJ3772" s="27">
        <f t="shared" si="1106"/>
        <v>4323122.9746477893</v>
      </c>
      <c r="AK3772" s="230">
        <f t="shared" si="1140"/>
        <v>0.1347512388147771</v>
      </c>
      <c r="AL3772" s="24"/>
      <c r="AM3772" s="24"/>
      <c r="AN3772" s="24"/>
      <c r="AO3772" s="24"/>
      <c r="AP3772" s="165" t="str">
        <f t="shared" si="1141"/>
        <v>202411</v>
      </c>
      <c r="AQ3772" s="231" t="str">
        <f t="shared" si="1142"/>
        <v>202411JPY</v>
      </c>
      <c r="AR3772" s="232" t="str">
        <f t="shared" si="1143"/>
        <v>YAMAHA_Mounter</v>
      </c>
      <c r="AS3772" s="22">
        <f t="shared" si="1144"/>
        <v>0</v>
      </c>
      <c r="AT3772" s="24" t="str">
        <f t="shared" si="1145"/>
        <v>0-3 months</v>
      </c>
      <c r="AU3772" s="22" t="s">
        <v>3744</v>
      </c>
    </row>
    <row r="3773" spans="1:47">
      <c r="A3773" s="33" t="str">
        <f t="shared" si="1136"/>
        <v>FY 24/25</v>
      </c>
      <c r="B3773" s="23">
        <v>2024</v>
      </c>
      <c r="C3773" s="23">
        <v>11</v>
      </c>
      <c r="D3773" s="33" t="str">
        <f t="shared" si="1147"/>
        <v>Q3</v>
      </c>
      <c r="E3773" s="33" t="str">
        <f t="shared" si="1135"/>
        <v>FY 24/25</v>
      </c>
      <c r="F3773" s="23">
        <v>2024</v>
      </c>
      <c r="G3773" s="23">
        <v>11</v>
      </c>
      <c r="H3773" s="29"/>
      <c r="I3773" s="93" t="str">
        <f t="shared" si="1137"/>
        <v>Q3</v>
      </c>
      <c r="J3773" s="188" t="s">
        <v>3594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146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149"/>
        <v>1</v>
      </c>
      <c r="Z3773" s="228">
        <f t="shared" si="1148"/>
        <v>9500000</v>
      </c>
      <c r="AA3773" s="22">
        <v>5.5599999999999997E-2</v>
      </c>
      <c r="AB3773" s="229">
        <f t="shared" si="1134"/>
        <v>528200</v>
      </c>
      <c r="AC3773" s="25">
        <f t="shared" si="1138"/>
        <v>48066.2</v>
      </c>
      <c r="AD3773" s="169">
        <v>9.0999999999999998E-2</v>
      </c>
      <c r="AE3773" s="26">
        <f t="shared" si="1139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05"/>
        <v>32082250.320460182</v>
      </c>
      <c r="AJ3773" s="27">
        <f t="shared" si="1106"/>
        <v>4323122.9746477893</v>
      </c>
      <c r="AK3773" s="230">
        <f t="shared" si="1140"/>
        <v>0.1347512388147771</v>
      </c>
      <c r="AL3773" s="24"/>
      <c r="AM3773" s="24"/>
      <c r="AN3773" s="24"/>
      <c r="AO3773" s="24"/>
      <c r="AP3773" s="165" t="str">
        <f t="shared" si="1141"/>
        <v>202411</v>
      </c>
      <c r="AQ3773" s="231" t="str">
        <f t="shared" si="1142"/>
        <v>202411JPY</v>
      </c>
      <c r="AR3773" s="232" t="str">
        <f t="shared" si="1143"/>
        <v>YAMAHA_Mounter</v>
      </c>
      <c r="AS3773" s="22">
        <f t="shared" si="1144"/>
        <v>0</v>
      </c>
      <c r="AT3773" s="24" t="str">
        <f t="shared" si="1145"/>
        <v>0-3 months</v>
      </c>
      <c r="AU3773" s="22" t="s">
        <v>3744</v>
      </c>
    </row>
    <row r="3774" spans="1:47">
      <c r="A3774" s="33" t="str">
        <f t="shared" si="1136"/>
        <v>FY 24/25</v>
      </c>
      <c r="B3774" s="23">
        <v>2024</v>
      </c>
      <c r="C3774" s="23">
        <v>11</v>
      </c>
      <c r="D3774" s="33" t="str">
        <f t="shared" si="1147"/>
        <v>Q3</v>
      </c>
      <c r="E3774" s="33" t="str">
        <f t="shared" si="1135"/>
        <v>FY 23/24</v>
      </c>
      <c r="F3774" s="23">
        <v>2024</v>
      </c>
      <c r="G3774" s="23">
        <v>1</v>
      </c>
      <c r="H3774" s="29"/>
      <c r="I3774" s="93" t="str">
        <f t="shared" si="1137"/>
        <v>Q4</v>
      </c>
      <c r="J3774" s="188" t="s">
        <v>3595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146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149"/>
        <v>1.13</v>
      </c>
      <c r="Z3774" s="228">
        <f t="shared" si="1148"/>
        <v>480000</v>
      </c>
      <c r="AA3774" s="22">
        <v>1.0920000000000001</v>
      </c>
      <c r="AB3774" s="229">
        <f t="shared" si="1134"/>
        <v>463858.40707964607</v>
      </c>
      <c r="AC3774" s="25">
        <f t="shared" si="1138"/>
        <v>55663.008849557526</v>
      </c>
      <c r="AD3774" s="169">
        <v>0.12</v>
      </c>
      <c r="AE3774" s="26">
        <f t="shared" si="1139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05"/>
        <v>23146578.081415929</v>
      </c>
      <c r="AJ3774" s="27">
        <f t="shared" si="1106"/>
        <v>2745231.3889985834</v>
      </c>
      <c r="AK3774" s="230">
        <f t="shared" si="1140"/>
        <v>0.11860204041143742</v>
      </c>
      <c r="AL3774" s="24"/>
      <c r="AM3774" s="24"/>
      <c r="AN3774" s="24"/>
      <c r="AO3774" s="24"/>
      <c r="AP3774" s="165" t="str">
        <f t="shared" si="1141"/>
        <v>20241</v>
      </c>
      <c r="AQ3774" s="231" t="str">
        <f t="shared" si="1142"/>
        <v>20241RMB</v>
      </c>
      <c r="AR3774" s="232" t="str">
        <f t="shared" si="1143"/>
        <v>YAMAHA_Mounter</v>
      </c>
      <c r="AS3774" s="22" t="str">
        <f t="shared" si="1144"/>
        <v/>
      </c>
      <c r="AT3774" s="24" t="str">
        <f t="shared" si="1145"/>
        <v/>
      </c>
      <c r="AU3774" s="22" t="s">
        <v>3240</v>
      </c>
    </row>
    <row r="3775" spans="1:47">
      <c r="A3775" s="33" t="str">
        <f t="shared" si="1136"/>
        <v>FY 24/25</v>
      </c>
      <c r="B3775" s="23">
        <v>2024</v>
      </c>
      <c r="C3775" s="23">
        <v>11</v>
      </c>
      <c r="D3775" s="33" t="str">
        <f t="shared" si="1147"/>
        <v>Q3</v>
      </c>
      <c r="E3775" s="33" t="str">
        <f t="shared" si="1135"/>
        <v>FY 24/25</v>
      </c>
      <c r="F3775" s="23">
        <v>2024</v>
      </c>
      <c r="G3775" s="23">
        <v>12</v>
      </c>
      <c r="H3775" s="29"/>
      <c r="I3775" s="93" t="str">
        <f t="shared" si="1137"/>
        <v>Q3</v>
      </c>
      <c r="J3775" s="188" t="s">
        <v>3596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146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149"/>
        <v>1.13</v>
      </c>
      <c r="Z3775" s="228">
        <f t="shared" si="1148"/>
        <v>410000</v>
      </c>
      <c r="AA3775" s="22">
        <v>1.0760000000000001</v>
      </c>
      <c r="AB3775" s="229">
        <f t="shared" si="1134"/>
        <v>390407.07964601781</v>
      </c>
      <c r="AC3775" s="25">
        <f t="shared" si="1138"/>
        <v>32442.828318584077</v>
      </c>
      <c r="AD3775" s="169">
        <v>8.3099999999999993E-2</v>
      </c>
      <c r="AE3775" s="26">
        <f t="shared" si="1139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05"/>
        <v>15965524.256637167</v>
      </c>
      <c r="AJ3775" s="27">
        <f t="shared" si="1106"/>
        <v>2480116.5996584073</v>
      </c>
      <c r="AK3775" s="230">
        <f t="shared" si="1140"/>
        <v>0.15534200817911609</v>
      </c>
      <c r="AL3775" s="24"/>
      <c r="AM3775" s="24"/>
      <c r="AN3775" s="24"/>
      <c r="AO3775" s="24"/>
      <c r="AP3775" s="165" t="str">
        <f t="shared" si="1141"/>
        <v>202412</v>
      </c>
      <c r="AQ3775" s="231" t="str">
        <f t="shared" si="1142"/>
        <v>202412RMB</v>
      </c>
      <c r="AR3775" s="232" t="str">
        <f t="shared" si="1143"/>
        <v>YAMAHA_Mounter</v>
      </c>
      <c r="AS3775" s="22">
        <f t="shared" si="1144"/>
        <v>1</v>
      </c>
      <c r="AT3775" s="24" t="str">
        <f t="shared" si="1145"/>
        <v>0-3 months</v>
      </c>
      <c r="AU3775" s="22" t="s">
        <v>3240</v>
      </c>
    </row>
    <row r="3776" spans="1:47">
      <c r="A3776" s="33" t="str">
        <f t="shared" si="1136"/>
        <v>FY 24/25</v>
      </c>
      <c r="B3776" s="23">
        <v>2024</v>
      </c>
      <c r="C3776" s="23">
        <v>11</v>
      </c>
      <c r="D3776" s="33" t="str">
        <f t="shared" si="1147"/>
        <v>Q3</v>
      </c>
      <c r="E3776" s="33" t="str">
        <f t="shared" si="1135"/>
        <v>FY 24/25</v>
      </c>
      <c r="F3776" s="23">
        <v>2024</v>
      </c>
      <c r="G3776" s="23">
        <v>11</v>
      </c>
      <c r="H3776" s="29"/>
      <c r="I3776" s="93" t="str">
        <f t="shared" si="1137"/>
        <v>Q3</v>
      </c>
      <c r="J3776" s="188" t="s">
        <v>3597</v>
      </c>
      <c r="K3776" s="29" t="s">
        <v>3598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146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149"/>
        <v>1</v>
      </c>
      <c r="Z3776" s="228">
        <f t="shared" si="1148"/>
        <v>12000000</v>
      </c>
      <c r="AA3776" s="22">
        <v>5.1799999999999999E-2</v>
      </c>
      <c r="AB3776" s="229">
        <f t="shared" si="1134"/>
        <v>621600</v>
      </c>
      <c r="AC3776" s="25">
        <f t="shared" si="1138"/>
        <v>63216.72</v>
      </c>
      <c r="AD3776" s="169">
        <v>0.1017</v>
      </c>
      <c r="AE3776" s="26">
        <f t="shared" si="1139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05"/>
        <v>32082250.320460182</v>
      </c>
      <c r="AJ3776" s="27">
        <f t="shared" si="1106"/>
        <v>4323122.9746477893</v>
      </c>
      <c r="AK3776" s="230">
        <f t="shared" si="1140"/>
        <v>0.1347512388147771</v>
      </c>
      <c r="AL3776" s="24"/>
      <c r="AM3776" s="24"/>
      <c r="AN3776" s="24"/>
      <c r="AO3776" s="24"/>
      <c r="AP3776" s="165" t="str">
        <f t="shared" si="1141"/>
        <v>202411</v>
      </c>
      <c r="AQ3776" s="231" t="str">
        <f t="shared" si="1142"/>
        <v>202411JPY</v>
      </c>
      <c r="AR3776" s="232" t="str">
        <f t="shared" si="1143"/>
        <v>YAMAHA_Mounter</v>
      </c>
      <c r="AS3776" s="22">
        <f t="shared" si="1144"/>
        <v>0</v>
      </c>
      <c r="AT3776" s="24" t="str">
        <f t="shared" si="1145"/>
        <v>0-3 months</v>
      </c>
      <c r="AU3776" s="22" t="s">
        <v>3744</v>
      </c>
    </row>
    <row r="3777" spans="1:47" ht="39.6">
      <c r="A3777" s="33" t="str">
        <f t="shared" si="1136"/>
        <v/>
      </c>
      <c r="B3777" s="23"/>
      <c r="C3777" s="23"/>
      <c r="D3777" s="33" t="str">
        <f t="shared" si="1147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137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146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149"/>
        <v/>
      </c>
      <c r="Z3777" s="228" t="str">
        <f t="shared" si="1148"/>
        <v/>
      </c>
      <c r="AA3777" s="22"/>
      <c r="AB3777" s="229">
        <v>0</v>
      </c>
      <c r="AC3777" s="25">
        <f t="shared" si="1138"/>
        <v>0</v>
      </c>
      <c r="AD3777" s="169">
        <v>0.3</v>
      </c>
      <c r="AE3777" s="26">
        <f t="shared" si="1139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05"/>
        <v>22758096.38940867</v>
      </c>
      <c r="AJ3777" s="27">
        <f t="shared" si="1106"/>
        <v>2469357.2298956565</v>
      </c>
      <c r="AK3777" s="230">
        <f t="shared" si="1140"/>
        <v>0.10850455976822666</v>
      </c>
      <c r="AL3777" s="24"/>
      <c r="AM3777" s="24"/>
      <c r="AN3777" s="24"/>
      <c r="AO3777" s="24"/>
      <c r="AP3777" s="165" t="str">
        <f t="shared" si="1141"/>
        <v>202410</v>
      </c>
      <c r="AQ3777" s="231" t="str">
        <f t="shared" si="1142"/>
        <v/>
      </c>
      <c r="AR3777" s="232" t="str">
        <f t="shared" si="1143"/>
        <v>C66 SERVICE</v>
      </c>
      <c r="AS3777" s="22" t="str">
        <f t="shared" si="1144"/>
        <v/>
      </c>
      <c r="AT3777" s="24" t="str">
        <f t="shared" si="1145"/>
        <v/>
      </c>
      <c r="AU3777" s="22">
        <v>0</v>
      </c>
    </row>
    <row r="3778" spans="1:47" ht="39.6">
      <c r="A3778" s="33" t="str">
        <f t="shared" si="1136"/>
        <v/>
      </c>
      <c r="B3778" s="23"/>
      <c r="C3778" s="23"/>
      <c r="D3778" s="33" t="str">
        <f t="shared" si="1147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137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146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149"/>
        <v/>
      </c>
      <c r="Z3778" s="228" t="str">
        <f t="shared" si="1148"/>
        <v/>
      </c>
      <c r="AA3778" s="22"/>
      <c r="AB3778" s="229">
        <v>68000</v>
      </c>
      <c r="AC3778" s="25">
        <f t="shared" si="1138"/>
        <v>20400</v>
      </c>
      <c r="AD3778" s="169">
        <v>0.3</v>
      </c>
      <c r="AE3778" s="26">
        <f t="shared" si="1139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0">IF(P3778="C66 SERVICE","",SUMIFS(AB:AB,F:F,F3778,G:G,G3778,E:E,E3778))</f>
        <v>22758096.38940867</v>
      </c>
      <c r="AJ3778" s="27">
        <f t="shared" ref="AJ3778:AJ3841" si="1151">IF(P3778="C66 SERVICE","",SUMIFS(AC:AC,F:F,F3778,G:G,G3778,E:E,E3778))</f>
        <v>2469357.2298956565</v>
      </c>
      <c r="AK3778" s="230">
        <f t="shared" si="1140"/>
        <v>0.10850455976822666</v>
      </c>
      <c r="AL3778" s="24"/>
      <c r="AM3778" s="24"/>
      <c r="AN3778" s="24"/>
      <c r="AO3778" s="24"/>
      <c r="AP3778" s="165" t="str">
        <f t="shared" si="1141"/>
        <v>202410</v>
      </c>
      <c r="AQ3778" s="231" t="str">
        <f t="shared" si="1142"/>
        <v/>
      </c>
      <c r="AR3778" s="232" t="str">
        <f t="shared" si="1143"/>
        <v>C66 SERVICE</v>
      </c>
      <c r="AS3778" s="22" t="str">
        <f t="shared" si="1144"/>
        <v/>
      </c>
      <c r="AT3778" s="24" t="str">
        <f t="shared" si="1145"/>
        <v/>
      </c>
      <c r="AU3778" s="22">
        <v>0</v>
      </c>
    </row>
    <row r="3779" spans="1:47" ht="39.6">
      <c r="A3779" s="33" t="str">
        <f t="shared" si="1136"/>
        <v/>
      </c>
      <c r="B3779" s="23"/>
      <c r="C3779" s="23"/>
      <c r="D3779" s="33" t="str">
        <f t="shared" si="1147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137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146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149"/>
        <v/>
      </c>
      <c r="Z3779" s="228" t="str">
        <f t="shared" si="1148"/>
        <v/>
      </c>
      <c r="AA3779" s="22"/>
      <c r="AB3779" s="229">
        <v>331000</v>
      </c>
      <c r="AC3779" s="25">
        <f t="shared" si="1138"/>
        <v>99300</v>
      </c>
      <c r="AD3779" s="169">
        <v>0.3</v>
      </c>
      <c r="AE3779" s="26">
        <f t="shared" si="1139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0"/>
        <v>22758096.38940867</v>
      </c>
      <c r="AJ3779" s="27">
        <f t="shared" si="1151"/>
        <v>2469357.2298956565</v>
      </c>
      <c r="AK3779" s="230">
        <f t="shared" si="1140"/>
        <v>0.10850455976822666</v>
      </c>
      <c r="AL3779" s="24"/>
      <c r="AM3779" s="24"/>
      <c r="AN3779" s="24"/>
      <c r="AO3779" s="24"/>
      <c r="AP3779" s="165" t="str">
        <f t="shared" si="1141"/>
        <v>202410</v>
      </c>
      <c r="AQ3779" s="231" t="str">
        <f t="shared" si="1142"/>
        <v/>
      </c>
      <c r="AR3779" s="232" t="str">
        <f t="shared" si="1143"/>
        <v>C66 SERVICE</v>
      </c>
      <c r="AS3779" s="22" t="str">
        <f t="shared" si="1144"/>
        <v/>
      </c>
      <c r="AT3779" s="24" t="str">
        <f t="shared" si="1145"/>
        <v/>
      </c>
      <c r="AU3779" s="22">
        <v>0</v>
      </c>
    </row>
    <row r="3780" spans="1:47" ht="39.6">
      <c r="A3780" s="33" t="str">
        <f t="shared" si="1136"/>
        <v/>
      </c>
      <c r="B3780" s="23"/>
      <c r="C3780" s="23"/>
      <c r="D3780" s="33" t="str">
        <f t="shared" si="1147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137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146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149"/>
        <v/>
      </c>
      <c r="Z3780" s="228" t="str">
        <f t="shared" si="1148"/>
        <v/>
      </c>
      <c r="AA3780" s="22"/>
      <c r="AB3780" s="229">
        <v>471000</v>
      </c>
      <c r="AC3780" s="25">
        <f t="shared" si="1138"/>
        <v>141300</v>
      </c>
      <c r="AD3780" s="169">
        <v>0.3</v>
      </c>
      <c r="AE3780" s="26">
        <f t="shared" si="1139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0"/>
        <v>22758096.38940867</v>
      </c>
      <c r="AJ3780" s="27">
        <f t="shared" si="1151"/>
        <v>2469357.2298956565</v>
      </c>
      <c r="AK3780" s="230">
        <f t="shared" si="1140"/>
        <v>0.10850455976822666</v>
      </c>
      <c r="AL3780" s="24"/>
      <c r="AM3780" s="24"/>
      <c r="AN3780" s="24"/>
      <c r="AO3780" s="24"/>
      <c r="AP3780" s="165" t="str">
        <f t="shared" si="1141"/>
        <v>202410</v>
      </c>
      <c r="AQ3780" s="231" t="str">
        <f t="shared" si="1142"/>
        <v/>
      </c>
      <c r="AR3780" s="232" t="str">
        <f t="shared" si="1143"/>
        <v>C66 SERVICE</v>
      </c>
      <c r="AS3780" s="22" t="str">
        <f t="shared" si="1144"/>
        <v/>
      </c>
      <c r="AT3780" s="24" t="str">
        <f t="shared" si="1145"/>
        <v/>
      </c>
      <c r="AU3780" s="22">
        <v>0</v>
      </c>
    </row>
    <row r="3781" spans="1:47">
      <c r="A3781" s="33" t="str">
        <f t="shared" si="1136"/>
        <v>FY 24/25</v>
      </c>
      <c r="B3781" s="23">
        <v>2024</v>
      </c>
      <c r="C3781" s="23">
        <v>11</v>
      </c>
      <c r="D3781" s="33" t="str">
        <f t="shared" si="1147"/>
        <v>Q3</v>
      </c>
      <c r="E3781" s="33" t="str">
        <f t="shared" si="1135"/>
        <v>FY 24/25</v>
      </c>
      <c r="F3781" s="23">
        <v>2024</v>
      </c>
      <c r="G3781" s="23">
        <v>11</v>
      </c>
      <c r="H3781" s="29"/>
      <c r="I3781" s="93" t="str">
        <f t="shared" si="1137"/>
        <v>Q3</v>
      </c>
      <c r="J3781" s="188" t="s">
        <v>3599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146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149"/>
        <v>1</v>
      </c>
      <c r="Z3781" s="228">
        <f t="shared" si="1148"/>
        <v>13250000</v>
      </c>
      <c r="AA3781" s="22">
        <v>5.1799999999999999E-2</v>
      </c>
      <c r="AB3781" s="229">
        <f t="shared" si="1134"/>
        <v>686350</v>
      </c>
      <c r="AC3781" s="25">
        <f t="shared" si="1138"/>
        <v>75429.865000000005</v>
      </c>
      <c r="AD3781" s="169">
        <v>0.1099</v>
      </c>
      <c r="AE3781" s="26">
        <f t="shared" si="1139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0"/>
        <v>32082250.320460182</v>
      </c>
      <c r="AJ3781" s="27">
        <f t="shared" si="1151"/>
        <v>4323122.9746477893</v>
      </c>
      <c r="AK3781" s="230">
        <f t="shared" si="1140"/>
        <v>0.1347512388147771</v>
      </c>
      <c r="AL3781" s="24"/>
      <c r="AM3781" s="24"/>
      <c r="AN3781" s="24"/>
      <c r="AO3781" s="24"/>
      <c r="AP3781" s="165" t="str">
        <f t="shared" si="1141"/>
        <v>202411</v>
      </c>
      <c r="AQ3781" s="231" t="str">
        <f t="shared" si="1142"/>
        <v>202411JPY</v>
      </c>
      <c r="AR3781" s="232" t="str">
        <f t="shared" si="1143"/>
        <v>YAMAHA_Mounter</v>
      </c>
      <c r="AS3781" s="22">
        <f t="shared" si="1144"/>
        <v>0</v>
      </c>
      <c r="AT3781" s="24" t="str">
        <f t="shared" si="1145"/>
        <v>0-3 months</v>
      </c>
      <c r="AU3781" s="22" t="s">
        <v>3744</v>
      </c>
    </row>
    <row r="3782" spans="1:47">
      <c r="A3782" s="33" t="str">
        <f t="shared" si="1136"/>
        <v>FY 24/25</v>
      </c>
      <c r="B3782" s="23">
        <v>2024</v>
      </c>
      <c r="C3782" s="23">
        <v>11</v>
      </c>
      <c r="D3782" s="33" t="str">
        <f t="shared" si="1147"/>
        <v>Q3</v>
      </c>
      <c r="E3782" s="33" t="str">
        <f t="shared" si="1135"/>
        <v>FY 24/25</v>
      </c>
      <c r="F3782" s="23">
        <v>2024</v>
      </c>
      <c r="G3782" s="23">
        <v>11</v>
      </c>
      <c r="H3782" s="29"/>
      <c r="I3782" s="93" t="str">
        <f t="shared" si="1137"/>
        <v>Q3</v>
      </c>
      <c r="J3782" s="188" t="s">
        <v>3599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146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149"/>
        <v>1</v>
      </c>
      <c r="Z3782" s="228">
        <f t="shared" si="1148"/>
        <v>13250000</v>
      </c>
      <c r="AA3782" s="22">
        <v>5.1799999999999999E-2</v>
      </c>
      <c r="AB3782" s="229">
        <f t="shared" si="1134"/>
        <v>686350</v>
      </c>
      <c r="AC3782" s="25">
        <f t="shared" si="1138"/>
        <v>75429.865000000005</v>
      </c>
      <c r="AD3782" s="169">
        <v>0.1099</v>
      </c>
      <c r="AE3782" s="26">
        <f t="shared" si="1139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0"/>
        <v>32082250.320460182</v>
      </c>
      <c r="AJ3782" s="27">
        <f t="shared" si="1151"/>
        <v>4323122.9746477893</v>
      </c>
      <c r="AK3782" s="230">
        <f t="shared" si="1140"/>
        <v>0.1347512388147771</v>
      </c>
      <c r="AL3782" s="24"/>
      <c r="AM3782" s="24"/>
      <c r="AN3782" s="24"/>
      <c r="AO3782" s="24"/>
      <c r="AP3782" s="165" t="str">
        <f t="shared" si="1141"/>
        <v>202411</v>
      </c>
      <c r="AQ3782" s="231" t="str">
        <f t="shared" si="1142"/>
        <v>202411JPY</v>
      </c>
      <c r="AR3782" s="232" t="str">
        <f t="shared" si="1143"/>
        <v>YAMAHA_Mounter</v>
      </c>
      <c r="AS3782" s="22">
        <f t="shared" si="1144"/>
        <v>0</v>
      </c>
      <c r="AT3782" s="24" t="str">
        <f t="shared" si="1145"/>
        <v>0-3 months</v>
      </c>
      <c r="AU3782" s="22" t="s">
        <v>3744</v>
      </c>
    </row>
    <row r="3783" spans="1:47">
      <c r="A3783" s="33" t="str">
        <f t="shared" si="1136"/>
        <v>FY 24/25</v>
      </c>
      <c r="B3783" s="23">
        <v>2024</v>
      </c>
      <c r="C3783" s="23">
        <v>11</v>
      </c>
      <c r="D3783" s="33" t="str">
        <f t="shared" si="1147"/>
        <v>Q3</v>
      </c>
      <c r="E3783" s="33" t="str">
        <f t="shared" si="1135"/>
        <v>FY 24/25</v>
      </c>
      <c r="F3783" s="23">
        <v>2024</v>
      </c>
      <c r="G3783" s="23">
        <v>11</v>
      </c>
      <c r="H3783" s="29"/>
      <c r="I3783" s="93" t="str">
        <f t="shared" si="1137"/>
        <v>Q3</v>
      </c>
      <c r="J3783" s="188" t="s">
        <v>3599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146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149"/>
        <v>1</v>
      </c>
      <c r="Z3783" s="228">
        <f t="shared" si="1148"/>
        <v>13250000</v>
      </c>
      <c r="AA3783" s="22">
        <v>5.1799999999999999E-2</v>
      </c>
      <c r="AB3783" s="229">
        <f t="shared" si="1134"/>
        <v>686350</v>
      </c>
      <c r="AC3783" s="25">
        <f t="shared" si="1138"/>
        <v>75429.865000000005</v>
      </c>
      <c r="AD3783" s="169">
        <v>0.1099</v>
      </c>
      <c r="AE3783" s="26">
        <f t="shared" si="1139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0"/>
        <v>32082250.320460182</v>
      </c>
      <c r="AJ3783" s="27">
        <f t="shared" si="1151"/>
        <v>4323122.9746477893</v>
      </c>
      <c r="AK3783" s="230">
        <f t="shared" si="1140"/>
        <v>0.1347512388147771</v>
      </c>
      <c r="AL3783" s="24"/>
      <c r="AM3783" s="24"/>
      <c r="AN3783" s="24"/>
      <c r="AO3783" s="24"/>
      <c r="AP3783" s="165" t="str">
        <f t="shared" si="1141"/>
        <v>202411</v>
      </c>
      <c r="AQ3783" s="231" t="str">
        <f t="shared" si="1142"/>
        <v>202411JPY</v>
      </c>
      <c r="AR3783" s="232" t="str">
        <f t="shared" si="1143"/>
        <v>YAMAHA_Mounter</v>
      </c>
      <c r="AS3783" s="22">
        <f t="shared" si="1144"/>
        <v>0</v>
      </c>
      <c r="AT3783" s="24" t="str">
        <f t="shared" si="1145"/>
        <v>0-3 months</v>
      </c>
      <c r="AU3783" s="22" t="s">
        <v>3744</v>
      </c>
    </row>
    <row r="3784" spans="1:47">
      <c r="A3784" s="33" t="str">
        <f t="shared" si="1136"/>
        <v>FY 24/25</v>
      </c>
      <c r="B3784" s="23">
        <v>2024</v>
      </c>
      <c r="C3784" s="23">
        <v>11</v>
      </c>
      <c r="D3784" s="33" t="str">
        <f t="shared" si="1147"/>
        <v>Q3</v>
      </c>
      <c r="E3784" s="33" t="str">
        <f t="shared" si="1135"/>
        <v>FY 24/25</v>
      </c>
      <c r="F3784" s="23">
        <v>2024</v>
      </c>
      <c r="G3784" s="23">
        <v>11</v>
      </c>
      <c r="H3784" s="29"/>
      <c r="I3784" s="93" t="str">
        <f t="shared" si="1137"/>
        <v>Q3</v>
      </c>
      <c r="J3784" s="188" t="s">
        <v>3599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146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149"/>
        <v>1</v>
      </c>
      <c r="Z3784" s="228">
        <f t="shared" si="1148"/>
        <v>13250000</v>
      </c>
      <c r="AA3784" s="22">
        <v>5.1799999999999999E-2</v>
      </c>
      <c r="AB3784" s="229">
        <f t="shared" si="1134"/>
        <v>686350</v>
      </c>
      <c r="AC3784" s="25">
        <f t="shared" si="1138"/>
        <v>75429.865000000005</v>
      </c>
      <c r="AD3784" s="169">
        <v>0.1099</v>
      </c>
      <c r="AE3784" s="26">
        <f t="shared" si="1139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0"/>
        <v>32082250.320460182</v>
      </c>
      <c r="AJ3784" s="27">
        <f t="shared" si="1151"/>
        <v>4323122.9746477893</v>
      </c>
      <c r="AK3784" s="230">
        <f t="shared" si="1140"/>
        <v>0.1347512388147771</v>
      </c>
      <c r="AL3784" s="24"/>
      <c r="AM3784" s="24"/>
      <c r="AN3784" s="24"/>
      <c r="AO3784" s="24"/>
      <c r="AP3784" s="165" t="str">
        <f t="shared" si="1141"/>
        <v>202411</v>
      </c>
      <c r="AQ3784" s="231" t="str">
        <f t="shared" si="1142"/>
        <v>202411JPY</v>
      </c>
      <c r="AR3784" s="232" t="str">
        <f t="shared" si="1143"/>
        <v>YAMAHA_Mounter</v>
      </c>
      <c r="AS3784" s="22">
        <f t="shared" si="1144"/>
        <v>0</v>
      </c>
      <c r="AT3784" s="24" t="str">
        <f t="shared" si="1145"/>
        <v>0-3 months</v>
      </c>
      <c r="AU3784" s="22" t="s">
        <v>3744</v>
      </c>
    </row>
    <row r="3785" spans="1:47">
      <c r="A3785" s="33" t="str">
        <f t="shared" si="1136"/>
        <v>FY 24/25</v>
      </c>
      <c r="B3785" s="23">
        <v>2024</v>
      </c>
      <c r="C3785" s="23">
        <v>11</v>
      </c>
      <c r="D3785" s="33" t="str">
        <f t="shared" si="1147"/>
        <v>Q3</v>
      </c>
      <c r="E3785" s="33" t="str">
        <f t="shared" si="1135"/>
        <v>FY 24/25</v>
      </c>
      <c r="F3785" s="23">
        <v>2024</v>
      </c>
      <c r="G3785" s="23">
        <v>11</v>
      </c>
      <c r="H3785" s="29"/>
      <c r="I3785" s="93" t="str">
        <f t="shared" si="1137"/>
        <v>Q3</v>
      </c>
      <c r="J3785" s="188" t="s">
        <v>3600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146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149"/>
        <v>1</v>
      </c>
      <c r="Z3785" s="228">
        <f t="shared" si="1148"/>
        <v>12250000</v>
      </c>
      <c r="AA3785" s="22">
        <v>5.1799999999999999E-2</v>
      </c>
      <c r="AB3785" s="229">
        <f t="shared" si="1134"/>
        <v>634550</v>
      </c>
      <c r="AC3785" s="25">
        <f t="shared" si="1138"/>
        <v>76844.005000000005</v>
      </c>
      <c r="AD3785" s="169">
        <v>0.1211</v>
      </c>
      <c r="AE3785" s="26">
        <f t="shared" si="1139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0"/>
        <v>32082250.320460182</v>
      </c>
      <c r="AJ3785" s="27">
        <f t="shared" si="1151"/>
        <v>4323122.9746477893</v>
      </c>
      <c r="AK3785" s="230">
        <f t="shared" si="1140"/>
        <v>0.1347512388147771</v>
      </c>
      <c r="AL3785" s="24"/>
      <c r="AM3785" s="24"/>
      <c r="AN3785" s="24"/>
      <c r="AO3785" s="24"/>
      <c r="AP3785" s="165" t="str">
        <f t="shared" si="1141"/>
        <v>202411</v>
      </c>
      <c r="AQ3785" s="231" t="str">
        <f t="shared" si="1142"/>
        <v>202411JPY</v>
      </c>
      <c r="AR3785" s="232" t="str">
        <f t="shared" si="1143"/>
        <v>YAMAHA_Mounter</v>
      </c>
      <c r="AS3785" s="22">
        <f t="shared" si="1144"/>
        <v>0</v>
      </c>
      <c r="AT3785" s="24" t="str">
        <f t="shared" si="1145"/>
        <v>0-3 months</v>
      </c>
      <c r="AU3785" s="22" t="s">
        <v>3744</v>
      </c>
    </row>
    <row r="3786" spans="1:47">
      <c r="A3786" s="33" t="str">
        <f t="shared" si="1136"/>
        <v>FY 24/25</v>
      </c>
      <c r="B3786" s="23">
        <v>2024</v>
      </c>
      <c r="C3786" s="23">
        <v>11</v>
      </c>
      <c r="D3786" s="33" t="str">
        <f t="shared" si="1147"/>
        <v>Q3</v>
      </c>
      <c r="E3786" s="33" t="str">
        <f t="shared" si="1135"/>
        <v>FY 24/25</v>
      </c>
      <c r="F3786" s="23">
        <v>2025</v>
      </c>
      <c r="G3786" s="23">
        <v>3</v>
      </c>
      <c r="H3786" s="29"/>
      <c r="I3786" s="93" t="str">
        <f t="shared" si="1137"/>
        <v>Q4</v>
      </c>
      <c r="J3786" s="188" t="s">
        <v>3601</v>
      </c>
      <c r="K3786" s="29" t="s">
        <v>3602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146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3603</v>
      </c>
      <c r="W3786" s="22" t="s">
        <v>109</v>
      </c>
      <c r="X3786" s="104">
        <v>16200000</v>
      </c>
      <c r="Y3786" s="31" t="str">
        <f t="shared" si="1149"/>
        <v>1</v>
      </c>
      <c r="Z3786" s="228">
        <f t="shared" si="1148"/>
        <v>16200000</v>
      </c>
      <c r="AA3786" s="22">
        <v>5.2999999999999999E-2</v>
      </c>
      <c r="AB3786" s="229">
        <f t="shared" si="1134"/>
        <v>858600</v>
      </c>
      <c r="AC3786" s="25">
        <f t="shared" si="1138"/>
        <v>102430.98</v>
      </c>
      <c r="AD3786" s="169">
        <v>0.1193</v>
      </c>
      <c r="AE3786" s="26">
        <f t="shared" si="1139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0"/>
        <v>18296867.955752224</v>
      </c>
      <c r="AJ3786" s="27">
        <f t="shared" si="1151"/>
        <v>2173426.9949823013</v>
      </c>
      <c r="AK3786" s="230">
        <f t="shared" si="1140"/>
        <v>0.11878683281960357</v>
      </c>
      <c r="AL3786" s="24"/>
      <c r="AM3786" s="24"/>
      <c r="AN3786" s="24"/>
      <c r="AO3786" s="24"/>
      <c r="AP3786" s="165" t="str">
        <f t="shared" si="1141"/>
        <v>20253</v>
      </c>
      <c r="AQ3786" s="231" t="str">
        <f t="shared" si="1142"/>
        <v>20253JPY</v>
      </c>
      <c r="AR3786" s="232" t="str">
        <f t="shared" si="1143"/>
        <v>YAMAHA_Mounter</v>
      </c>
      <c r="AS3786" s="22">
        <f t="shared" si="1144"/>
        <v>4</v>
      </c>
      <c r="AT3786" s="24" t="str">
        <f t="shared" si="1145"/>
        <v>4-6 months</v>
      </c>
      <c r="AU3786" s="22" t="s">
        <v>3744</v>
      </c>
    </row>
    <row r="3787" spans="1:47">
      <c r="A3787" s="33" t="str">
        <f t="shared" si="1136"/>
        <v>FY 24/25</v>
      </c>
      <c r="B3787" s="23">
        <v>2024</v>
      </c>
      <c r="C3787" s="23">
        <v>11</v>
      </c>
      <c r="D3787" s="33" t="str">
        <f t="shared" si="1147"/>
        <v>Q3</v>
      </c>
      <c r="E3787" s="33" t="str">
        <f t="shared" si="1135"/>
        <v>FY 24/25</v>
      </c>
      <c r="F3787" s="23">
        <v>2025</v>
      </c>
      <c r="G3787" s="23">
        <v>3</v>
      </c>
      <c r="H3787" s="29"/>
      <c r="I3787" s="93" t="str">
        <f t="shared" si="1137"/>
        <v>Q4</v>
      </c>
      <c r="J3787" s="188" t="s">
        <v>3601</v>
      </c>
      <c r="K3787" s="29" t="s">
        <v>3602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146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3603</v>
      </c>
      <c r="W3787" s="22" t="s">
        <v>109</v>
      </c>
      <c r="X3787" s="104">
        <v>8000000</v>
      </c>
      <c r="Y3787" s="31" t="str">
        <f t="shared" si="1149"/>
        <v>1</v>
      </c>
      <c r="Z3787" s="228">
        <f t="shared" si="1148"/>
        <v>8000000</v>
      </c>
      <c r="AA3787" s="22">
        <v>5.2999999999999999E-2</v>
      </c>
      <c r="AB3787" s="229">
        <f t="shared" si="1134"/>
        <v>424000</v>
      </c>
      <c r="AC3787" s="25">
        <f t="shared" si="1138"/>
        <v>50583.200000000004</v>
      </c>
      <c r="AD3787" s="169">
        <v>0.1193</v>
      </c>
      <c r="AE3787" s="26">
        <f t="shared" si="1139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0"/>
        <v>18296867.955752224</v>
      </c>
      <c r="AJ3787" s="27">
        <f t="shared" si="1151"/>
        <v>2173426.9949823013</v>
      </c>
      <c r="AK3787" s="230">
        <f t="shared" si="1140"/>
        <v>0.11878683281960357</v>
      </c>
      <c r="AL3787" s="24"/>
      <c r="AM3787" s="24"/>
      <c r="AN3787" s="24"/>
      <c r="AO3787" s="24"/>
      <c r="AP3787" s="165" t="str">
        <f t="shared" si="1141"/>
        <v>20253</v>
      </c>
      <c r="AQ3787" s="231" t="str">
        <f t="shared" si="1142"/>
        <v>20253JPY</v>
      </c>
      <c r="AR3787" s="232" t="str">
        <f t="shared" si="1143"/>
        <v>YAMAHA_Mounter</v>
      </c>
      <c r="AS3787" s="22">
        <f t="shared" si="1144"/>
        <v>4</v>
      </c>
      <c r="AT3787" s="24" t="str">
        <f t="shared" si="1145"/>
        <v>4-6 months</v>
      </c>
      <c r="AU3787" s="22" t="s">
        <v>3744</v>
      </c>
    </row>
    <row r="3788" spans="1:47">
      <c r="A3788" s="33" t="str">
        <f t="shared" si="1136"/>
        <v>FY 24/25</v>
      </c>
      <c r="B3788" s="23">
        <v>2024</v>
      </c>
      <c r="C3788" s="23">
        <v>11</v>
      </c>
      <c r="D3788" s="33" t="str">
        <f t="shared" si="1147"/>
        <v>Q3</v>
      </c>
      <c r="E3788" s="33" t="str">
        <f t="shared" si="1135"/>
        <v>FY 24/25</v>
      </c>
      <c r="F3788" s="23">
        <v>2024</v>
      </c>
      <c r="G3788" s="23">
        <v>12</v>
      </c>
      <c r="H3788" s="29"/>
      <c r="I3788" s="93" t="str">
        <f t="shared" si="1137"/>
        <v>Q3</v>
      </c>
      <c r="J3788" s="188" t="s">
        <v>3604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146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149"/>
        <v>1</v>
      </c>
      <c r="Z3788" s="228">
        <f t="shared" si="1148"/>
        <v>16580000</v>
      </c>
      <c r="AA3788" s="22">
        <v>5.2900000000000003E-2</v>
      </c>
      <c r="AB3788" s="229">
        <f t="shared" si="1134"/>
        <v>877082</v>
      </c>
      <c r="AC3788" s="25">
        <f t="shared" si="1138"/>
        <v>119897.10939999999</v>
      </c>
      <c r="AD3788" s="169">
        <v>0.13669999999999999</v>
      </c>
      <c r="AE3788" s="26">
        <f t="shared" si="1139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0"/>
        <v>15965524.256637167</v>
      </c>
      <c r="AJ3788" s="27">
        <f t="shared" si="1151"/>
        <v>2480116.5996584073</v>
      </c>
      <c r="AK3788" s="230">
        <f t="shared" si="1140"/>
        <v>0.15534200817911609</v>
      </c>
      <c r="AL3788" s="24"/>
      <c r="AM3788" s="24"/>
      <c r="AN3788" s="24"/>
      <c r="AO3788" s="24"/>
      <c r="AP3788" s="165" t="str">
        <f t="shared" si="1141"/>
        <v>202412</v>
      </c>
      <c r="AQ3788" s="231" t="str">
        <f t="shared" si="1142"/>
        <v>202412JPY</v>
      </c>
      <c r="AR3788" s="232" t="str">
        <f t="shared" si="1143"/>
        <v>YAMAHA_Mounter</v>
      </c>
      <c r="AS3788" s="22">
        <f t="shared" si="1144"/>
        <v>1</v>
      </c>
      <c r="AT3788" s="24" t="str">
        <f t="shared" si="1145"/>
        <v>0-3 months</v>
      </c>
      <c r="AU3788" s="22" t="s">
        <v>3744</v>
      </c>
    </row>
    <row r="3789" spans="1:47">
      <c r="A3789" s="33" t="str">
        <f t="shared" si="1136"/>
        <v>FY 24/25</v>
      </c>
      <c r="B3789" s="23">
        <v>2024</v>
      </c>
      <c r="C3789" s="23">
        <v>11</v>
      </c>
      <c r="D3789" s="33" t="str">
        <f t="shared" si="1147"/>
        <v>Q3</v>
      </c>
      <c r="E3789" s="33" t="str">
        <f t="shared" si="1135"/>
        <v>FY 24/25</v>
      </c>
      <c r="F3789" s="23">
        <v>2024</v>
      </c>
      <c r="G3789" s="23">
        <v>12</v>
      </c>
      <c r="H3789" s="29"/>
      <c r="I3789" s="93" t="str">
        <f t="shared" si="1137"/>
        <v>Q3</v>
      </c>
      <c r="J3789" s="188" t="s">
        <v>3605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146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149"/>
        <v>1</v>
      </c>
      <c r="Z3789" s="228">
        <f t="shared" si="1148"/>
        <v>12450000</v>
      </c>
      <c r="AA3789" s="22">
        <v>5.2900000000000003E-2</v>
      </c>
      <c r="AB3789" s="229">
        <f t="shared" si="1134"/>
        <v>658605</v>
      </c>
      <c r="AC3789" s="25">
        <f t="shared" si="1138"/>
        <v>61052.683500000006</v>
      </c>
      <c r="AD3789" s="169">
        <v>9.2700000000000005E-2</v>
      </c>
      <c r="AE3789" s="26">
        <f t="shared" si="1139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0"/>
        <v>15965524.256637167</v>
      </c>
      <c r="AJ3789" s="27">
        <f t="shared" si="1151"/>
        <v>2480116.5996584073</v>
      </c>
      <c r="AK3789" s="230">
        <f t="shared" si="1140"/>
        <v>0.15534200817911609</v>
      </c>
      <c r="AL3789" s="24"/>
      <c r="AM3789" s="24"/>
      <c r="AN3789" s="24"/>
      <c r="AO3789" s="24"/>
      <c r="AP3789" s="165" t="str">
        <f t="shared" si="1141"/>
        <v>202412</v>
      </c>
      <c r="AQ3789" s="231" t="str">
        <f t="shared" si="1142"/>
        <v>202412JPY</v>
      </c>
      <c r="AR3789" s="232" t="str">
        <f t="shared" si="1143"/>
        <v>YAMAHA_Mounter</v>
      </c>
      <c r="AS3789" s="22">
        <f t="shared" si="1144"/>
        <v>1</v>
      </c>
      <c r="AT3789" s="24" t="str">
        <f t="shared" si="1145"/>
        <v>0-3 months</v>
      </c>
      <c r="AU3789" s="22" t="s">
        <v>3744</v>
      </c>
    </row>
    <row r="3790" spans="1:47">
      <c r="A3790" s="33" t="str">
        <f t="shared" si="1136"/>
        <v>FY 24/25</v>
      </c>
      <c r="B3790" s="23">
        <v>2024</v>
      </c>
      <c r="C3790" s="23">
        <v>11</v>
      </c>
      <c r="D3790" s="33" t="str">
        <f t="shared" si="1147"/>
        <v>Q3</v>
      </c>
      <c r="E3790" s="33" t="str">
        <f t="shared" si="1135"/>
        <v>FY 25/26</v>
      </c>
      <c r="F3790" s="23">
        <v>2025</v>
      </c>
      <c r="G3790" s="23">
        <v>4</v>
      </c>
      <c r="H3790" s="29"/>
      <c r="I3790" s="93" t="str">
        <f t="shared" si="1137"/>
        <v>Q1</v>
      </c>
      <c r="J3790" s="188" t="s">
        <v>3605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146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149"/>
        <v>1</v>
      </c>
      <c r="Z3790" s="228">
        <f t="shared" si="1148"/>
        <v>12450000</v>
      </c>
      <c r="AA3790" s="22">
        <v>5.3100000000000001E-2</v>
      </c>
      <c r="AB3790" s="229">
        <f t="shared" si="1134"/>
        <v>661095</v>
      </c>
      <c r="AC3790" s="25">
        <f t="shared" si="1138"/>
        <v>79331.399999999994</v>
      </c>
      <c r="AD3790" s="169">
        <v>0.12</v>
      </c>
      <c r="AE3790" s="26">
        <f t="shared" si="1139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0"/>
        <v>32703423.380530968</v>
      </c>
      <c r="AJ3790" s="27">
        <f t="shared" si="1151"/>
        <v>3885921.2623008853</v>
      </c>
      <c r="AK3790" s="230">
        <f t="shared" si="1140"/>
        <v>0.118823072957379</v>
      </c>
      <c r="AL3790" s="24"/>
      <c r="AM3790" s="24"/>
      <c r="AN3790" s="24"/>
      <c r="AO3790" s="24"/>
      <c r="AP3790" s="165" t="str">
        <f t="shared" si="1141"/>
        <v>20254</v>
      </c>
      <c r="AQ3790" s="231" t="str">
        <f t="shared" si="1142"/>
        <v>20254JPY</v>
      </c>
      <c r="AR3790" s="232" t="str">
        <f t="shared" si="1143"/>
        <v>YAMAHA_Mounter</v>
      </c>
      <c r="AS3790" s="22">
        <f t="shared" si="1144"/>
        <v>5</v>
      </c>
      <c r="AT3790" s="24" t="str">
        <f t="shared" si="1145"/>
        <v>4-6 months</v>
      </c>
      <c r="AU3790" s="22" t="s">
        <v>3744</v>
      </c>
    </row>
    <row r="3791" spans="1:47">
      <c r="A3791" s="33" t="str">
        <f t="shared" si="1136"/>
        <v>FY 24/25</v>
      </c>
      <c r="B3791" s="23">
        <v>2024</v>
      </c>
      <c r="C3791" s="23">
        <v>11</v>
      </c>
      <c r="D3791" s="33" t="str">
        <f t="shared" si="1147"/>
        <v>Q3</v>
      </c>
      <c r="E3791" s="33" t="str">
        <f t="shared" si="1135"/>
        <v>FY 25/26</v>
      </c>
      <c r="F3791" s="23">
        <v>2025</v>
      </c>
      <c r="G3791" s="23">
        <v>4</v>
      </c>
      <c r="H3791" s="29"/>
      <c r="I3791" s="93" t="str">
        <f t="shared" si="1137"/>
        <v>Q1</v>
      </c>
      <c r="J3791" s="188" t="s">
        <v>3605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146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149"/>
        <v>1</v>
      </c>
      <c r="Z3791" s="228">
        <f t="shared" si="1148"/>
        <v>12450000</v>
      </c>
      <c r="AA3791" s="22">
        <v>5.3100000000000001E-2</v>
      </c>
      <c r="AB3791" s="229">
        <f t="shared" si="1134"/>
        <v>661095</v>
      </c>
      <c r="AC3791" s="25">
        <f t="shared" si="1138"/>
        <v>79331.399999999994</v>
      </c>
      <c r="AD3791" s="169">
        <v>0.12</v>
      </c>
      <c r="AE3791" s="26">
        <f t="shared" si="1139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0"/>
        <v>32703423.380530968</v>
      </c>
      <c r="AJ3791" s="27">
        <f t="shared" si="1151"/>
        <v>3885921.2623008853</v>
      </c>
      <c r="AK3791" s="230">
        <f t="shared" si="1140"/>
        <v>0.118823072957379</v>
      </c>
      <c r="AL3791" s="24"/>
      <c r="AM3791" s="24"/>
      <c r="AN3791" s="24"/>
      <c r="AO3791" s="24"/>
      <c r="AP3791" s="165" t="str">
        <f t="shared" si="1141"/>
        <v>20254</v>
      </c>
      <c r="AQ3791" s="231" t="str">
        <f t="shared" si="1142"/>
        <v>20254JPY</v>
      </c>
      <c r="AR3791" s="232" t="str">
        <f t="shared" si="1143"/>
        <v>YAMAHA_Mounter</v>
      </c>
      <c r="AS3791" s="22">
        <f t="shared" si="1144"/>
        <v>5</v>
      </c>
      <c r="AT3791" s="24" t="str">
        <f t="shared" si="1145"/>
        <v>4-6 months</v>
      </c>
      <c r="AU3791" s="22" t="s">
        <v>3744</v>
      </c>
    </row>
    <row r="3792" spans="1:47">
      <c r="A3792" s="33" t="str">
        <f t="shared" si="1136"/>
        <v>FY 24/25</v>
      </c>
      <c r="B3792" s="23">
        <v>2024</v>
      </c>
      <c r="C3792" s="23">
        <v>11</v>
      </c>
      <c r="D3792" s="33" t="str">
        <f t="shared" si="1147"/>
        <v>Q3</v>
      </c>
      <c r="E3792" s="33" t="str">
        <f t="shared" si="1135"/>
        <v>Cancel</v>
      </c>
      <c r="F3792" s="23" t="s">
        <v>185</v>
      </c>
      <c r="G3792" s="23" t="s">
        <v>185</v>
      </c>
      <c r="H3792" s="29"/>
      <c r="I3792" s="93" t="str">
        <f t="shared" si="1137"/>
        <v>Cancel</v>
      </c>
      <c r="J3792" s="188" t="s">
        <v>3606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146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149"/>
        <v>1</v>
      </c>
      <c r="Z3792" s="228">
        <f t="shared" si="1148"/>
        <v>6745000</v>
      </c>
      <c r="AA3792" s="22">
        <v>5.2999999999999999E-2</v>
      </c>
      <c r="AB3792" s="229">
        <f t="shared" si="1134"/>
        <v>357485</v>
      </c>
      <c r="AC3792" s="25">
        <f t="shared" si="1138"/>
        <v>42898.2</v>
      </c>
      <c r="AD3792" s="169">
        <v>0.12</v>
      </c>
      <c r="AE3792" s="26">
        <f t="shared" si="1139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0"/>
        <v>499582152.5142017</v>
      </c>
      <c r="AJ3792" s="27">
        <f t="shared" si="1151"/>
        <v>59520528.679470733</v>
      </c>
      <c r="AK3792" s="230">
        <f t="shared" si="1140"/>
        <v>0.11914062257814291</v>
      </c>
      <c r="AL3792" s="24"/>
      <c r="AM3792" s="24"/>
      <c r="AN3792" s="24"/>
      <c r="AO3792" s="24"/>
      <c r="AP3792" s="165" t="str">
        <f t="shared" si="1141"/>
        <v>CancelCancel</v>
      </c>
      <c r="AQ3792" s="231" t="str">
        <f t="shared" si="1142"/>
        <v>CancelCancelJPY</v>
      </c>
      <c r="AR3792" s="232" t="str">
        <f t="shared" si="1143"/>
        <v>YAMAHA_Mounter</v>
      </c>
      <c r="AS3792" s="22" t="str">
        <f t="shared" si="1144"/>
        <v/>
      </c>
      <c r="AT3792" s="24" t="str">
        <f t="shared" si="1145"/>
        <v/>
      </c>
      <c r="AU3792" s="22" t="s">
        <v>3744</v>
      </c>
    </row>
    <row r="3793" spans="1:47">
      <c r="A3793" s="33" t="str">
        <f t="shared" si="1136"/>
        <v>FY 24/25</v>
      </c>
      <c r="B3793" s="23">
        <v>2024</v>
      </c>
      <c r="C3793" s="23">
        <v>11</v>
      </c>
      <c r="D3793" s="33" t="str">
        <f t="shared" si="1147"/>
        <v>Q3</v>
      </c>
      <c r="E3793" s="33" t="str">
        <f t="shared" si="1135"/>
        <v>Cancel</v>
      </c>
      <c r="F3793" s="23" t="s">
        <v>185</v>
      </c>
      <c r="G3793" s="23" t="s">
        <v>185</v>
      </c>
      <c r="H3793" s="29"/>
      <c r="I3793" s="93" t="str">
        <f t="shared" si="1137"/>
        <v>Cancel</v>
      </c>
      <c r="J3793" s="188" t="s">
        <v>3606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146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149"/>
        <v>1</v>
      </c>
      <c r="Z3793" s="228">
        <f t="shared" si="1148"/>
        <v>6745000</v>
      </c>
      <c r="AA3793" s="22">
        <v>5.2999999999999999E-2</v>
      </c>
      <c r="AB3793" s="229">
        <f t="shared" si="1134"/>
        <v>357485</v>
      </c>
      <c r="AC3793" s="25">
        <f t="shared" si="1138"/>
        <v>42898.2</v>
      </c>
      <c r="AD3793" s="169">
        <v>0.12</v>
      </c>
      <c r="AE3793" s="26">
        <f t="shared" si="1139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0"/>
        <v>499582152.5142017</v>
      </c>
      <c r="AJ3793" s="27">
        <f t="shared" si="1151"/>
        <v>59520528.679470733</v>
      </c>
      <c r="AK3793" s="230">
        <f t="shared" si="1140"/>
        <v>0.11914062257814291</v>
      </c>
      <c r="AL3793" s="24"/>
      <c r="AM3793" s="24"/>
      <c r="AN3793" s="24"/>
      <c r="AO3793" s="24"/>
      <c r="AP3793" s="165" t="str">
        <f t="shared" si="1141"/>
        <v>CancelCancel</v>
      </c>
      <c r="AQ3793" s="231" t="str">
        <f t="shared" si="1142"/>
        <v>CancelCancelJPY</v>
      </c>
      <c r="AR3793" s="232" t="str">
        <f t="shared" si="1143"/>
        <v>YAMAHA_Mounter</v>
      </c>
      <c r="AS3793" s="22" t="str">
        <f t="shared" si="1144"/>
        <v/>
      </c>
      <c r="AT3793" s="24" t="str">
        <f t="shared" si="1145"/>
        <v/>
      </c>
      <c r="AU3793" s="22" t="s">
        <v>3744</v>
      </c>
    </row>
    <row r="3794" spans="1:47">
      <c r="A3794" s="33" t="str">
        <f t="shared" si="1136"/>
        <v>FY 24/25</v>
      </c>
      <c r="B3794" s="23">
        <v>2024</v>
      </c>
      <c r="C3794" s="23">
        <v>11</v>
      </c>
      <c r="D3794" s="33" t="str">
        <f t="shared" si="1147"/>
        <v>Q3</v>
      </c>
      <c r="E3794" s="33" t="str">
        <f t="shared" si="1135"/>
        <v>Cancel</v>
      </c>
      <c r="F3794" s="23" t="s">
        <v>185</v>
      </c>
      <c r="G3794" s="23" t="s">
        <v>185</v>
      </c>
      <c r="H3794" s="29"/>
      <c r="I3794" s="93" t="str">
        <f t="shared" si="1137"/>
        <v>Cancel</v>
      </c>
      <c r="J3794" s="188" t="s">
        <v>3606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146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149"/>
        <v>1</v>
      </c>
      <c r="Z3794" s="228">
        <f t="shared" si="1148"/>
        <v>6745000</v>
      </c>
      <c r="AA3794" s="22">
        <v>5.2999999999999999E-2</v>
      </c>
      <c r="AB3794" s="229">
        <f t="shared" ref="AB3794:AB3857" si="1152">IF(AND(R3794&lt;&gt;"C66",R3794&lt;&gt;""),Z3794/Y3794*AA3794,"")</f>
        <v>357485</v>
      </c>
      <c r="AC3794" s="25">
        <f t="shared" si="1138"/>
        <v>42898.2</v>
      </c>
      <c r="AD3794" s="169">
        <v>0.12</v>
      </c>
      <c r="AE3794" s="26">
        <f t="shared" si="1139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0"/>
        <v>499582152.5142017</v>
      </c>
      <c r="AJ3794" s="27">
        <f t="shared" si="1151"/>
        <v>59520528.679470733</v>
      </c>
      <c r="AK3794" s="230">
        <f t="shared" si="1140"/>
        <v>0.11914062257814291</v>
      </c>
      <c r="AL3794" s="24"/>
      <c r="AM3794" s="24"/>
      <c r="AN3794" s="24"/>
      <c r="AO3794" s="24"/>
      <c r="AP3794" s="165" t="str">
        <f t="shared" si="1141"/>
        <v>CancelCancel</v>
      </c>
      <c r="AQ3794" s="231" t="str">
        <f t="shared" si="1142"/>
        <v>CancelCancelJPY</v>
      </c>
      <c r="AR3794" s="232" t="str">
        <f t="shared" si="1143"/>
        <v>YAMAHA_Mounter</v>
      </c>
      <c r="AS3794" s="22" t="str">
        <f t="shared" si="1144"/>
        <v/>
      </c>
      <c r="AT3794" s="24" t="str">
        <f t="shared" si="1145"/>
        <v/>
      </c>
      <c r="AU3794" s="22" t="s">
        <v>3744</v>
      </c>
    </row>
    <row r="3795" spans="1:47">
      <c r="A3795" s="33" t="str">
        <f t="shared" si="1136"/>
        <v>FY 24/25</v>
      </c>
      <c r="B3795" s="23">
        <v>2024</v>
      </c>
      <c r="C3795" s="23">
        <v>11</v>
      </c>
      <c r="D3795" s="33" t="str">
        <f t="shared" si="1147"/>
        <v>Q3</v>
      </c>
      <c r="E3795" s="33" t="str">
        <f t="shared" si="1135"/>
        <v>FY 24/25</v>
      </c>
      <c r="F3795" s="23">
        <v>2024</v>
      </c>
      <c r="G3795" s="23">
        <v>12</v>
      </c>
      <c r="H3795" s="29"/>
      <c r="I3795" s="93" t="str">
        <f t="shared" si="1137"/>
        <v>Q3</v>
      </c>
      <c r="J3795" s="188" t="s">
        <v>3607</v>
      </c>
      <c r="K3795" s="29" t="s">
        <v>3609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146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149"/>
        <v>1.13</v>
      </c>
      <c r="Z3795" s="228">
        <f t="shared" si="1148"/>
        <v>750000</v>
      </c>
      <c r="AA3795" s="22">
        <v>1.0760000000000001</v>
      </c>
      <c r="AB3795" s="229">
        <f t="shared" si="1152"/>
        <v>714159.29203539842</v>
      </c>
      <c r="AC3795" s="25">
        <f t="shared" si="1138"/>
        <v>134761.85840707968</v>
      </c>
      <c r="AD3795" s="170">
        <v>0.18870000000000001</v>
      </c>
      <c r="AE3795" s="26">
        <f t="shared" si="1139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0"/>
        <v>15965524.256637167</v>
      </c>
      <c r="AJ3795" s="27">
        <f t="shared" si="1151"/>
        <v>2480116.5996584073</v>
      </c>
      <c r="AK3795" s="230">
        <f t="shared" si="1140"/>
        <v>0.15534200817911609</v>
      </c>
      <c r="AL3795" s="24"/>
      <c r="AM3795" s="24"/>
      <c r="AN3795" s="24"/>
      <c r="AO3795" s="24"/>
      <c r="AP3795" s="165" t="str">
        <f t="shared" si="1141"/>
        <v>202412</v>
      </c>
      <c r="AQ3795" s="231" t="str">
        <f t="shared" si="1142"/>
        <v>202412RMB</v>
      </c>
      <c r="AR3795" s="232" t="str">
        <f t="shared" si="1143"/>
        <v>YAMAHA_Mounter</v>
      </c>
      <c r="AS3795" s="22">
        <f t="shared" si="1144"/>
        <v>1</v>
      </c>
      <c r="AT3795" s="24" t="str">
        <f t="shared" si="1145"/>
        <v>0-3 months</v>
      </c>
      <c r="AU3795" s="22" t="s">
        <v>3240</v>
      </c>
    </row>
    <row r="3796" spans="1:47">
      <c r="A3796" s="33" t="str">
        <f t="shared" si="1136"/>
        <v>FY 24/25</v>
      </c>
      <c r="B3796" s="23">
        <v>2024</v>
      </c>
      <c r="C3796" s="23">
        <v>11</v>
      </c>
      <c r="D3796" s="33" t="str">
        <f t="shared" si="1147"/>
        <v>Q3</v>
      </c>
      <c r="E3796" s="33" t="str">
        <f t="shared" si="1135"/>
        <v>FY 24/25</v>
      </c>
      <c r="F3796" s="23">
        <v>2024</v>
      </c>
      <c r="G3796" s="23">
        <v>12</v>
      </c>
      <c r="H3796" s="29"/>
      <c r="I3796" s="93" t="str">
        <f t="shared" si="1137"/>
        <v>Q3</v>
      </c>
      <c r="J3796" s="188" t="s">
        <v>3607</v>
      </c>
      <c r="K3796" s="29" t="s">
        <v>3609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146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149"/>
        <v>1.13</v>
      </c>
      <c r="Z3796" s="228">
        <f t="shared" si="1148"/>
        <v>370000</v>
      </c>
      <c r="AA3796" s="22">
        <v>1.0760000000000001</v>
      </c>
      <c r="AB3796" s="229">
        <f t="shared" si="1152"/>
        <v>352318.58407079655</v>
      </c>
      <c r="AC3796" s="25">
        <f t="shared" si="1138"/>
        <v>66482.516814159317</v>
      </c>
      <c r="AD3796" s="170">
        <v>0.18870000000000001</v>
      </c>
      <c r="AE3796" s="26">
        <f t="shared" si="1139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0"/>
        <v>15965524.256637167</v>
      </c>
      <c r="AJ3796" s="27">
        <f t="shared" si="1151"/>
        <v>2480116.5996584073</v>
      </c>
      <c r="AK3796" s="230">
        <f t="shared" si="1140"/>
        <v>0.15534200817911609</v>
      </c>
      <c r="AL3796" s="24"/>
      <c r="AM3796" s="24"/>
      <c r="AN3796" s="24"/>
      <c r="AO3796" s="24"/>
      <c r="AP3796" s="165" t="str">
        <f t="shared" si="1141"/>
        <v>202412</v>
      </c>
      <c r="AQ3796" s="231" t="str">
        <f t="shared" si="1142"/>
        <v>202412RMB</v>
      </c>
      <c r="AR3796" s="232" t="str">
        <f t="shared" si="1143"/>
        <v>YAMAHA_Non_Mounter</v>
      </c>
      <c r="AS3796" s="22">
        <f t="shared" si="1144"/>
        <v>1</v>
      </c>
      <c r="AT3796" s="24" t="str">
        <f t="shared" si="1145"/>
        <v>0-3 months</v>
      </c>
      <c r="AU3796" s="22" t="s">
        <v>3240</v>
      </c>
    </row>
    <row r="3797" spans="1:47">
      <c r="A3797" s="33" t="str">
        <f t="shared" si="1136"/>
        <v>FY 24/25</v>
      </c>
      <c r="B3797" s="23">
        <v>2024</v>
      </c>
      <c r="C3797" s="23">
        <v>11</v>
      </c>
      <c r="D3797" s="33" t="str">
        <f t="shared" si="1147"/>
        <v>Q3</v>
      </c>
      <c r="E3797" s="33" t="str">
        <f t="shared" si="1135"/>
        <v>FY 24/25</v>
      </c>
      <c r="F3797" s="23">
        <v>2024</v>
      </c>
      <c r="G3797" s="23">
        <v>11</v>
      </c>
      <c r="H3797" s="29"/>
      <c r="I3797" s="93" t="str">
        <f t="shared" si="1137"/>
        <v>Q3</v>
      </c>
      <c r="J3797" s="188" t="s">
        <v>3608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146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149"/>
        <v>1.13</v>
      </c>
      <c r="Z3797" s="228">
        <f t="shared" si="1148"/>
        <v>385000</v>
      </c>
      <c r="AA3797" s="22">
        <v>1.0920000000000001</v>
      </c>
      <c r="AB3797" s="229">
        <f t="shared" si="1152"/>
        <v>372053.09734513279</v>
      </c>
      <c r="AC3797" s="25">
        <f t="shared" si="1138"/>
        <v>38172.647787610622</v>
      </c>
      <c r="AD3797" s="169">
        <v>0.1026</v>
      </c>
      <c r="AE3797" s="26">
        <f t="shared" si="1139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0"/>
        <v>32082250.320460182</v>
      </c>
      <c r="AJ3797" s="27">
        <f t="shared" si="1151"/>
        <v>4323122.9746477893</v>
      </c>
      <c r="AK3797" s="230">
        <f t="shared" si="1140"/>
        <v>0.1347512388147771</v>
      </c>
      <c r="AL3797" s="24"/>
      <c r="AM3797" s="24"/>
      <c r="AN3797" s="24"/>
      <c r="AO3797" s="24"/>
      <c r="AP3797" s="165" t="str">
        <f t="shared" si="1141"/>
        <v>202411</v>
      </c>
      <c r="AQ3797" s="231" t="str">
        <f t="shared" si="1142"/>
        <v>202411RMB</v>
      </c>
      <c r="AR3797" s="232" t="str">
        <f t="shared" si="1143"/>
        <v>YAMAHA_Mounter</v>
      </c>
      <c r="AS3797" s="22">
        <f t="shared" si="1144"/>
        <v>0</v>
      </c>
      <c r="AT3797" s="24" t="str">
        <f t="shared" si="1145"/>
        <v>0-3 months</v>
      </c>
      <c r="AU3797" s="22" t="s">
        <v>3240</v>
      </c>
    </row>
    <row r="3798" spans="1:47">
      <c r="A3798" s="33" t="str">
        <f t="shared" si="1136"/>
        <v>FY 24/25</v>
      </c>
      <c r="B3798" s="23">
        <v>2024</v>
      </c>
      <c r="C3798" s="23">
        <v>11</v>
      </c>
      <c r="D3798" s="33" t="str">
        <f t="shared" si="1147"/>
        <v>Q3</v>
      </c>
      <c r="E3798" s="33" t="str">
        <f t="shared" si="1135"/>
        <v>FY 24/25</v>
      </c>
      <c r="F3798" s="23">
        <v>2024</v>
      </c>
      <c r="G3798" s="23">
        <v>11</v>
      </c>
      <c r="H3798" s="29"/>
      <c r="I3798" s="93" t="str">
        <f t="shared" si="1137"/>
        <v>Q3</v>
      </c>
      <c r="J3798" s="188" t="s">
        <v>3612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146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149"/>
        <v>1</v>
      </c>
      <c r="Z3798" s="228">
        <f t="shared" si="1148"/>
        <v>12500000</v>
      </c>
      <c r="AA3798" s="22">
        <v>5.1799999999999999E-2</v>
      </c>
      <c r="AB3798" s="229">
        <f t="shared" si="1152"/>
        <v>647500</v>
      </c>
      <c r="AC3798" s="25">
        <f t="shared" si="1138"/>
        <v>82556.25</v>
      </c>
      <c r="AD3798" s="169">
        <v>0.1275</v>
      </c>
      <c r="AE3798" s="26">
        <f t="shared" si="1139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0"/>
        <v>32082250.320460182</v>
      </c>
      <c r="AJ3798" s="27">
        <f t="shared" si="1151"/>
        <v>4323122.9746477893</v>
      </c>
      <c r="AK3798" s="230">
        <f t="shared" si="1140"/>
        <v>0.1347512388147771</v>
      </c>
      <c r="AL3798" s="24"/>
      <c r="AM3798" s="24"/>
      <c r="AN3798" s="24"/>
      <c r="AO3798" s="24"/>
      <c r="AP3798" s="165" t="str">
        <f t="shared" si="1141"/>
        <v>202411</v>
      </c>
      <c r="AQ3798" s="231" t="str">
        <f t="shared" si="1142"/>
        <v>202411JPY</v>
      </c>
      <c r="AR3798" s="232" t="str">
        <f t="shared" si="1143"/>
        <v>YAMAHA_Mounter</v>
      </c>
      <c r="AS3798" s="22">
        <f t="shared" si="1144"/>
        <v>0</v>
      </c>
      <c r="AT3798" s="24" t="str">
        <f t="shared" si="1145"/>
        <v>0-3 months</v>
      </c>
      <c r="AU3798" s="22" t="s">
        <v>3744</v>
      </c>
    </row>
    <row r="3799" spans="1:47">
      <c r="A3799" s="33" t="str">
        <f t="shared" si="1136"/>
        <v>FY 24/25</v>
      </c>
      <c r="B3799" s="23">
        <v>2024</v>
      </c>
      <c r="C3799" s="23">
        <v>11</v>
      </c>
      <c r="D3799" s="33" t="str">
        <f t="shared" si="1147"/>
        <v>Q3</v>
      </c>
      <c r="E3799" s="33" t="str">
        <f t="shared" si="1135"/>
        <v>FY 25/26</v>
      </c>
      <c r="F3799" s="23">
        <v>2025</v>
      </c>
      <c r="G3799" s="23">
        <v>5</v>
      </c>
      <c r="H3799" s="29"/>
      <c r="I3799" s="93" t="str">
        <f t="shared" si="1137"/>
        <v>Q1</v>
      </c>
      <c r="J3799" s="188" t="s">
        <v>3613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146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109</v>
      </c>
      <c r="X3799" s="104">
        <v>13355000</v>
      </c>
      <c r="Y3799" s="31" t="str">
        <f t="shared" si="1149"/>
        <v>1</v>
      </c>
      <c r="Z3799" s="228">
        <f t="shared" si="1148"/>
        <v>13355000</v>
      </c>
      <c r="AA3799" s="22">
        <v>5.3100000000000001E-2</v>
      </c>
      <c r="AB3799" s="229">
        <f t="shared" si="1152"/>
        <v>709150.5</v>
      </c>
      <c r="AC3799" s="25">
        <f t="shared" si="1138"/>
        <v>85098.06</v>
      </c>
      <c r="AD3799" s="169">
        <v>0.12</v>
      </c>
      <c r="AE3799" s="26">
        <f t="shared" si="1139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0"/>
        <v>25644924.956447776</v>
      </c>
      <c r="AJ3799" s="27">
        <f t="shared" si="1151"/>
        <v>3058146.223092318</v>
      </c>
      <c r="AK3799" s="230">
        <f t="shared" si="1140"/>
        <v>0.11924956802509276</v>
      </c>
      <c r="AL3799" s="24"/>
      <c r="AM3799" s="24"/>
      <c r="AN3799" s="24"/>
      <c r="AO3799" s="24"/>
      <c r="AP3799" s="165" t="str">
        <f t="shared" si="1141"/>
        <v>20255</v>
      </c>
      <c r="AQ3799" s="231" t="str">
        <f t="shared" si="1142"/>
        <v>20255JPY</v>
      </c>
      <c r="AR3799" s="232" t="str">
        <f t="shared" si="1143"/>
        <v>YAMAHA_Mounter</v>
      </c>
      <c r="AS3799" s="22">
        <f t="shared" si="1144"/>
        <v>6</v>
      </c>
      <c r="AT3799" s="24" t="str">
        <f t="shared" si="1145"/>
        <v>4-6 months</v>
      </c>
      <c r="AU3799" s="22" t="s">
        <v>3744</v>
      </c>
    </row>
    <row r="3800" spans="1:47">
      <c r="A3800" s="33" t="str">
        <f t="shared" si="1136"/>
        <v>FY 24/25</v>
      </c>
      <c r="B3800" s="23">
        <v>2024</v>
      </c>
      <c r="C3800" s="23">
        <v>11</v>
      </c>
      <c r="D3800" s="33" t="str">
        <f t="shared" si="1147"/>
        <v>Q3</v>
      </c>
      <c r="E3800" s="33" t="str">
        <f t="shared" ref="E3800:E3863" si="1153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5</v>
      </c>
      <c r="H3800" s="29"/>
      <c r="I3800" s="93" t="str">
        <f t="shared" si="1137"/>
        <v>Q1</v>
      </c>
      <c r="J3800" s="188" t="s">
        <v>3613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146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109</v>
      </c>
      <c r="X3800" s="104">
        <v>13355000</v>
      </c>
      <c r="Y3800" s="31" t="str">
        <f t="shared" si="1149"/>
        <v>1</v>
      </c>
      <c r="Z3800" s="228">
        <f t="shared" si="1148"/>
        <v>13355000</v>
      </c>
      <c r="AA3800" s="22">
        <v>5.3100000000000001E-2</v>
      </c>
      <c r="AB3800" s="229">
        <f t="shared" si="1152"/>
        <v>709150.5</v>
      </c>
      <c r="AC3800" s="25">
        <f t="shared" si="1138"/>
        <v>85098.06</v>
      </c>
      <c r="AD3800" s="169">
        <v>0.12</v>
      </c>
      <c r="AE3800" s="26">
        <f t="shared" si="1139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0"/>
        <v>25644924.956447776</v>
      </c>
      <c r="AJ3800" s="27">
        <f t="shared" si="1151"/>
        <v>3058146.223092318</v>
      </c>
      <c r="AK3800" s="230">
        <f t="shared" si="1140"/>
        <v>0.11924956802509276</v>
      </c>
      <c r="AL3800" s="24"/>
      <c r="AM3800" s="24"/>
      <c r="AN3800" s="24"/>
      <c r="AO3800" s="24"/>
      <c r="AP3800" s="165" t="str">
        <f t="shared" si="1141"/>
        <v>20255</v>
      </c>
      <c r="AQ3800" s="231" t="str">
        <f t="shared" si="1142"/>
        <v>20255JPY</v>
      </c>
      <c r="AR3800" s="232" t="str">
        <f t="shared" si="1143"/>
        <v>YAMAHA_Mounter</v>
      </c>
      <c r="AS3800" s="22">
        <f t="shared" si="1144"/>
        <v>6</v>
      </c>
      <c r="AT3800" s="24" t="str">
        <f t="shared" si="1145"/>
        <v>4-6 months</v>
      </c>
      <c r="AU3800" s="22" t="s">
        <v>3744</v>
      </c>
    </row>
    <row r="3801" spans="1:47">
      <c r="A3801" s="33" t="str">
        <f t="shared" si="1136"/>
        <v>FY 24/25</v>
      </c>
      <c r="B3801" s="23">
        <v>2024</v>
      </c>
      <c r="C3801" s="23">
        <v>11</v>
      </c>
      <c r="D3801" s="33" t="str">
        <f t="shared" si="1147"/>
        <v>Q3</v>
      </c>
      <c r="E3801" s="33" t="str">
        <f t="shared" si="1153"/>
        <v>FY 25/26</v>
      </c>
      <c r="F3801" s="23">
        <v>2025</v>
      </c>
      <c r="G3801" s="23">
        <v>4</v>
      </c>
      <c r="H3801" s="29"/>
      <c r="I3801" s="93" t="str">
        <f t="shared" si="1137"/>
        <v>Q1</v>
      </c>
      <c r="J3801" s="188" t="s">
        <v>3614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146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149"/>
        <v>1</v>
      </c>
      <c r="Z3801" s="228">
        <f t="shared" si="1148"/>
        <v>14000000</v>
      </c>
      <c r="AA3801" s="22">
        <v>5.3100000000000001E-2</v>
      </c>
      <c r="AB3801" s="229">
        <f t="shared" si="1152"/>
        <v>743400</v>
      </c>
      <c r="AC3801" s="25">
        <f t="shared" si="1138"/>
        <v>89208</v>
      </c>
      <c r="AD3801" s="169">
        <v>0.12</v>
      </c>
      <c r="AE3801" s="26">
        <f t="shared" si="1139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0"/>
        <v>32703423.380530968</v>
      </c>
      <c r="AJ3801" s="27">
        <f t="shared" si="1151"/>
        <v>3885921.2623008853</v>
      </c>
      <c r="AK3801" s="230">
        <f t="shared" si="1140"/>
        <v>0.118823072957379</v>
      </c>
      <c r="AL3801" s="24"/>
      <c r="AM3801" s="24"/>
      <c r="AN3801" s="24"/>
      <c r="AO3801" s="24"/>
      <c r="AP3801" s="165" t="str">
        <f t="shared" si="1141"/>
        <v>20254</v>
      </c>
      <c r="AQ3801" s="231" t="str">
        <f t="shared" si="1142"/>
        <v>20254JPY</v>
      </c>
      <c r="AR3801" s="232" t="str">
        <f t="shared" si="1143"/>
        <v>YAMAHA_Mounter</v>
      </c>
      <c r="AS3801" s="22">
        <f t="shared" si="1144"/>
        <v>5</v>
      </c>
      <c r="AT3801" s="24" t="str">
        <f t="shared" si="1145"/>
        <v>4-6 months</v>
      </c>
      <c r="AU3801" s="22" t="s">
        <v>3744</v>
      </c>
    </row>
    <row r="3802" spans="1:47">
      <c r="A3802" s="33" t="str">
        <f t="shared" si="1136"/>
        <v>FY 24/25</v>
      </c>
      <c r="B3802" s="23">
        <v>2024</v>
      </c>
      <c r="C3802" s="23">
        <v>11</v>
      </c>
      <c r="D3802" s="33" t="str">
        <f t="shared" si="1147"/>
        <v>Q3</v>
      </c>
      <c r="E3802" s="33" t="str">
        <f t="shared" si="1153"/>
        <v>FY 25/26</v>
      </c>
      <c r="F3802" s="23">
        <v>2025</v>
      </c>
      <c r="G3802" s="23">
        <v>4</v>
      </c>
      <c r="H3802" s="29"/>
      <c r="I3802" s="93" t="str">
        <f t="shared" si="1137"/>
        <v>Q1</v>
      </c>
      <c r="J3802" s="188" t="s">
        <v>3614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146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149"/>
        <v>1</v>
      </c>
      <c r="Z3802" s="228">
        <f t="shared" si="1148"/>
        <v>14000000</v>
      </c>
      <c r="AA3802" s="22">
        <v>5.3100000000000001E-2</v>
      </c>
      <c r="AB3802" s="229">
        <f t="shared" si="1152"/>
        <v>743400</v>
      </c>
      <c r="AC3802" s="25">
        <f t="shared" si="1138"/>
        <v>89208</v>
      </c>
      <c r="AD3802" s="169">
        <v>0.12</v>
      </c>
      <c r="AE3802" s="26">
        <f t="shared" si="1139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0"/>
        <v>32703423.380530968</v>
      </c>
      <c r="AJ3802" s="27">
        <f t="shared" si="1151"/>
        <v>3885921.2623008853</v>
      </c>
      <c r="AK3802" s="230">
        <f t="shared" si="1140"/>
        <v>0.118823072957379</v>
      </c>
      <c r="AL3802" s="24"/>
      <c r="AM3802" s="24"/>
      <c r="AN3802" s="24"/>
      <c r="AO3802" s="24"/>
      <c r="AP3802" s="165" t="str">
        <f t="shared" si="1141"/>
        <v>20254</v>
      </c>
      <c r="AQ3802" s="231" t="str">
        <f t="shared" si="1142"/>
        <v>20254JPY</v>
      </c>
      <c r="AR3802" s="232" t="str">
        <f t="shared" si="1143"/>
        <v>YAMAHA_Mounter</v>
      </c>
      <c r="AS3802" s="22">
        <f t="shared" si="1144"/>
        <v>5</v>
      </c>
      <c r="AT3802" s="24" t="str">
        <f t="shared" si="1145"/>
        <v>4-6 months</v>
      </c>
      <c r="AU3802" s="22" t="s">
        <v>3744</v>
      </c>
    </row>
    <row r="3803" spans="1:47">
      <c r="A3803" s="33" t="str">
        <f t="shared" si="1136"/>
        <v>FY 24/25</v>
      </c>
      <c r="B3803" s="23">
        <v>2024</v>
      </c>
      <c r="C3803" s="23">
        <v>11</v>
      </c>
      <c r="D3803" s="33" t="str">
        <f t="shared" si="1147"/>
        <v>Q3</v>
      </c>
      <c r="E3803" s="33" t="str">
        <f t="shared" si="1153"/>
        <v>FY 25/26</v>
      </c>
      <c r="F3803" s="23">
        <v>2025</v>
      </c>
      <c r="G3803" s="23">
        <v>4</v>
      </c>
      <c r="H3803" s="29"/>
      <c r="I3803" s="93" t="str">
        <f t="shared" si="1137"/>
        <v>Q1</v>
      </c>
      <c r="J3803" s="188" t="s">
        <v>3614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146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149"/>
        <v>1</v>
      </c>
      <c r="Z3803" s="228">
        <f t="shared" si="1148"/>
        <v>14000000</v>
      </c>
      <c r="AA3803" s="22">
        <v>5.3100000000000001E-2</v>
      </c>
      <c r="AB3803" s="229">
        <f t="shared" si="1152"/>
        <v>743400</v>
      </c>
      <c r="AC3803" s="25">
        <f t="shared" si="1138"/>
        <v>89208</v>
      </c>
      <c r="AD3803" s="169">
        <v>0.12</v>
      </c>
      <c r="AE3803" s="26">
        <f t="shared" si="1139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0"/>
        <v>32703423.380530968</v>
      </c>
      <c r="AJ3803" s="27">
        <f t="shared" si="1151"/>
        <v>3885921.2623008853</v>
      </c>
      <c r="AK3803" s="230">
        <f t="shared" si="1140"/>
        <v>0.118823072957379</v>
      </c>
      <c r="AL3803" s="24"/>
      <c r="AM3803" s="24"/>
      <c r="AN3803" s="24"/>
      <c r="AO3803" s="24"/>
      <c r="AP3803" s="165" t="str">
        <f t="shared" si="1141"/>
        <v>20254</v>
      </c>
      <c r="AQ3803" s="231" t="str">
        <f t="shared" si="1142"/>
        <v>20254JPY</v>
      </c>
      <c r="AR3803" s="232" t="str">
        <f t="shared" si="1143"/>
        <v>YAMAHA_Mounter</v>
      </c>
      <c r="AS3803" s="22">
        <f t="shared" si="1144"/>
        <v>5</v>
      </c>
      <c r="AT3803" s="24" t="str">
        <f t="shared" si="1145"/>
        <v>4-6 months</v>
      </c>
      <c r="AU3803" s="22" t="s">
        <v>3744</v>
      </c>
    </row>
    <row r="3804" spans="1:47">
      <c r="A3804" s="33" t="str">
        <f t="shared" si="1136"/>
        <v>FY 24/25</v>
      </c>
      <c r="B3804" s="23">
        <v>2024</v>
      </c>
      <c r="C3804" s="23">
        <v>11</v>
      </c>
      <c r="D3804" s="33" t="str">
        <f t="shared" si="1147"/>
        <v>Q3</v>
      </c>
      <c r="E3804" s="33" t="str">
        <f t="shared" si="1153"/>
        <v>FY 25/26</v>
      </c>
      <c r="F3804" s="23">
        <v>2025</v>
      </c>
      <c r="G3804" s="23">
        <v>4</v>
      </c>
      <c r="H3804" s="29"/>
      <c r="I3804" s="93" t="str">
        <f t="shared" si="1137"/>
        <v>Q1</v>
      </c>
      <c r="J3804" s="188" t="s">
        <v>3614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146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149"/>
        <v>1</v>
      </c>
      <c r="Z3804" s="228">
        <f t="shared" si="1148"/>
        <v>14000000</v>
      </c>
      <c r="AA3804" s="22">
        <v>5.3100000000000001E-2</v>
      </c>
      <c r="AB3804" s="229">
        <f t="shared" si="1152"/>
        <v>743400</v>
      </c>
      <c r="AC3804" s="25">
        <f t="shared" si="1138"/>
        <v>89208</v>
      </c>
      <c r="AD3804" s="169">
        <v>0.12</v>
      </c>
      <c r="AE3804" s="26">
        <f t="shared" si="1139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0"/>
        <v>32703423.380530968</v>
      </c>
      <c r="AJ3804" s="27">
        <f t="shared" si="1151"/>
        <v>3885921.2623008853</v>
      </c>
      <c r="AK3804" s="230">
        <f t="shared" si="1140"/>
        <v>0.118823072957379</v>
      </c>
      <c r="AL3804" s="24"/>
      <c r="AM3804" s="24"/>
      <c r="AN3804" s="24"/>
      <c r="AO3804" s="24"/>
      <c r="AP3804" s="165" t="str">
        <f t="shared" si="1141"/>
        <v>20254</v>
      </c>
      <c r="AQ3804" s="231" t="str">
        <f t="shared" si="1142"/>
        <v>20254JPY</v>
      </c>
      <c r="AR3804" s="232" t="str">
        <f t="shared" si="1143"/>
        <v>YAMAHA_Mounter</v>
      </c>
      <c r="AS3804" s="22">
        <f t="shared" si="1144"/>
        <v>5</v>
      </c>
      <c r="AT3804" s="24" t="str">
        <f t="shared" si="1145"/>
        <v>4-6 months</v>
      </c>
      <c r="AU3804" s="22" t="s">
        <v>3744</v>
      </c>
    </row>
    <row r="3805" spans="1:47">
      <c r="A3805" s="33" t="str">
        <f t="shared" si="1136"/>
        <v>FY 24/25</v>
      </c>
      <c r="B3805" s="23">
        <v>2024</v>
      </c>
      <c r="C3805" s="23">
        <v>11</v>
      </c>
      <c r="D3805" s="33" t="str">
        <f t="shared" si="1147"/>
        <v>Q3</v>
      </c>
      <c r="E3805" s="33" t="str">
        <f t="shared" si="1153"/>
        <v>FY 24/25</v>
      </c>
      <c r="F3805" s="23">
        <v>2024</v>
      </c>
      <c r="G3805" s="23">
        <v>12</v>
      </c>
      <c r="H3805" s="29"/>
      <c r="I3805" s="93" t="str">
        <f t="shared" si="1137"/>
        <v>Q3</v>
      </c>
      <c r="J3805" s="188" t="s">
        <v>3615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146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149"/>
        <v>1.13</v>
      </c>
      <c r="Z3805" s="228">
        <f t="shared" si="1148"/>
        <v>446700</v>
      </c>
      <c r="AA3805" s="22">
        <v>1.0760000000000001</v>
      </c>
      <c r="AB3805" s="229">
        <f t="shared" si="1152"/>
        <v>425353.27433628327</v>
      </c>
      <c r="AC3805" s="25">
        <f t="shared" si="1138"/>
        <v>49426.050477876117</v>
      </c>
      <c r="AD3805" s="169">
        <v>0.1162</v>
      </c>
      <c r="AE3805" s="26">
        <f t="shared" si="1139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0"/>
        <v>15965524.256637167</v>
      </c>
      <c r="AJ3805" s="27">
        <f t="shared" si="1151"/>
        <v>2480116.5996584073</v>
      </c>
      <c r="AK3805" s="230">
        <f t="shared" si="1140"/>
        <v>0.15534200817911609</v>
      </c>
      <c r="AL3805" s="24"/>
      <c r="AM3805" s="24"/>
      <c r="AN3805" s="24"/>
      <c r="AO3805" s="24"/>
      <c r="AP3805" s="165" t="str">
        <f t="shared" si="1141"/>
        <v>202412</v>
      </c>
      <c r="AQ3805" s="231" t="str">
        <f t="shared" si="1142"/>
        <v>202412RMB</v>
      </c>
      <c r="AR3805" s="232" t="str">
        <f t="shared" si="1143"/>
        <v>YAMAHA_Mounter</v>
      </c>
      <c r="AS3805" s="22">
        <f t="shared" si="1144"/>
        <v>1</v>
      </c>
      <c r="AT3805" s="24" t="str">
        <f t="shared" si="1145"/>
        <v>0-3 months</v>
      </c>
      <c r="AU3805" s="22" t="s">
        <v>3750</v>
      </c>
    </row>
    <row r="3806" spans="1:47">
      <c r="A3806" s="33" t="str">
        <f t="shared" si="1136"/>
        <v>FY 24/25</v>
      </c>
      <c r="B3806" s="23">
        <v>2024</v>
      </c>
      <c r="C3806" s="23">
        <v>11</v>
      </c>
      <c r="D3806" s="33" t="str">
        <f t="shared" si="1147"/>
        <v>Q3</v>
      </c>
      <c r="E3806" s="33" t="str">
        <f t="shared" si="1153"/>
        <v>FY 24/25</v>
      </c>
      <c r="F3806" s="23">
        <v>2024</v>
      </c>
      <c r="G3806" s="23">
        <v>12</v>
      </c>
      <c r="H3806" s="29"/>
      <c r="I3806" s="93" t="str">
        <f t="shared" si="1137"/>
        <v>Q3</v>
      </c>
      <c r="J3806" s="188" t="s">
        <v>3616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146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149"/>
        <v>1</v>
      </c>
      <c r="Z3806" s="228">
        <f t="shared" si="1148"/>
        <v>16835000</v>
      </c>
      <c r="AA3806" s="22">
        <v>5.2900000000000003E-2</v>
      </c>
      <c r="AB3806" s="229">
        <f t="shared" si="1152"/>
        <v>890571.5</v>
      </c>
      <c r="AC3806" s="25">
        <f t="shared" si="1138"/>
        <v>194411.75844999999</v>
      </c>
      <c r="AD3806" s="169">
        <v>0.21829999999999999</v>
      </c>
      <c r="AE3806" s="26">
        <f t="shared" si="1139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0"/>
        <v>15965524.256637167</v>
      </c>
      <c r="AJ3806" s="27">
        <f t="shared" si="1151"/>
        <v>2480116.5996584073</v>
      </c>
      <c r="AK3806" s="230">
        <f t="shared" si="1140"/>
        <v>0.15534200817911609</v>
      </c>
      <c r="AL3806" s="24"/>
      <c r="AM3806" s="24"/>
      <c r="AN3806" s="24"/>
      <c r="AO3806" s="24"/>
      <c r="AP3806" s="165" t="str">
        <f t="shared" si="1141"/>
        <v>202412</v>
      </c>
      <c r="AQ3806" s="231" t="str">
        <f t="shared" si="1142"/>
        <v>202412JPY</v>
      </c>
      <c r="AR3806" s="232" t="str">
        <f t="shared" si="1143"/>
        <v>YAMAHA_Mounter</v>
      </c>
      <c r="AS3806" s="22">
        <f t="shared" si="1144"/>
        <v>1</v>
      </c>
      <c r="AT3806" s="24" t="str">
        <f t="shared" si="1145"/>
        <v>0-3 months</v>
      </c>
      <c r="AU3806" s="22" t="s">
        <v>3745</v>
      </c>
    </row>
    <row r="3807" spans="1:47">
      <c r="A3807" s="33" t="str">
        <f t="shared" si="1136"/>
        <v>FY 24/25</v>
      </c>
      <c r="B3807" s="23">
        <v>2024</v>
      </c>
      <c r="C3807" s="23">
        <v>11</v>
      </c>
      <c r="D3807" s="33" t="str">
        <f t="shared" si="1147"/>
        <v>Q3</v>
      </c>
      <c r="E3807" s="33" t="str">
        <f t="shared" si="1153"/>
        <v>FY 24/25</v>
      </c>
      <c r="F3807" s="23">
        <v>2024</v>
      </c>
      <c r="G3807" s="23">
        <v>12</v>
      </c>
      <c r="H3807" s="29"/>
      <c r="I3807" s="93" t="str">
        <f t="shared" si="1137"/>
        <v>Q3</v>
      </c>
      <c r="J3807" s="188" t="s">
        <v>3616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146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149"/>
        <v>1</v>
      </c>
      <c r="Z3807" s="228">
        <f t="shared" si="1148"/>
        <v>16835000</v>
      </c>
      <c r="AA3807" s="22">
        <v>5.2900000000000003E-2</v>
      </c>
      <c r="AB3807" s="229">
        <f t="shared" si="1152"/>
        <v>890571.5</v>
      </c>
      <c r="AC3807" s="25">
        <f t="shared" si="1138"/>
        <v>194411.75844999999</v>
      </c>
      <c r="AD3807" s="169">
        <v>0.21829999999999999</v>
      </c>
      <c r="AE3807" s="26">
        <f t="shared" si="1139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0"/>
        <v>15965524.256637167</v>
      </c>
      <c r="AJ3807" s="27">
        <f t="shared" si="1151"/>
        <v>2480116.5996584073</v>
      </c>
      <c r="AK3807" s="230">
        <f t="shared" si="1140"/>
        <v>0.15534200817911609</v>
      </c>
      <c r="AL3807" s="24"/>
      <c r="AM3807" s="24"/>
      <c r="AN3807" s="24"/>
      <c r="AO3807" s="24"/>
      <c r="AP3807" s="165" t="str">
        <f t="shared" si="1141"/>
        <v>202412</v>
      </c>
      <c r="AQ3807" s="231" t="str">
        <f t="shared" si="1142"/>
        <v>202412JPY</v>
      </c>
      <c r="AR3807" s="232" t="str">
        <f t="shared" si="1143"/>
        <v>YAMAHA_Mounter</v>
      </c>
      <c r="AS3807" s="22">
        <f t="shared" si="1144"/>
        <v>1</v>
      </c>
      <c r="AT3807" s="24" t="str">
        <f t="shared" si="1145"/>
        <v>0-3 months</v>
      </c>
      <c r="AU3807" s="22" t="s">
        <v>3745</v>
      </c>
    </row>
    <row r="3808" spans="1:47">
      <c r="A3808" s="33" t="str">
        <f t="shared" ref="A3808:A3871" si="1154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47"/>
        <v>Q3</v>
      </c>
      <c r="E3808" s="33" t="str">
        <f t="shared" si="1153"/>
        <v>FY 24/25</v>
      </c>
      <c r="F3808" s="23">
        <v>2024</v>
      </c>
      <c r="G3808" s="23">
        <v>12</v>
      </c>
      <c r="H3808" s="29"/>
      <c r="I3808" s="93" t="str">
        <f t="shared" ref="I3808:I3871" si="1155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3616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146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149"/>
        <v>1</v>
      </c>
      <c r="Z3808" s="228">
        <f t="shared" si="1148"/>
        <v>14300000</v>
      </c>
      <c r="AA3808" s="22">
        <v>5.2900000000000003E-2</v>
      </c>
      <c r="AB3808" s="229">
        <f t="shared" si="1152"/>
        <v>756470</v>
      </c>
      <c r="AC3808" s="25">
        <f t="shared" ref="AC3808:AC3871" si="1156">IF(R3808&lt;&gt;"",AB3808*AD3808,"")</f>
        <v>165137.40099999998</v>
      </c>
      <c r="AD3808" s="169">
        <v>0.21829999999999999</v>
      </c>
      <c r="AE3808" s="26">
        <f t="shared" ref="AE3808:AE3871" si="1157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0"/>
        <v>15965524.256637167</v>
      </c>
      <c r="AJ3808" s="27">
        <f t="shared" si="1151"/>
        <v>2480116.5996584073</v>
      </c>
      <c r="AK3808" s="230">
        <f t="shared" ref="AK3808:AK3871" si="1158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59">IF(F3808="","",F3808&amp;G3808)</f>
        <v>202412</v>
      </c>
      <c r="AQ3808" s="231" t="str">
        <f t="shared" ref="AQ3808:AQ3871" si="1160">IF(W3808="","",F3808&amp;G3808&amp;W3808)</f>
        <v>202412JPY</v>
      </c>
      <c r="AR3808" s="232" t="str">
        <f t="shared" ref="AR3808:AR3871" si="1161">IFERROR(IF(AND(M3808="YAMAHA", R3808="C28"), "YAMAHA_Non_Mounter", IF(AND(M3808="YAMAHA", R3808="C49"), "YAMAHA_Mounter", M3808)),"")</f>
        <v>YAMAHA_Mounter</v>
      </c>
      <c r="AS3808" s="22">
        <f t="shared" ref="AS3808:AS3871" si="1162">IFERROR(IF(OR(G3808="TBA", G3808=""), "", DATEDIF(DATE(B3808, C3808, 1), DATE(F3808, G3808, 1), "M")),"")</f>
        <v>1</v>
      </c>
      <c r="AT3808" s="24" t="str">
        <f t="shared" ref="AT3808:AT3871" si="1163">IF(ISNUMBER(AS3808), IF(AS3808&gt;=0, IF(AS3808&lt;=3, "0-3 months", IF(AS3808&lt;=6, "4-6 months", "&gt; 6 months"))), "")</f>
        <v>0-3 months</v>
      </c>
      <c r="AU3808" s="22" t="s">
        <v>3745</v>
      </c>
    </row>
    <row r="3809" spans="1:47">
      <c r="A3809" s="33" t="str">
        <f t="shared" si="1154"/>
        <v>FY 24/25</v>
      </c>
      <c r="B3809" s="23">
        <v>2024</v>
      </c>
      <c r="C3809" s="23">
        <v>11</v>
      </c>
      <c r="D3809" s="33" t="str">
        <f t="shared" si="1147"/>
        <v>Q3</v>
      </c>
      <c r="E3809" s="33" t="str">
        <f t="shared" si="1153"/>
        <v>FY 24/25</v>
      </c>
      <c r="F3809" s="23">
        <v>2024</v>
      </c>
      <c r="G3809" s="23">
        <v>12</v>
      </c>
      <c r="H3809" s="29"/>
      <c r="I3809" s="93" t="str">
        <f t="shared" si="1155"/>
        <v>Q3</v>
      </c>
      <c r="J3809" s="188" t="s">
        <v>3616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164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149"/>
        <v>1</v>
      </c>
      <c r="Z3809" s="228">
        <f t="shared" si="1148"/>
        <v>14300000</v>
      </c>
      <c r="AA3809" s="22">
        <v>5.2900000000000003E-2</v>
      </c>
      <c r="AB3809" s="229">
        <f t="shared" si="1152"/>
        <v>756470</v>
      </c>
      <c r="AC3809" s="25">
        <f t="shared" si="1156"/>
        <v>165137.40099999998</v>
      </c>
      <c r="AD3809" s="169">
        <v>0.21829999999999999</v>
      </c>
      <c r="AE3809" s="26">
        <f t="shared" si="1157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0"/>
        <v>15965524.256637167</v>
      </c>
      <c r="AJ3809" s="27">
        <f t="shared" si="1151"/>
        <v>2480116.5996584073</v>
      </c>
      <c r="AK3809" s="230">
        <f t="shared" si="1158"/>
        <v>0.15534200817911609</v>
      </c>
      <c r="AL3809" s="24"/>
      <c r="AM3809" s="24"/>
      <c r="AN3809" s="24"/>
      <c r="AO3809" s="24"/>
      <c r="AP3809" s="165" t="str">
        <f t="shared" si="1159"/>
        <v>202412</v>
      </c>
      <c r="AQ3809" s="231" t="str">
        <f t="shared" si="1160"/>
        <v>202412JPY</v>
      </c>
      <c r="AR3809" s="232" t="str">
        <f t="shared" si="1161"/>
        <v>YAMAHA_Mounter</v>
      </c>
      <c r="AS3809" s="22">
        <f t="shared" si="1162"/>
        <v>1</v>
      </c>
      <c r="AT3809" s="24" t="str">
        <f t="shared" si="1163"/>
        <v>0-3 months</v>
      </c>
      <c r="AU3809" s="22" t="s">
        <v>3745</v>
      </c>
    </row>
    <row r="3810" spans="1:47">
      <c r="A3810" s="33" t="str">
        <f t="shared" si="1154"/>
        <v>FY 24/25</v>
      </c>
      <c r="B3810" s="23">
        <v>2024</v>
      </c>
      <c r="C3810" s="23">
        <v>11</v>
      </c>
      <c r="D3810" s="33" t="str">
        <f t="shared" si="1147"/>
        <v>Q3</v>
      </c>
      <c r="E3810" s="33" t="str">
        <f t="shared" si="1153"/>
        <v>FY 24/25</v>
      </c>
      <c r="F3810" s="23">
        <v>2024</v>
      </c>
      <c r="G3810" s="23">
        <v>11</v>
      </c>
      <c r="H3810" s="29"/>
      <c r="I3810" s="93" t="str">
        <f t="shared" si="1155"/>
        <v>Q3</v>
      </c>
      <c r="J3810" s="188" t="s">
        <v>3617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164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149"/>
        <v>1.13</v>
      </c>
      <c r="Z3810" s="228">
        <f t="shared" si="1148"/>
        <v>673800</v>
      </c>
      <c r="AA3810" s="22">
        <v>1.0920000000000001</v>
      </c>
      <c r="AB3810" s="229">
        <f t="shared" si="1152"/>
        <v>651141.23893805314</v>
      </c>
      <c r="AC3810" s="25">
        <f t="shared" si="1156"/>
        <v>63616.499044247787</v>
      </c>
      <c r="AD3810" s="169">
        <v>9.7699999999999995E-2</v>
      </c>
      <c r="AE3810" s="26">
        <f t="shared" si="1157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0"/>
        <v>32082250.320460182</v>
      </c>
      <c r="AJ3810" s="27">
        <f t="shared" si="1151"/>
        <v>4323122.9746477893</v>
      </c>
      <c r="AK3810" s="230">
        <f t="shared" si="1158"/>
        <v>0.1347512388147771</v>
      </c>
      <c r="AL3810" s="24"/>
      <c r="AM3810" s="24"/>
      <c r="AN3810" s="24"/>
      <c r="AO3810" s="24"/>
      <c r="AP3810" s="165" t="str">
        <f t="shared" si="1159"/>
        <v>202411</v>
      </c>
      <c r="AQ3810" s="231" t="str">
        <f t="shared" si="1160"/>
        <v>202411RMB</v>
      </c>
      <c r="AR3810" s="232" t="str">
        <f t="shared" si="1161"/>
        <v>YAMAHA_Mounter</v>
      </c>
      <c r="AS3810" s="22">
        <f t="shared" si="1162"/>
        <v>0</v>
      </c>
      <c r="AT3810" s="24" t="str">
        <f t="shared" si="1163"/>
        <v>0-3 months</v>
      </c>
      <c r="AU3810" s="22" t="s">
        <v>3240</v>
      </c>
    </row>
    <row r="3811" spans="1:47">
      <c r="A3811" s="33" t="str">
        <f t="shared" si="1154"/>
        <v>FY 24/25</v>
      </c>
      <c r="B3811" s="23">
        <v>2024</v>
      </c>
      <c r="C3811" s="23">
        <v>11</v>
      </c>
      <c r="D3811" s="33" t="str">
        <f t="shared" si="1147"/>
        <v>Q3</v>
      </c>
      <c r="E3811" s="33" t="str">
        <f t="shared" si="1153"/>
        <v>FY 24/25</v>
      </c>
      <c r="F3811" s="23">
        <v>2025</v>
      </c>
      <c r="G3811" s="23">
        <v>2</v>
      </c>
      <c r="H3811" s="29"/>
      <c r="I3811" s="93" t="str">
        <f t="shared" si="1155"/>
        <v>Q4</v>
      </c>
      <c r="J3811" s="188" t="s">
        <v>3618</v>
      </c>
      <c r="K3811" s="29" t="s">
        <v>3619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164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149"/>
        <v>1.13</v>
      </c>
      <c r="Z3811" s="228">
        <f t="shared" si="1148"/>
        <v>780000</v>
      </c>
      <c r="AA3811" s="22">
        <v>1.073</v>
      </c>
      <c r="AB3811" s="229">
        <f t="shared" si="1152"/>
        <v>740654.8672566372</v>
      </c>
      <c r="AC3811" s="25">
        <f t="shared" si="1156"/>
        <v>120356.41592920355</v>
      </c>
      <c r="AD3811" s="170">
        <v>0.16250000000000001</v>
      </c>
      <c r="AE3811" s="26">
        <f t="shared" si="1157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0"/>
        <v>30691842.970796466</v>
      </c>
      <c r="AJ3811" s="27">
        <f t="shared" si="1151"/>
        <v>4088324.205777524</v>
      </c>
      <c r="AK3811" s="230">
        <f t="shared" si="1158"/>
        <v>0.1332055624573473</v>
      </c>
      <c r="AL3811" s="24"/>
      <c r="AM3811" s="24"/>
      <c r="AN3811" s="24"/>
      <c r="AO3811" s="24"/>
      <c r="AP3811" s="165" t="str">
        <f t="shared" si="1159"/>
        <v>20252</v>
      </c>
      <c r="AQ3811" s="231" t="str">
        <f t="shared" si="1160"/>
        <v>20252RMB</v>
      </c>
      <c r="AR3811" s="232" t="str">
        <f t="shared" si="1161"/>
        <v>YAMAHA_Mounter</v>
      </c>
      <c r="AS3811" s="22">
        <f t="shared" si="1162"/>
        <v>3</v>
      </c>
      <c r="AT3811" s="24" t="str">
        <f t="shared" si="1163"/>
        <v>0-3 months</v>
      </c>
      <c r="AU3811" s="22" t="s">
        <v>3240</v>
      </c>
    </row>
    <row r="3812" spans="1:47">
      <c r="A3812" s="33" t="str">
        <f t="shared" si="1154"/>
        <v>FY 24/25</v>
      </c>
      <c r="B3812" s="23">
        <v>2024</v>
      </c>
      <c r="C3812" s="23">
        <v>11</v>
      </c>
      <c r="D3812" s="33" t="str">
        <f t="shared" si="1147"/>
        <v>Q3</v>
      </c>
      <c r="E3812" s="33" t="str">
        <f t="shared" si="1153"/>
        <v>FY 24/25</v>
      </c>
      <c r="F3812" s="23">
        <v>2024</v>
      </c>
      <c r="G3812" s="23">
        <v>12</v>
      </c>
      <c r="H3812" s="29"/>
      <c r="I3812" s="93" t="str">
        <f t="shared" si="1155"/>
        <v>Q3</v>
      </c>
      <c r="J3812" s="188" t="s">
        <v>3642</v>
      </c>
      <c r="K3812" s="29" t="s">
        <v>3620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164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149"/>
        <v>1.13</v>
      </c>
      <c r="Z3812" s="228">
        <f t="shared" si="1148"/>
        <v>544500</v>
      </c>
      <c r="AA3812" s="22">
        <v>1.0760000000000001</v>
      </c>
      <c r="AB3812" s="229">
        <f t="shared" si="1152"/>
        <v>518479.64601769921</v>
      </c>
      <c r="AC3812" s="25">
        <f t="shared" si="1156"/>
        <v>28620.076460176995</v>
      </c>
      <c r="AD3812" s="169">
        <v>5.5199999999999999E-2</v>
      </c>
      <c r="AE3812" s="26">
        <f t="shared" si="1157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0"/>
        <v>15965524.256637167</v>
      </c>
      <c r="AJ3812" s="27">
        <f t="shared" si="1151"/>
        <v>2480116.5996584073</v>
      </c>
      <c r="AK3812" s="230">
        <f t="shared" si="1158"/>
        <v>0.15534200817911609</v>
      </c>
      <c r="AL3812" s="24"/>
      <c r="AM3812" s="24"/>
      <c r="AN3812" s="24"/>
      <c r="AO3812" s="24"/>
      <c r="AP3812" s="165" t="str">
        <f t="shared" si="1159"/>
        <v>202412</v>
      </c>
      <c r="AQ3812" s="231" t="str">
        <f t="shared" si="1160"/>
        <v>202412RMB</v>
      </c>
      <c r="AR3812" s="232" t="str">
        <f t="shared" si="1161"/>
        <v>YAMAHA_Mounter</v>
      </c>
      <c r="AS3812" s="22">
        <f t="shared" si="1162"/>
        <v>1</v>
      </c>
      <c r="AT3812" s="24" t="str">
        <f t="shared" si="1163"/>
        <v>0-3 months</v>
      </c>
      <c r="AU3812" s="22" t="s">
        <v>3240</v>
      </c>
    </row>
    <row r="3813" spans="1:47">
      <c r="A3813" s="33" t="str">
        <f t="shared" si="1154"/>
        <v>FY 24/25</v>
      </c>
      <c r="B3813" s="23">
        <v>2024</v>
      </c>
      <c r="C3813" s="23">
        <v>11</v>
      </c>
      <c r="D3813" s="33" t="str">
        <f t="shared" si="1147"/>
        <v>Q3</v>
      </c>
      <c r="E3813" s="33" t="str">
        <f t="shared" si="1153"/>
        <v>FY 24/25</v>
      </c>
      <c r="F3813" s="23">
        <v>2024</v>
      </c>
      <c r="G3813" s="23">
        <v>12</v>
      </c>
      <c r="H3813" s="29"/>
      <c r="I3813" s="93" t="str">
        <f t="shared" si="1155"/>
        <v>Q3</v>
      </c>
      <c r="J3813" s="188" t="s">
        <v>3621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164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149"/>
        <v>1</v>
      </c>
      <c r="Z3813" s="228">
        <f t="shared" si="1148"/>
        <v>7200000</v>
      </c>
      <c r="AA3813" s="22">
        <v>5.2900000000000003E-2</v>
      </c>
      <c r="AB3813" s="229">
        <f t="shared" si="1152"/>
        <v>380880</v>
      </c>
      <c r="AC3813" s="25">
        <f t="shared" si="1156"/>
        <v>35650.368000000002</v>
      </c>
      <c r="AD3813" s="169">
        <v>9.3600000000000003E-2</v>
      </c>
      <c r="AE3813" s="26">
        <f t="shared" si="1157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0"/>
        <v>15965524.256637167</v>
      </c>
      <c r="AJ3813" s="27">
        <f t="shared" si="1151"/>
        <v>2480116.5996584073</v>
      </c>
      <c r="AK3813" s="230">
        <f t="shared" si="1158"/>
        <v>0.15534200817911609</v>
      </c>
      <c r="AL3813" s="24"/>
      <c r="AM3813" s="24"/>
      <c r="AN3813" s="24"/>
      <c r="AO3813" s="24"/>
      <c r="AP3813" s="165" t="str">
        <f t="shared" si="1159"/>
        <v>202412</v>
      </c>
      <c r="AQ3813" s="231" t="str">
        <f t="shared" si="1160"/>
        <v>202412JPY</v>
      </c>
      <c r="AR3813" s="232" t="str">
        <f t="shared" si="1161"/>
        <v>YAMAHA_Mounter</v>
      </c>
      <c r="AS3813" s="22">
        <f t="shared" si="1162"/>
        <v>1</v>
      </c>
      <c r="AT3813" s="24" t="str">
        <f t="shared" si="1163"/>
        <v>0-3 months</v>
      </c>
      <c r="AU3813" s="22" t="s">
        <v>3744</v>
      </c>
    </row>
    <row r="3814" spans="1:47">
      <c r="A3814" s="33" t="str">
        <f t="shared" si="1154"/>
        <v>FY 24/25</v>
      </c>
      <c r="B3814" s="23">
        <v>2024</v>
      </c>
      <c r="C3814" s="23">
        <v>11</v>
      </c>
      <c r="D3814" s="33" t="str">
        <f t="shared" si="1147"/>
        <v>Q3</v>
      </c>
      <c r="E3814" s="33" t="str">
        <f t="shared" si="1153"/>
        <v>FY 24/25</v>
      </c>
      <c r="F3814" s="23">
        <v>2024</v>
      </c>
      <c r="G3814" s="23">
        <v>12</v>
      </c>
      <c r="H3814" s="29"/>
      <c r="I3814" s="93" t="str">
        <f t="shared" si="1155"/>
        <v>Q3</v>
      </c>
      <c r="J3814" s="188" t="s">
        <v>3621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164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149"/>
        <v>1</v>
      </c>
      <c r="Z3814" s="228">
        <f t="shared" si="1148"/>
        <v>7200000</v>
      </c>
      <c r="AA3814" s="22">
        <v>5.2900000000000003E-2</v>
      </c>
      <c r="AB3814" s="229">
        <f t="shared" si="1152"/>
        <v>380880</v>
      </c>
      <c r="AC3814" s="25">
        <f t="shared" si="1156"/>
        <v>35650.368000000002</v>
      </c>
      <c r="AD3814" s="169">
        <v>9.3600000000000003E-2</v>
      </c>
      <c r="AE3814" s="26">
        <f t="shared" si="1157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0"/>
        <v>15965524.256637167</v>
      </c>
      <c r="AJ3814" s="27">
        <f t="shared" si="1151"/>
        <v>2480116.5996584073</v>
      </c>
      <c r="AK3814" s="230">
        <f t="shared" si="1158"/>
        <v>0.15534200817911609</v>
      </c>
      <c r="AL3814" s="24"/>
      <c r="AM3814" s="24"/>
      <c r="AN3814" s="24"/>
      <c r="AO3814" s="24"/>
      <c r="AP3814" s="165" t="str">
        <f t="shared" si="1159"/>
        <v>202412</v>
      </c>
      <c r="AQ3814" s="231" t="str">
        <f t="shared" si="1160"/>
        <v>202412JPY</v>
      </c>
      <c r="AR3814" s="232" t="str">
        <f t="shared" si="1161"/>
        <v>YAMAHA_Mounter</v>
      </c>
      <c r="AS3814" s="22">
        <f t="shared" si="1162"/>
        <v>1</v>
      </c>
      <c r="AT3814" s="24" t="str">
        <f t="shared" si="1163"/>
        <v>0-3 months</v>
      </c>
      <c r="AU3814" s="22" t="s">
        <v>3744</v>
      </c>
    </row>
    <row r="3815" spans="1:47">
      <c r="A3815" s="33" t="str">
        <f t="shared" si="1154"/>
        <v>FY 24/25</v>
      </c>
      <c r="B3815" s="23">
        <v>2024</v>
      </c>
      <c r="C3815" s="23">
        <v>11</v>
      </c>
      <c r="D3815" s="33" t="str">
        <f t="shared" si="1147"/>
        <v>Q3</v>
      </c>
      <c r="E3815" s="33" t="str">
        <f t="shared" si="1153"/>
        <v>FY 24/25</v>
      </c>
      <c r="F3815" s="23">
        <v>2025</v>
      </c>
      <c r="G3815" s="23">
        <v>2</v>
      </c>
      <c r="H3815" s="29"/>
      <c r="I3815" s="93" t="str">
        <f t="shared" si="1155"/>
        <v>Q4</v>
      </c>
      <c r="J3815" s="188" t="s">
        <v>3622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164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149"/>
        <v>1</v>
      </c>
      <c r="Z3815" s="228">
        <f t="shared" si="1148"/>
        <v>13500000</v>
      </c>
      <c r="AA3815" s="22">
        <v>5.11E-2</v>
      </c>
      <c r="AB3815" s="229">
        <f t="shared" si="1152"/>
        <v>689850</v>
      </c>
      <c r="AC3815" s="25">
        <f t="shared" si="1156"/>
        <v>86300.234999999986</v>
      </c>
      <c r="AD3815" s="170">
        <v>0.12509999999999999</v>
      </c>
      <c r="AE3815" s="26">
        <f t="shared" si="1157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0"/>
        <v>30691842.970796466</v>
      </c>
      <c r="AJ3815" s="27">
        <f t="shared" si="1151"/>
        <v>4088324.205777524</v>
      </c>
      <c r="AK3815" s="230">
        <f t="shared" si="1158"/>
        <v>0.1332055624573473</v>
      </c>
      <c r="AL3815" s="24"/>
      <c r="AM3815" s="24"/>
      <c r="AN3815" s="24"/>
      <c r="AO3815" s="24"/>
      <c r="AP3815" s="165" t="str">
        <f t="shared" si="1159"/>
        <v>20252</v>
      </c>
      <c r="AQ3815" s="231" t="str">
        <f t="shared" si="1160"/>
        <v>20252JPY</v>
      </c>
      <c r="AR3815" s="232" t="str">
        <f t="shared" si="1161"/>
        <v>YAMAHA_Mounter</v>
      </c>
      <c r="AS3815" s="22">
        <f t="shared" si="1162"/>
        <v>3</v>
      </c>
      <c r="AT3815" s="24" t="str">
        <f t="shared" si="1163"/>
        <v>0-3 months</v>
      </c>
      <c r="AU3815" s="22" t="s">
        <v>3744</v>
      </c>
    </row>
    <row r="3816" spans="1:47">
      <c r="A3816" s="33" t="str">
        <f t="shared" si="1154"/>
        <v>FY 24/25</v>
      </c>
      <c r="B3816" s="23">
        <v>2024</v>
      </c>
      <c r="C3816" s="23">
        <v>11</v>
      </c>
      <c r="D3816" s="33" t="str">
        <f t="shared" si="1147"/>
        <v>Q3</v>
      </c>
      <c r="E3816" s="33" t="str">
        <f t="shared" si="1153"/>
        <v>FY 24/25</v>
      </c>
      <c r="F3816" s="23">
        <v>2025</v>
      </c>
      <c r="G3816" s="23">
        <v>2</v>
      </c>
      <c r="H3816" s="29"/>
      <c r="I3816" s="93" t="str">
        <f t="shared" si="1155"/>
        <v>Q4</v>
      </c>
      <c r="J3816" s="188" t="s">
        <v>3622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164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149"/>
        <v>1</v>
      </c>
      <c r="Z3816" s="228">
        <f t="shared" si="1148"/>
        <v>13500000</v>
      </c>
      <c r="AA3816" s="22">
        <v>5.11E-2</v>
      </c>
      <c r="AB3816" s="229">
        <f t="shared" si="1152"/>
        <v>689850</v>
      </c>
      <c r="AC3816" s="25">
        <f t="shared" si="1156"/>
        <v>86300.234999999986</v>
      </c>
      <c r="AD3816" s="170">
        <v>0.12509999999999999</v>
      </c>
      <c r="AE3816" s="26">
        <f t="shared" si="1157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0"/>
        <v>30691842.970796466</v>
      </c>
      <c r="AJ3816" s="27">
        <f t="shared" si="1151"/>
        <v>4088324.205777524</v>
      </c>
      <c r="AK3816" s="230">
        <f t="shared" si="1158"/>
        <v>0.1332055624573473</v>
      </c>
      <c r="AL3816" s="24"/>
      <c r="AM3816" s="24"/>
      <c r="AN3816" s="24"/>
      <c r="AO3816" s="24"/>
      <c r="AP3816" s="165" t="str">
        <f t="shared" si="1159"/>
        <v>20252</v>
      </c>
      <c r="AQ3816" s="231" t="str">
        <f t="shared" si="1160"/>
        <v>20252JPY</v>
      </c>
      <c r="AR3816" s="232" t="str">
        <f t="shared" si="1161"/>
        <v>YAMAHA_Mounter</v>
      </c>
      <c r="AS3816" s="22">
        <f t="shared" si="1162"/>
        <v>3</v>
      </c>
      <c r="AT3816" s="24" t="str">
        <f t="shared" si="1163"/>
        <v>0-3 months</v>
      </c>
      <c r="AU3816" s="22" t="s">
        <v>3744</v>
      </c>
    </row>
    <row r="3817" spans="1:47">
      <c r="A3817" s="33" t="str">
        <f t="shared" si="1154"/>
        <v>FY 24/25</v>
      </c>
      <c r="B3817" s="23">
        <v>2024</v>
      </c>
      <c r="C3817" s="23">
        <v>11</v>
      </c>
      <c r="D3817" s="33" t="str">
        <f t="shared" si="1147"/>
        <v>Q3</v>
      </c>
      <c r="E3817" s="33" t="str">
        <f t="shared" si="1153"/>
        <v>FY 24/25</v>
      </c>
      <c r="F3817" s="23">
        <v>2025</v>
      </c>
      <c r="G3817" s="23">
        <v>2</v>
      </c>
      <c r="H3817" s="29"/>
      <c r="I3817" s="93" t="str">
        <f t="shared" si="1155"/>
        <v>Q4</v>
      </c>
      <c r="J3817" s="188" t="s">
        <v>3622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164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28">
        <f t="shared" si="1148"/>
        <v>10000000</v>
      </c>
      <c r="AA3817" s="22">
        <v>5.11E-2</v>
      </c>
      <c r="AB3817" s="229">
        <f t="shared" si="1152"/>
        <v>511000</v>
      </c>
      <c r="AC3817" s="25">
        <f t="shared" si="1156"/>
        <v>63926.099999999991</v>
      </c>
      <c r="AD3817" s="170">
        <v>0.12509999999999999</v>
      </c>
      <c r="AE3817" s="26">
        <f t="shared" si="1157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0"/>
        <v>30691842.970796466</v>
      </c>
      <c r="AJ3817" s="27">
        <f t="shared" si="1151"/>
        <v>4088324.205777524</v>
      </c>
      <c r="AK3817" s="230">
        <f t="shared" si="1158"/>
        <v>0.1332055624573473</v>
      </c>
      <c r="AL3817" s="24"/>
      <c r="AM3817" s="24"/>
      <c r="AN3817" s="24"/>
      <c r="AO3817" s="24"/>
      <c r="AP3817" s="165" t="str">
        <f t="shared" si="1159"/>
        <v>20252</v>
      </c>
      <c r="AQ3817" s="231" t="str">
        <f>IF(W3817="","",F3817&amp;G3817&amp;W3817)</f>
        <v>20252JPY</v>
      </c>
      <c r="AR3817" s="232" t="str">
        <f t="shared" si="1161"/>
        <v>YAMAHA_Mounter</v>
      </c>
      <c r="AS3817" s="22">
        <f t="shared" si="1162"/>
        <v>3</v>
      </c>
      <c r="AT3817" s="24" t="str">
        <f t="shared" si="1163"/>
        <v>0-3 months</v>
      </c>
      <c r="AU3817" s="22" t="s">
        <v>3744</v>
      </c>
    </row>
    <row r="3818" spans="1:47">
      <c r="A3818" s="33" t="str">
        <f t="shared" si="1154"/>
        <v>FY 24/25</v>
      </c>
      <c r="B3818" s="23">
        <v>2024</v>
      </c>
      <c r="C3818" s="23">
        <v>11</v>
      </c>
      <c r="D3818" s="33" t="str">
        <f t="shared" si="1147"/>
        <v>Q3</v>
      </c>
      <c r="E3818" s="33" t="str">
        <f t="shared" si="1153"/>
        <v>FY 24/25</v>
      </c>
      <c r="F3818" s="23">
        <v>2024</v>
      </c>
      <c r="G3818" s="23">
        <v>12</v>
      </c>
      <c r="H3818" s="29"/>
      <c r="I3818" s="93" t="str">
        <f t="shared" si="1155"/>
        <v>Q3</v>
      </c>
      <c r="J3818" s="188" t="s">
        <v>3623</v>
      </c>
      <c r="K3818" s="29" t="s">
        <v>3624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164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3625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28">
        <v>29300</v>
      </c>
      <c r="AA3818" s="22">
        <v>1.0760000000000001</v>
      </c>
      <c r="AB3818" s="229">
        <f>Z3818/Y3818*AA3818</f>
        <v>27899.823008849562</v>
      </c>
      <c r="AC3818" s="25">
        <f t="shared" si="1156"/>
        <v>6514.6086725663727</v>
      </c>
      <c r="AD3818" s="169">
        <v>0.23350000000000001</v>
      </c>
      <c r="AE3818" s="26">
        <f t="shared" si="1157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0"/>
        <v>15965524.256637167</v>
      </c>
      <c r="AJ3818" s="27">
        <f t="shared" si="1151"/>
        <v>2480116.5996584073</v>
      </c>
      <c r="AK3818" s="230">
        <f t="shared" si="1158"/>
        <v>0.15534200817911609</v>
      </c>
      <c r="AL3818" s="24"/>
      <c r="AM3818" s="24"/>
      <c r="AN3818" s="24"/>
      <c r="AO3818" s="24"/>
      <c r="AP3818" s="165" t="str">
        <f t="shared" si="1159"/>
        <v>202412</v>
      </c>
      <c r="AQ3818" s="231" t="str">
        <f>IF(W3818="","",F3818&amp;G3818&amp;W3818)</f>
        <v>202412RMB</v>
      </c>
      <c r="AR3818" s="232" t="str">
        <f t="shared" si="1161"/>
        <v>SOLDERSTAR</v>
      </c>
      <c r="AS3818" s="22">
        <f t="shared" si="1162"/>
        <v>1</v>
      </c>
      <c r="AT3818" s="24" t="str">
        <f t="shared" si="1163"/>
        <v>0-3 months</v>
      </c>
      <c r="AU3818" s="22" t="s">
        <v>3240</v>
      </c>
    </row>
    <row r="3819" spans="1:47">
      <c r="A3819" s="33" t="str">
        <f t="shared" si="1154"/>
        <v>FY 24/25</v>
      </c>
      <c r="B3819" s="23">
        <v>2024</v>
      </c>
      <c r="C3819" s="23">
        <v>10</v>
      </c>
      <c r="D3819" s="33" t="str">
        <f t="shared" si="1147"/>
        <v>Q3</v>
      </c>
      <c r="E3819" s="33" t="str">
        <f t="shared" si="1153"/>
        <v>FY 24/25</v>
      </c>
      <c r="F3819" s="23">
        <v>2024</v>
      </c>
      <c r="G3819" s="23">
        <v>11</v>
      </c>
      <c r="H3819" s="29"/>
      <c r="I3819" s="93" t="str">
        <f t="shared" si="1155"/>
        <v>Q3</v>
      </c>
      <c r="J3819" s="188" t="s">
        <v>3626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164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149"/>
        <v>1.13</v>
      </c>
      <c r="Z3819" s="228">
        <f t="shared" si="1148"/>
        <v>452000</v>
      </c>
      <c r="AA3819" s="22">
        <v>1.0920000000000001</v>
      </c>
      <c r="AB3819" s="229">
        <f t="shared" si="1152"/>
        <v>436800.00000000012</v>
      </c>
      <c r="AC3819" s="25">
        <f t="shared" si="1156"/>
        <v>67136.160000000018</v>
      </c>
      <c r="AD3819" s="169">
        <v>0.1537</v>
      </c>
      <c r="AE3819" s="26">
        <f t="shared" si="1157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0"/>
        <v>32082250.320460182</v>
      </c>
      <c r="AJ3819" s="27">
        <f t="shared" si="1151"/>
        <v>4323122.9746477893</v>
      </c>
      <c r="AK3819" s="230">
        <f t="shared" si="1158"/>
        <v>0.1347512388147771</v>
      </c>
      <c r="AL3819" s="24"/>
      <c r="AM3819" s="24"/>
      <c r="AN3819" s="24"/>
      <c r="AO3819" s="24"/>
      <c r="AP3819" s="165" t="str">
        <f t="shared" si="1159"/>
        <v>202411</v>
      </c>
      <c r="AQ3819" s="231" t="str">
        <f t="shared" si="1160"/>
        <v>202411RMB</v>
      </c>
      <c r="AR3819" s="232" t="str">
        <f t="shared" si="1161"/>
        <v>YAMAHA_Mounter</v>
      </c>
      <c r="AS3819" s="22">
        <f t="shared" si="1162"/>
        <v>1</v>
      </c>
      <c r="AT3819" s="24" t="str">
        <f t="shared" si="1163"/>
        <v>0-3 months</v>
      </c>
      <c r="AU3819" s="22" t="s">
        <v>3240</v>
      </c>
    </row>
    <row r="3820" spans="1:47">
      <c r="A3820" s="33" t="str">
        <f t="shared" si="1154"/>
        <v>FY 24/25</v>
      </c>
      <c r="B3820" s="23">
        <v>2024</v>
      </c>
      <c r="C3820" s="23">
        <v>12</v>
      </c>
      <c r="D3820" s="33" t="str">
        <f t="shared" si="1147"/>
        <v>Q3</v>
      </c>
      <c r="E3820" s="33" t="str">
        <f t="shared" si="1153"/>
        <v>FY 24/25</v>
      </c>
      <c r="F3820" s="23">
        <v>2024</v>
      </c>
      <c r="G3820" s="23">
        <v>12</v>
      </c>
      <c r="H3820" s="29"/>
      <c r="I3820" s="93" t="str">
        <f t="shared" si="1155"/>
        <v>Q3</v>
      </c>
      <c r="J3820" s="188" t="s">
        <v>3627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164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149"/>
        <v>1</v>
      </c>
      <c r="Z3820" s="228">
        <f t="shared" si="1148"/>
        <v>8000000</v>
      </c>
      <c r="AA3820" s="22">
        <v>5.2900000000000003E-2</v>
      </c>
      <c r="AB3820" s="229">
        <f>IF(AND(R3820&lt;&gt;"C66",R3820&lt;&gt;""),Z3820/Y3820*AA3820,"")</f>
        <v>423200</v>
      </c>
      <c r="AC3820" s="25">
        <f t="shared" si="1156"/>
        <v>41219.68</v>
      </c>
      <c r="AD3820" s="169">
        <v>9.74E-2</v>
      </c>
      <c r="AE3820" s="26">
        <f t="shared" si="1157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0"/>
        <v>15965524.256637167</v>
      </c>
      <c r="AJ3820" s="27">
        <f t="shared" si="1151"/>
        <v>2480116.5996584073</v>
      </c>
      <c r="AK3820" s="230">
        <f t="shared" si="1158"/>
        <v>0.15534200817911609</v>
      </c>
      <c r="AL3820" s="24"/>
      <c r="AM3820" s="24"/>
      <c r="AN3820" s="24"/>
      <c r="AO3820" s="24"/>
      <c r="AP3820" s="165" t="str">
        <f t="shared" si="1159"/>
        <v>202412</v>
      </c>
      <c r="AQ3820" s="231" t="str">
        <f t="shared" si="1160"/>
        <v>202412JPY</v>
      </c>
      <c r="AR3820" s="232" t="str">
        <f t="shared" si="1161"/>
        <v>YAMAHA_Non_Mounter</v>
      </c>
      <c r="AS3820" s="22">
        <f t="shared" si="1162"/>
        <v>0</v>
      </c>
      <c r="AT3820" s="24" t="str">
        <f t="shared" si="1163"/>
        <v>0-3 months</v>
      </c>
      <c r="AU3820" s="22" t="s">
        <v>3745</v>
      </c>
    </row>
    <row r="3821" spans="1:47">
      <c r="A3821" s="33" t="str">
        <f t="shared" si="1154"/>
        <v>FY 24/25</v>
      </c>
      <c r="B3821" s="23">
        <v>2024</v>
      </c>
      <c r="C3821" s="23">
        <v>12</v>
      </c>
      <c r="D3821" s="33" t="str">
        <f t="shared" si="1147"/>
        <v>Q3</v>
      </c>
      <c r="E3821" s="33" t="str">
        <f t="shared" si="1153"/>
        <v>FY 24/25</v>
      </c>
      <c r="F3821" s="23">
        <v>2024</v>
      </c>
      <c r="G3821" s="23">
        <v>12</v>
      </c>
      <c r="H3821" s="29"/>
      <c r="I3821" s="93" t="str">
        <f t="shared" si="1155"/>
        <v>Q3</v>
      </c>
      <c r="J3821" s="188" t="s">
        <v>3630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164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149"/>
        <v>1</v>
      </c>
      <c r="Z3821" s="228">
        <v>10175000</v>
      </c>
      <c r="AA3821" s="22">
        <v>5.2900000000000003E-2</v>
      </c>
      <c r="AB3821" s="229">
        <f>IF(AND(R3821&lt;&gt;"C66",R3821&lt;&gt;""),Z3821/Y3821*AA3821,"")</f>
        <v>538257.5</v>
      </c>
      <c r="AC3821" s="25">
        <f t="shared" si="1156"/>
        <v>75356.05</v>
      </c>
      <c r="AD3821" s="169">
        <v>0.14000000000000001</v>
      </c>
      <c r="AE3821" s="26">
        <f t="shared" si="1157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0"/>
        <v>15965524.256637167</v>
      </c>
      <c r="AJ3821" s="27">
        <f t="shared" si="1151"/>
        <v>2480116.5996584073</v>
      </c>
      <c r="AK3821" s="230">
        <f t="shared" si="1158"/>
        <v>0.15534200817911609</v>
      </c>
      <c r="AL3821" s="24"/>
      <c r="AM3821" s="24"/>
      <c r="AN3821" s="24"/>
      <c r="AO3821" s="24"/>
      <c r="AP3821" s="165" t="str">
        <f t="shared" si="1159"/>
        <v>202412</v>
      </c>
      <c r="AQ3821" s="231" t="str">
        <f t="shared" si="1160"/>
        <v>202412JPY</v>
      </c>
      <c r="AR3821" s="232" t="str">
        <f t="shared" si="1161"/>
        <v>YAMAHA_Mounter</v>
      </c>
      <c r="AS3821" s="22">
        <f t="shared" si="1162"/>
        <v>0</v>
      </c>
      <c r="AT3821" s="24" t="str">
        <f t="shared" si="1163"/>
        <v>0-3 months</v>
      </c>
      <c r="AU3821" s="22" t="s">
        <v>3745</v>
      </c>
    </row>
    <row r="3822" spans="1:47">
      <c r="A3822" s="33" t="str">
        <f t="shared" si="1154"/>
        <v>FY 24/25</v>
      </c>
      <c r="B3822" s="23">
        <v>2024</v>
      </c>
      <c r="C3822" s="23">
        <v>12</v>
      </c>
      <c r="D3822" s="33" t="str">
        <f t="shared" si="1147"/>
        <v>Q3</v>
      </c>
      <c r="E3822" s="33" t="str">
        <f t="shared" si="1153"/>
        <v>FY 24/25</v>
      </c>
      <c r="F3822" s="23">
        <v>2024</v>
      </c>
      <c r="G3822" s="23">
        <v>12</v>
      </c>
      <c r="H3822" s="29"/>
      <c r="I3822" s="93" t="str">
        <f t="shared" si="1155"/>
        <v>Q3</v>
      </c>
      <c r="J3822" s="188" t="s">
        <v>3630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164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149"/>
        <v>1</v>
      </c>
      <c r="Z3822" s="228">
        <v>10175000</v>
      </c>
      <c r="AA3822" s="22">
        <v>5.2900000000000003E-2</v>
      </c>
      <c r="AB3822" s="229">
        <f t="shared" si="1152"/>
        <v>538257.5</v>
      </c>
      <c r="AC3822" s="25">
        <f t="shared" si="1156"/>
        <v>75356.05</v>
      </c>
      <c r="AD3822" s="169">
        <v>0.14000000000000001</v>
      </c>
      <c r="AE3822" s="26">
        <f t="shared" si="1157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0"/>
        <v>15965524.256637167</v>
      </c>
      <c r="AJ3822" s="27">
        <f t="shared" si="1151"/>
        <v>2480116.5996584073</v>
      </c>
      <c r="AK3822" s="230">
        <f t="shared" si="1158"/>
        <v>0.15534200817911609</v>
      </c>
      <c r="AL3822" s="24"/>
      <c r="AM3822" s="24"/>
      <c r="AN3822" s="24"/>
      <c r="AO3822" s="24"/>
      <c r="AP3822" s="165" t="str">
        <f t="shared" si="1159"/>
        <v>202412</v>
      </c>
      <c r="AQ3822" s="231" t="str">
        <f t="shared" si="1160"/>
        <v>202412JPY</v>
      </c>
      <c r="AR3822" s="232" t="str">
        <f t="shared" si="1161"/>
        <v>YAMAHA_Mounter</v>
      </c>
      <c r="AS3822" s="22">
        <f t="shared" si="1162"/>
        <v>0</v>
      </c>
      <c r="AT3822" s="24" t="str">
        <f t="shared" si="1163"/>
        <v>0-3 months</v>
      </c>
      <c r="AU3822" s="22" t="s">
        <v>3745</v>
      </c>
    </row>
    <row r="3823" spans="1:47">
      <c r="A3823" s="33" t="str">
        <f t="shared" si="1154"/>
        <v>FY 24/25</v>
      </c>
      <c r="B3823" s="23">
        <v>2024</v>
      </c>
      <c r="C3823" s="23">
        <v>12</v>
      </c>
      <c r="D3823" s="33" t="str">
        <f t="shared" si="1147"/>
        <v>Q3</v>
      </c>
      <c r="E3823" s="33" t="str">
        <f t="shared" si="1153"/>
        <v>FY 24/25</v>
      </c>
      <c r="F3823" s="23">
        <v>2024</v>
      </c>
      <c r="G3823" s="23">
        <v>12</v>
      </c>
      <c r="H3823" s="29"/>
      <c r="I3823" s="93" t="str">
        <f t="shared" si="1155"/>
        <v>Q3</v>
      </c>
      <c r="J3823" s="188" t="s">
        <v>3631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164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149"/>
        <v>1</v>
      </c>
      <c r="Z3823" s="228">
        <f t="shared" si="1148"/>
        <v>7500000</v>
      </c>
      <c r="AA3823" s="22">
        <v>5.2900000000000003E-2</v>
      </c>
      <c r="AB3823" s="229">
        <f t="shared" si="1152"/>
        <v>396750</v>
      </c>
      <c r="AC3823" s="25">
        <f t="shared" si="1156"/>
        <v>27455.1</v>
      </c>
      <c r="AD3823" s="169">
        <v>6.9199999999999998E-2</v>
      </c>
      <c r="AE3823" s="26">
        <f t="shared" si="1157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0"/>
        <v>15965524.256637167</v>
      </c>
      <c r="AJ3823" s="27">
        <f t="shared" si="1151"/>
        <v>2480116.5996584073</v>
      </c>
      <c r="AK3823" s="230">
        <f t="shared" si="1158"/>
        <v>0.15534200817911609</v>
      </c>
      <c r="AL3823" s="24"/>
      <c r="AM3823" s="24"/>
      <c r="AN3823" s="24"/>
      <c r="AO3823" s="24"/>
      <c r="AP3823" s="165" t="str">
        <f t="shared" si="1159"/>
        <v>202412</v>
      </c>
      <c r="AQ3823" s="231" t="str">
        <f t="shared" si="1160"/>
        <v>202412JPY</v>
      </c>
      <c r="AR3823" s="232" t="str">
        <f t="shared" si="1161"/>
        <v>YAMAHA_Mounter</v>
      </c>
      <c r="AS3823" s="22">
        <f t="shared" si="1162"/>
        <v>0</v>
      </c>
      <c r="AT3823" s="24" t="str">
        <f t="shared" si="1163"/>
        <v>0-3 months</v>
      </c>
      <c r="AU3823" s="22" t="s">
        <v>3744</v>
      </c>
    </row>
    <row r="3824" spans="1:47">
      <c r="A3824" s="33" t="str">
        <f t="shared" si="1154"/>
        <v>FY 24/25</v>
      </c>
      <c r="B3824" s="23">
        <v>2024</v>
      </c>
      <c r="C3824" s="23">
        <v>12</v>
      </c>
      <c r="D3824" s="33" t="str">
        <f t="shared" si="1147"/>
        <v>Q3</v>
      </c>
      <c r="E3824" s="33" t="str">
        <f t="shared" si="1153"/>
        <v>FY 25/26</v>
      </c>
      <c r="F3824" s="23">
        <v>2025</v>
      </c>
      <c r="G3824" s="23">
        <v>5</v>
      </c>
      <c r="H3824" s="29"/>
      <c r="I3824" s="93" t="str">
        <f t="shared" si="1155"/>
        <v>Q1</v>
      </c>
      <c r="J3824" s="188" t="s">
        <v>3632</v>
      </c>
      <c r="K3824" s="29" t="s">
        <v>3645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164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149"/>
        <v>1</v>
      </c>
      <c r="Z3824" s="228">
        <f t="shared" si="1148"/>
        <v>8000000</v>
      </c>
      <c r="AA3824" s="22">
        <v>5.3100000000000001E-2</v>
      </c>
      <c r="AB3824" s="229">
        <f t="shared" si="1152"/>
        <v>424800</v>
      </c>
      <c r="AC3824" s="25">
        <f t="shared" si="1156"/>
        <v>50976</v>
      </c>
      <c r="AD3824" s="169">
        <v>0.12</v>
      </c>
      <c r="AE3824" s="26">
        <f t="shared" si="1157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0"/>
        <v>25644924.956447776</v>
      </c>
      <c r="AJ3824" s="27">
        <f t="shared" si="1151"/>
        <v>3058146.223092318</v>
      </c>
      <c r="AK3824" s="230">
        <f t="shared" si="1158"/>
        <v>0.11924956802509276</v>
      </c>
      <c r="AL3824" s="24"/>
      <c r="AM3824" s="24"/>
      <c r="AN3824" s="24"/>
      <c r="AO3824" s="24"/>
      <c r="AP3824" s="165" t="str">
        <f t="shared" si="1159"/>
        <v>20255</v>
      </c>
      <c r="AQ3824" s="231" t="str">
        <f t="shared" si="1160"/>
        <v>20255JPY</v>
      </c>
      <c r="AR3824" s="232" t="str">
        <f t="shared" si="1161"/>
        <v>YAMAHA_Mounter</v>
      </c>
      <c r="AS3824" s="22">
        <f t="shared" si="1162"/>
        <v>5</v>
      </c>
      <c r="AT3824" s="24" t="str">
        <f t="shared" si="1163"/>
        <v>4-6 months</v>
      </c>
      <c r="AU3824" s="22" t="s">
        <v>3744</v>
      </c>
    </row>
    <row r="3825" spans="1:47">
      <c r="A3825" s="33" t="str">
        <f t="shared" si="1154"/>
        <v>FY 24/25</v>
      </c>
      <c r="B3825" s="23">
        <v>2024</v>
      </c>
      <c r="C3825" s="23">
        <v>12</v>
      </c>
      <c r="D3825" s="33" t="str">
        <f t="shared" si="1147"/>
        <v>Q3</v>
      </c>
      <c r="E3825" s="33" t="str">
        <f t="shared" si="1153"/>
        <v>FY 24/25</v>
      </c>
      <c r="F3825" s="23">
        <v>2025</v>
      </c>
      <c r="G3825" s="23">
        <v>1</v>
      </c>
      <c r="H3825" s="29"/>
      <c r="I3825" s="93" t="str">
        <f t="shared" si="1155"/>
        <v>Q4</v>
      </c>
      <c r="J3825" s="188" t="s">
        <v>3633</v>
      </c>
      <c r="K3825" s="29" t="s">
        <v>3639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164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149"/>
        <v>1.13</v>
      </c>
      <c r="Z3825" s="228">
        <f t="shared" si="1148"/>
        <v>410342.85714285716</v>
      </c>
      <c r="AA3825" s="22">
        <v>1.0640000000000001</v>
      </c>
      <c r="AB3825" s="229">
        <f t="shared" si="1152"/>
        <v>386375.92920353991</v>
      </c>
      <c r="AC3825" s="25">
        <f t="shared" si="1156"/>
        <v>18584.682194690267</v>
      </c>
      <c r="AD3825" s="169">
        <v>4.8099999999999997E-2</v>
      </c>
      <c r="AE3825" s="26">
        <f t="shared" si="1157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0"/>
        <v>16190947.162761064</v>
      </c>
      <c r="AJ3825" s="27">
        <f t="shared" si="1151"/>
        <v>2256328.1660673413</v>
      </c>
      <c r="AK3825" s="230">
        <f t="shared" si="1158"/>
        <v>0.13935739171929745</v>
      </c>
      <c r="AL3825" s="24"/>
      <c r="AM3825" s="24"/>
      <c r="AN3825" s="24"/>
      <c r="AO3825" s="24"/>
      <c r="AP3825" s="165" t="str">
        <f t="shared" si="1159"/>
        <v>20251</v>
      </c>
      <c r="AQ3825" s="231" t="str">
        <f t="shared" si="1160"/>
        <v>20251RMB</v>
      </c>
      <c r="AR3825" s="232" t="str">
        <f t="shared" si="1161"/>
        <v>YAMAHA_Mounter</v>
      </c>
      <c r="AS3825" s="22">
        <f t="shared" si="1162"/>
        <v>1</v>
      </c>
      <c r="AT3825" s="24" t="str">
        <f t="shared" si="1163"/>
        <v>0-3 months</v>
      </c>
      <c r="AU3825" s="22" t="s">
        <v>3240</v>
      </c>
    </row>
    <row r="3826" spans="1:47">
      <c r="A3826" s="33" t="str">
        <f t="shared" si="1154"/>
        <v>FY 24/25</v>
      </c>
      <c r="B3826" s="23">
        <v>2024</v>
      </c>
      <c r="C3826" s="23">
        <v>12</v>
      </c>
      <c r="D3826" s="33" t="str">
        <f t="shared" ref="D3826:D3889" si="1165">IF(B3826="","",IF(AND(C3826&gt;=10,C3826&lt;=12),"Q3",IF(AND(C3826&gt;=1,C3826&lt;=3),"Q4",IF(AND(C3826&gt;=7,C3826&lt;=9),"Q2",IF(AND(C3826&gt;=4,C3826&lt;=6),"Q1")))))</f>
        <v>Q3</v>
      </c>
      <c r="E3826" s="33" t="str">
        <f t="shared" si="1153"/>
        <v>FY 24/25</v>
      </c>
      <c r="F3826" s="23">
        <v>2025</v>
      </c>
      <c r="G3826" s="23">
        <v>1</v>
      </c>
      <c r="H3826" s="29"/>
      <c r="I3826" s="93" t="str">
        <f t="shared" si="1155"/>
        <v>Q4</v>
      </c>
      <c r="J3826" s="188" t="s">
        <v>3633</v>
      </c>
      <c r="K3826" s="29" t="s">
        <v>3639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164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149"/>
        <v>1.13</v>
      </c>
      <c r="Z3826" s="228">
        <f t="shared" ref="Z3826:Z3889" si="1166">IF(X3826="","",X3826*MAX(O3826,N3826))</f>
        <v>410342.85714285716</v>
      </c>
      <c r="AA3826" s="22">
        <v>1.0640000000000001</v>
      </c>
      <c r="AB3826" s="229">
        <f t="shared" si="1152"/>
        <v>386375.92920353991</v>
      </c>
      <c r="AC3826" s="25">
        <f t="shared" si="1156"/>
        <v>18584.682194690267</v>
      </c>
      <c r="AD3826" s="169">
        <v>4.8099999999999997E-2</v>
      </c>
      <c r="AE3826" s="26">
        <f t="shared" si="1157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0"/>
        <v>16190947.162761064</v>
      </c>
      <c r="AJ3826" s="27">
        <f t="shared" si="1151"/>
        <v>2256328.1660673413</v>
      </c>
      <c r="AK3826" s="230">
        <f t="shared" si="1158"/>
        <v>0.13935739171929745</v>
      </c>
      <c r="AL3826" s="24"/>
      <c r="AM3826" s="24"/>
      <c r="AN3826" s="24"/>
      <c r="AO3826" s="24"/>
      <c r="AP3826" s="165" t="str">
        <f t="shared" si="1159"/>
        <v>20251</v>
      </c>
      <c r="AQ3826" s="231" t="str">
        <f t="shared" si="1160"/>
        <v>20251RMB</v>
      </c>
      <c r="AR3826" s="232" t="str">
        <f t="shared" si="1161"/>
        <v>YAMAHA_Mounter</v>
      </c>
      <c r="AS3826" s="22">
        <f t="shared" si="1162"/>
        <v>1</v>
      </c>
      <c r="AT3826" s="24" t="str">
        <f t="shared" si="1163"/>
        <v>0-3 months</v>
      </c>
      <c r="AU3826" s="22" t="s">
        <v>3240</v>
      </c>
    </row>
    <row r="3827" spans="1:47">
      <c r="A3827" s="33" t="str">
        <f t="shared" si="1154"/>
        <v>FY 24/25</v>
      </c>
      <c r="B3827" s="23">
        <v>2024</v>
      </c>
      <c r="C3827" s="23">
        <v>12</v>
      </c>
      <c r="D3827" s="33" t="str">
        <f t="shared" si="1165"/>
        <v>Q3</v>
      </c>
      <c r="E3827" s="33" t="str">
        <f t="shared" si="1153"/>
        <v>FY 24/25</v>
      </c>
      <c r="F3827" s="23">
        <v>2025</v>
      </c>
      <c r="G3827" s="23">
        <v>1</v>
      </c>
      <c r="H3827" s="29"/>
      <c r="I3827" s="93" t="str">
        <f t="shared" si="1155"/>
        <v>Q4</v>
      </c>
      <c r="J3827" s="188" t="s">
        <v>3633</v>
      </c>
      <c r="K3827" s="29" t="s">
        <v>3639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164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149"/>
        <v>1.13</v>
      </c>
      <c r="Z3827" s="228">
        <f t="shared" si="1166"/>
        <v>410342.85714285716</v>
      </c>
      <c r="AA3827" s="22">
        <v>1.0640000000000001</v>
      </c>
      <c r="AB3827" s="229">
        <f t="shared" si="1152"/>
        <v>386375.92920353991</v>
      </c>
      <c r="AC3827" s="25">
        <f t="shared" si="1156"/>
        <v>18584.682194690267</v>
      </c>
      <c r="AD3827" s="169">
        <v>4.8099999999999997E-2</v>
      </c>
      <c r="AE3827" s="26">
        <f t="shared" si="1157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0"/>
        <v>16190947.162761064</v>
      </c>
      <c r="AJ3827" s="27">
        <f t="shared" si="1151"/>
        <v>2256328.1660673413</v>
      </c>
      <c r="AK3827" s="230">
        <f t="shared" si="1158"/>
        <v>0.13935739171929745</v>
      </c>
      <c r="AL3827" s="24"/>
      <c r="AM3827" s="24"/>
      <c r="AN3827" s="24"/>
      <c r="AO3827" s="24"/>
      <c r="AP3827" s="165" t="str">
        <f t="shared" si="1159"/>
        <v>20251</v>
      </c>
      <c r="AQ3827" s="231" t="str">
        <f t="shared" si="1160"/>
        <v>20251RMB</v>
      </c>
      <c r="AR3827" s="232" t="str">
        <f t="shared" si="1161"/>
        <v>YAMAHA_Mounter</v>
      </c>
      <c r="AS3827" s="22">
        <f t="shared" si="1162"/>
        <v>1</v>
      </c>
      <c r="AT3827" s="24" t="str">
        <f t="shared" si="1163"/>
        <v>0-3 months</v>
      </c>
      <c r="AU3827" s="22" t="s">
        <v>3240</v>
      </c>
    </row>
    <row r="3828" spans="1:47">
      <c r="A3828" s="33" t="str">
        <f t="shared" si="1154"/>
        <v>FY 24/25</v>
      </c>
      <c r="B3828" s="23">
        <v>2024</v>
      </c>
      <c r="C3828" s="23">
        <v>12</v>
      </c>
      <c r="D3828" s="33" t="str">
        <f t="shared" si="1165"/>
        <v>Q3</v>
      </c>
      <c r="E3828" s="33" t="str">
        <f t="shared" si="1153"/>
        <v>FY 24/25</v>
      </c>
      <c r="F3828" s="23">
        <v>2025</v>
      </c>
      <c r="G3828" s="23">
        <v>1</v>
      </c>
      <c r="H3828" s="29"/>
      <c r="I3828" s="93" t="str">
        <f t="shared" si="1155"/>
        <v>Q4</v>
      </c>
      <c r="J3828" s="188" t="s">
        <v>3633</v>
      </c>
      <c r="K3828" s="29" t="s">
        <v>3639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164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167">IF(W3828="","",IF(W3828="RMB","1.13", "1"))</f>
        <v>1.13</v>
      </c>
      <c r="Z3828" s="228">
        <f t="shared" si="1166"/>
        <v>410342.85714285716</v>
      </c>
      <c r="AA3828" s="22">
        <v>1.0640000000000001</v>
      </c>
      <c r="AB3828" s="229">
        <f t="shared" si="1152"/>
        <v>386375.92920353991</v>
      </c>
      <c r="AC3828" s="25">
        <f t="shared" si="1156"/>
        <v>18584.682194690267</v>
      </c>
      <c r="AD3828" s="169">
        <v>4.8099999999999997E-2</v>
      </c>
      <c r="AE3828" s="26">
        <f t="shared" si="1157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0"/>
        <v>16190947.162761064</v>
      </c>
      <c r="AJ3828" s="27">
        <f t="shared" si="1151"/>
        <v>2256328.1660673413</v>
      </c>
      <c r="AK3828" s="230">
        <f t="shared" si="1158"/>
        <v>0.13935739171929745</v>
      </c>
      <c r="AL3828" s="24"/>
      <c r="AM3828" s="24"/>
      <c r="AN3828" s="24"/>
      <c r="AO3828" s="24"/>
      <c r="AP3828" s="165" t="str">
        <f t="shared" si="1159"/>
        <v>20251</v>
      </c>
      <c r="AQ3828" s="231" t="str">
        <f t="shared" si="1160"/>
        <v>20251RMB</v>
      </c>
      <c r="AR3828" s="232" t="str">
        <f t="shared" si="1161"/>
        <v>YAMAHA_Mounter</v>
      </c>
      <c r="AS3828" s="22">
        <f t="shared" si="1162"/>
        <v>1</v>
      </c>
      <c r="AT3828" s="24" t="str">
        <f t="shared" si="1163"/>
        <v>0-3 months</v>
      </c>
      <c r="AU3828" s="22" t="s">
        <v>3240</v>
      </c>
    </row>
    <row r="3829" spans="1:47">
      <c r="A3829" s="33" t="str">
        <f t="shared" si="1154"/>
        <v>FY 24/25</v>
      </c>
      <c r="B3829" s="23">
        <v>2024</v>
      </c>
      <c r="C3829" s="23">
        <v>12</v>
      </c>
      <c r="D3829" s="33" t="str">
        <f t="shared" si="1165"/>
        <v>Q3</v>
      </c>
      <c r="E3829" s="33" t="str">
        <f t="shared" si="1153"/>
        <v>FY 24/25</v>
      </c>
      <c r="F3829" s="23">
        <v>2025</v>
      </c>
      <c r="G3829" s="23">
        <v>1</v>
      </c>
      <c r="H3829" s="29"/>
      <c r="I3829" s="93" t="str">
        <f t="shared" si="1155"/>
        <v>Q4</v>
      </c>
      <c r="J3829" s="188" t="s">
        <v>3633</v>
      </c>
      <c r="K3829" s="29" t="s">
        <v>3639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164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167"/>
        <v>1.13</v>
      </c>
      <c r="Z3829" s="228">
        <f t="shared" si="1166"/>
        <v>410342.85714285716</v>
      </c>
      <c r="AA3829" s="22">
        <v>1.0640000000000001</v>
      </c>
      <c r="AB3829" s="229">
        <f t="shared" si="1152"/>
        <v>386375.92920353991</v>
      </c>
      <c r="AC3829" s="25">
        <f t="shared" si="1156"/>
        <v>18584.682194690267</v>
      </c>
      <c r="AD3829" s="169">
        <v>4.8099999999999997E-2</v>
      </c>
      <c r="AE3829" s="26">
        <f t="shared" si="1157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0"/>
        <v>16190947.162761064</v>
      </c>
      <c r="AJ3829" s="27">
        <f t="shared" si="1151"/>
        <v>2256328.1660673413</v>
      </c>
      <c r="AK3829" s="230">
        <f t="shared" si="1158"/>
        <v>0.13935739171929745</v>
      </c>
      <c r="AL3829" s="24"/>
      <c r="AM3829" s="24"/>
      <c r="AN3829" s="24"/>
      <c r="AO3829" s="24"/>
      <c r="AP3829" s="165" t="str">
        <f t="shared" si="1159"/>
        <v>20251</v>
      </c>
      <c r="AQ3829" s="231" t="str">
        <f t="shared" si="1160"/>
        <v>20251RMB</v>
      </c>
      <c r="AR3829" s="232" t="str">
        <f t="shared" si="1161"/>
        <v>YAMAHA_Mounter</v>
      </c>
      <c r="AS3829" s="22">
        <f t="shared" si="1162"/>
        <v>1</v>
      </c>
      <c r="AT3829" s="24" t="str">
        <f t="shared" si="1163"/>
        <v>0-3 months</v>
      </c>
      <c r="AU3829" s="22" t="s">
        <v>3240</v>
      </c>
    </row>
    <row r="3830" spans="1:47">
      <c r="A3830" s="33" t="str">
        <f t="shared" si="1154"/>
        <v>FY 24/25</v>
      </c>
      <c r="B3830" s="23">
        <v>2024</v>
      </c>
      <c r="C3830" s="23">
        <v>12</v>
      </c>
      <c r="D3830" s="33" t="str">
        <f t="shared" si="1165"/>
        <v>Q3</v>
      </c>
      <c r="E3830" s="33" t="str">
        <f t="shared" si="1153"/>
        <v>FY 24/25</v>
      </c>
      <c r="F3830" s="23">
        <v>2025</v>
      </c>
      <c r="G3830" s="23">
        <v>1</v>
      </c>
      <c r="H3830" s="29"/>
      <c r="I3830" s="93" t="str">
        <f t="shared" si="1155"/>
        <v>Q4</v>
      </c>
      <c r="J3830" s="188" t="s">
        <v>3633</v>
      </c>
      <c r="K3830" s="29" t="s">
        <v>3639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164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167"/>
        <v>1.13</v>
      </c>
      <c r="Z3830" s="228">
        <f t="shared" si="1166"/>
        <v>410342.85714285716</v>
      </c>
      <c r="AA3830" s="22">
        <v>1.0640000000000001</v>
      </c>
      <c r="AB3830" s="229">
        <f t="shared" si="1152"/>
        <v>386375.92920353991</v>
      </c>
      <c r="AC3830" s="25">
        <f t="shared" si="1156"/>
        <v>18584.682194690267</v>
      </c>
      <c r="AD3830" s="169">
        <v>4.8099999999999997E-2</v>
      </c>
      <c r="AE3830" s="26">
        <f t="shared" si="1157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0"/>
        <v>16190947.162761064</v>
      </c>
      <c r="AJ3830" s="27">
        <f t="shared" si="1151"/>
        <v>2256328.1660673413</v>
      </c>
      <c r="AK3830" s="230">
        <f t="shared" si="1158"/>
        <v>0.13935739171929745</v>
      </c>
      <c r="AL3830" s="24"/>
      <c r="AM3830" s="24"/>
      <c r="AN3830" s="24"/>
      <c r="AO3830" s="24"/>
      <c r="AP3830" s="165" t="str">
        <f t="shared" si="1159"/>
        <v>20251</v>
      </c>
      <c r="AQ3830" s="231" t="str">
        <f t="shared" si="1160"/>
        <v>20251RMB</v>
      </c>
      <c r="AR3830" s="232" t="str">
        <f t="shared" si="1161"/>
        <v>YAMAHA_Mounter</v>
      </c>
      <c r="AS3830" s="22">
        <f t="shared" si="1162"/>
        <v>1</v>
      </c>
      <c r="AT3830" s="24" t="str">
        <f t="shared" si="1163"/>
        <v>0-3 months</v>
      </c>
      <c r="AU3830" s="22" t="s">
        <v>3240</v>
      </c>
    </row>
    <row r="3831" spans="1:47">
      <c r="A3831" s="33" t="str">
        <f t="shared" si="1154"/>
        <v>FY 24/25</v>
      </c>
      <c r="B3831" s="23">
        <v>2024</v>
      </c>
      <c r="C3831" s="23">
        <v>12</v>
      </c>
      <c r="D3831" s="33" t="str">
        <f t="shared" si="1165"/>
        <v>Q3</v>
      </c>
      <c r="E3831" s="33" t="str">
        <f t="shared" si="1153"/>
        <v>FY 24/25</v>
      </c>
      <c r="F3831" s="23">
        <v>2025</v>
      </c>
      <c r="G3831" s="23">
        <v>1</v>
      </c>
      <c r="H3831" s="29"/>
      <c r="I3831" s="93" t="str">
        <f t="shared" si="1155"/>
        <v>Q4</v>
      </c>
      <c r="J3831" s="188" t="s">
        <v>3633</v>
      </c>
      <c r="K3831" s="29" t="s">
        <v>3639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164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167"/>
        <v>1.13</v>
      </c>
      <c r="Z3831" s="228">
        <f t="shared" si="1166"/>
        <v>410342.85714285716</v>
      </c>
      <c r="AA3831" s="22">
        <v>1.0640000000000001</v>
      </c>
      <c r="AB3831" s="229">
        <f t="shared" si="1152"/>
        <v>386375.92920353991</v>
      </c>
      <c r="AC3831" s="25">
        <f t="shared" si="1156"/>
        <v>18584.682194690267</v>
      </c>
      <c r="AD3831" s="169">
        <v>4.8099999999999997E-2</v>
      </c>
      <c r="AE3831" s="26">
        <f t="shared" si="1157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0"/>
        <v>16190947.162761064</v>
      </c>
      <c r="AJ3831" s="27">
        <f t="shared" si="1151"/>
        <v>2256328.1660673413</v>
      </c>
      <c r="AK3831" s="230">
        <f t="shared" si="1158"/>
        <v>0.13935739171929745</v>
      </c>
      <c r="AL3831" s="24"/>
      <c r="AM3831" s="24"/>
      <c r="AN3831" s="24"/>
      <c r="AO3831" s="24"/>
      <c r="AP3831" s="165" t="str">
        <f t="shared" si="1159"/>
        <v>20251</v>
      </c>
      <c r="AQ3831" s="231" t="str">
        <f t="shared" si="1160"/>
        <v>20251RMB</v>
      </c>
      <c r="AR3831" s="232" t="str">
        <f t="shared" si="1161"/>
        <v>YAMAHA_Mounter</v>
      </c>
      <c r="AS3831" s="22">
        <f t="shared" si="1162"/>
        <v>1</v>
      </c>
      <c r="AT3831" s="24" t="str">
        <f t="shared" si="1163"/>
        <v>0-3 months</v>
      </c>
      <c r="AU3831" s="22" t="s">
        <v>3240</v>
      </c>
    </row>
    <row r="3832" spans="1:47">
      <c r="A3832" s="33" t="str">
        <f t="shared" si="1154"/>
        <v>FY 24/25</v>
      </c>
      <c r="B3832" s="23">
        <v>2024</v>
      </c>
      <c r="C3832" s="23">
        <v>12</v>
      </c>
      <c r="D3832" s="33" t="str">
        <f t="shared" si="1165"/>
        <v>Q3</v>
      </c>
      <c r="E3832" s="33" t="str">
        <f t="shared" si="1153"/>
        <v>FY 24/25</v>
      </c>
      <c r="F3832" s="23">
        <v>2024</v>
      </c>
      <c r="G3832" s="23">
        <v>12</v>
      </c>
      <c r="H3832" s="29"/>
      <c r="I3832" s="93" t="str">
        <f t="shared" si="1155"/>
        <v>Q3</v>
      </c>
      <c r="J3832" s="188" t="s">
        <v>3634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164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167"/>
        <v>1.13</v>
      </c>
      <c r="Z3832" s="228">
        <f t="shared" si="1166"/>
        <v>600000</v>
      </c>
      <c r="AA3832" s="22">
        <v>1.0760000000000001</v>
      </c>
      <c r="AB3832" s="229">
        <f t="shared" si="1152"/>
        <v>571327.43362831871</v>
      </c>
      <c r="AC3832" s="25">
        <f t="shared" si="1156"/>
        <v>54847.433628318598</v>
      </c>
      <c r="AD3832" s="169">
        <v>9.6000000000000002E-2</v>
      </c>
      <c r="AE3832" s="26">
        <f t="shared" si="1157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0"/>
        <v>15965524.256637167</v>
      </c>
      <c r="AJ3832" s="27">
        <f t="shared" si="1151"/>
        <v>2480116.5996584073</v>
      </c>
      <c r="AK3832" s="230">
        <f t="shared" si="1158"/>
        <v>0.15534200817911609</v>
      </c>
      <c r="AL3832" s="24"/>
      <c r="AM3832" s="24"/>
      <c r="AN3832" s="24"/>
      <c r="AO3832" s="24"/>
      <c r="AP3832" s="165" t="str">
        <f t="shared" si="1159"/>
        <v>202412</v>
      </c>
      <c r="AQ3832" s="231" t="str">
        <f t="shared" si="1160"/>
        <v>202412RMB</v>
      </c>
      <c r="AR3832" s="232" t="str">
        <f t="shared" si="1161"/>
        <v>YAMAHA_Mounter</v>
      </c>
      <c r="AS3832" s="22">
        <f t="shared" si="1162"/>
        <v>0</v>
      </c>
      <c r="AT3832" s="24" t="str">
        <f t="shared" si="1163"/>
        <v>0-3 months</v>
      </c>
      <c r="AU3832" s="22" t="s">
        <v>3240</v>
      </c>
    </row>
    <row r="3833" spans="1:47">
      <c r="A3833" s="33" t="str">
        <f t="shared" si="1154"/>
        <v>FY 24/25</v>
      </c>
      <c r="B3833" s="23">
        <v>2024</v>
      </c>
      <c r="C3833" s="23">
        <v>12</v>
      </c>
      <c r="D3833" s="33" t="str">
        <f t="shared" si="1165"/>
        <v>Q3</v>
      </c>
      <c r="E3833" s="33" t="str">
        <f t="shared" si="1153"/>
        <v>FY 24/25</v>
      </c>
      <c r="F3833" s="23">
        <v>2025</v>
      </c>
      <c r="G3833" s="23">
        <v>3</v>
      </c>
      <c r="H3833" s="29"/>
      <c r="I3833" s="93" t="str">
        <f t="shared" si="1155"/>
        <v>Q4</v>
      </c>
      <c r="J3833" s="188" t="s">
        <v>3635</v>
      </c>
      <c r="K3833" s="237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164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167"/>
        <v>1.13</v>
      </c>
      <c r="Z3833" s="228">
        <f t="shared" si="1166"/>
        <v>620000</v>
      </c>
      <c r="AA3833" s="22">
        <v>1.0669999999999999</v>
      </c>
      <c r="AB3833" s="229">
        <f t="shared" si="1152"/>
        <v>585433.62831858417</v>
      </c>
      <c r="AC3833" s="25">
        <f t="shared" si="1156"/>
        <v>78974.996460177004</v>
      </c>
      <c r="AD3833" s="169">
        <v>0.13489999999999999</v>
      </c>
      <c r="AE3833" s="26">
        <f t="shared" si="1157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0"/>
        <v>18296867.955752224</v>
      </c>
      <c r="AJ3833" s="27">
        <f t="shared" si="1151"/>
        <v>2173426.9949823013</v>
      </c>
      <c r="AK3833" s="230">
        <f t="shared" si="1158"/>
        <v>0.11878683281960357</v>
      </c>
      <c r="AL3833" s="24"/>
      <c r="AM3833" s="24"/>
      <c r="AN3833" s="24"/>
      <c r="AO3833" s="24"/>
      <c r="AP3833" s="165" t="str">
        <f t="shared" si="1159"/>
        <v>20253</v>
      </c>
      <c r="AQ3833" s="231" t="str">
        <f t="shared" si="1160"/>
        <v>20253RMB</v>
      </c>
      <c r="AR3833" s="232" t="str">
        <f t="shared" si="1161"/>
        <v>YAMAHA_Mounter</v>
      </c>
      <c r="AS3833" s="22">
        <f t="shared" si="1162"/>
        <v>3</v>
      </c>
      <c r="AT3833" s="24" t="str">
        <f t="shared" si="1163"/>
        <v>0-3 months</v>
      </c>
      <c r="AU3833" s="22" t="s">
        <v>3240</v>
      </c>
    </row>
    <row r="3834" spans="1:47">
      <c r="A3834" s="33" t="str">
        <f t="shared" si="1154"/>
        <v>FY 24/25</v>
      </c>
      <c r="B3834" s="23">
        <v>2024</v>
      </c>
      <c r="C3834" s="23">
        <v>12</v>
      </c>
      <c r="D3834" s="33" t="str">
        <f t="shared" si="1165"/>
        <v>Q3</v>
      </c>
      <c r="E3834" s="33" t="str">
        <f t="shared" si="1153"/>
        <v>FY 25/26</v>
      </c>
      <c r="F3834" s="23">
        <v>2025</v>
      </c>
      <c r="G3834" s="23">
        <v>4</v>
      </c>
      <c r="H3834" s="29"/>
      <c r="I3834" s="93" t="str">
        <f t="shared" si="1155"/>
        <v>Q1</v>
      </c>
      <c r="J3834" s="188" t="s">
        <v>3636</v>
      </c>
      <c r="K3834" s="29" t="s">
        <v>3640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164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167"/>
        <v>1.13</v>
      </c>
      <c r="Z3834" s="228">
        <f t="shared" si="1166"/>
        <v>765000</v>
      </c>
      <c r="AA3834" s="22">
        <v>1.0720000000000001</v>
      </c>
      <c r="AB3834" s="229">
        <f t="shared" si="1152"/>
        <v>725734.51327433635</v>
      </c>
      <c r="AC3834" s="25">
        <f t="shared" si="1156"/>
        <v>87088.141592920365</v>
      </c>
      <c r="AD3834" s="169">
        <v>0.12</v>
      </c>
      <c r="AE3834" s="26">
        <f t="shared" si="1157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0"/>
        <v>32703423.380530968</v>
      </c>
      <c r="AJ3834" s="27">
        <f t="shared" si="1151"/>
        <v>3885921.2623008853</v>
      </c>
      <c r="AK3834" s="230">
        <f t="shared" si="1158"/>
        <v>0.118823072957379</v>
      </c>
      <c r="AL3834" s="24"/>
      <c r="AM3834" s="24"/>
      <c r="AN3834" s="24"/>
      <c r="AO3834" s="24"/>
      <c r="AP3834" s="165" t="str">
        <f t="shared" si="1159"/>
        <v>20254</v>
      </c>
      <c r="AQ3834" s="231" t="str">
        <f t="shared" si="1160"/>
        <v>20254RMB</v>
      </c>
      <c r="AR3834" s="232" t="str">
        <f t="shared" si="1161"/>
        <v>YAMAHA_Mounter</v>
      </c>
      <c r="AS3834" s="22">
        <f t="shared" si="1162"/>
        <v>4</v>
      </c>
      <c r="AT3834" s="24" t="str">
        <f t="shared" si="1163"/>
        <v>4-6 months</v>
      </c>
      <c r="AU3834" s="22" t="s">
        <v>3240</v>
      </c>
    </row>
    <row r="3835" spans="1:47">
      <c r="A3835" s="33" t="str">
        <f t="shared" si="1154"/>
        <v>FY 24/25</v>
      </c>
      <c r="B3835" s="23">
        <v>2024</v>
      </c>
      <c r="C3835" s="23">
        <v>12</v>
      </c>
      <c r="D3835" s="33" t="str">
        <f t="shared" si="1165"/>
        <v>Q3</v>
      </c>
      <c r="E3835" s="33" t="str">
        <f t="shared" si="1153"/>
        <v>FY 25/26</v>
      </c>
      <c r="F3835" s="23">
        <v>2025</v>
      </c>
      <c r="G3835" s="23">
        <v>4</v>
      </c>
      <c r="H3835" s="29"/>
      <c r="I3835" s="93" t="str">
        <f t="shared" si="1155"/>
        <v>Q1</v>
      </c>
      <c r="J3835" s="188" t="s">
        <v>3636</v>
      </c>
      <c r="K3835" s="29" t="s">
        <v>3640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164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167"/>
        <v>1.13</v>
      </c>
      <c r="Z3835" s="228">
        <f t="shared" si="1166"/>
        <v>765000</v>
      </c>
      <c r="AA3835" s="22">
        <v>1.0720000000000001</v>
      </c>
      <c r="AB3835" s="229">
        <f t="shared" si="1152"/>
        <v>725734.51327433635</v>
      </c>
      <c r="AC3835" s="25">
        <f t="shared" si="1156"/>
        <v>87088.141592920365</v>
      </c>
      <c r="AD3835" s="169">
        <v>0.12</v>
      </c>
      <c r="AE3835" s="26">
        <f t="shared" si="1157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0"/>
        <v>32703423.380530968</v>
      </c>
      <c r="AJ3835" s="27">
        <f t="shared" si="1151"/>
        <v>3885921.2623008853</v>
      </c>
      <c r="AK3835" s="230">
        <f t="shared" si="1158"/>
        <v>0.118823072957379</v>
      </c>
      <c r="AL3835" s="24"/>
      <c r="AM3835" s="24"/>
      <c r="AN3835" s="24"/>
      <c r="AO3835" s="24"/>
      <c r="AP3835" s="165" t="str">
        <f t="shared" si="1159"/>
        <v>20254</v>
      </c>
      <c r="AQ3835" s="231" t="str">
        <f t="shared" si="1160"/>
        <v>20254RMB</v>
      </c>
      <c r="AR3835" s="232" t="str">
        <f t="shared" si="1161"/>
        <v>YAMAHA_Mounter</v>
      </c>
      <c r="AS3835" s="22">
        <f t="shared" si="1162"/>
        <v>4</v>
      </c>
      <c r="AT3835" s="24" t="str">
        <f t="shared" si="1163"/>
        <v>4-6 months</v>
      </c>
      <c r="AU3835" s="22" t="s">
        <v>3240</v>
      </c>
    </row>
    <row r="3836" spans="1:47">
      <c r="A3836" s="33" t="str">
        <f t="shared" si="1154"/>
        <v>FY 24/25</v>
      </c>
      <c r="B3836" s="23">
        <v>2024</v>
      </c>
      <c r="C3836" s="23">
        <v>12</v>
      </c>
      <c r="D3836" s="33" t="str">
        <f t="shared" si="1165"/>
        <v>Q3</v>
      </c>
      <c r="E3836" s="33" t="str">
        <f t="shared" si="1153"/>
        <v>FY 24/25</v>
      </c>
      <c r="F3836" s="23">
        <v>2024</v>
      </c>
      <c r="G3836" s="23">
        <v>12</v>
      </c>
      <c r="H3836" s="29"/>
      <c r="I3836" s="93" t="str">
        <f t="shared" si="1155"/>
        <v>Q3</v>
      </c>
      <c r="J3836" s="188" t="s">
        <v>3637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164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167"/>
        <v>1.13</v>
      </c>
      <c r="Z3836" s="228">
        <f t="shared" si="1166"/>
        <v>650000</v>
      </c>
      <c r="AA3836" s="22">
        <v>1.0760000000000001</v>
      </c>
      <c r="AB3836" s="229">
        <f t="shared" si="1152"/>
        <v>618938.05309734517</v>
      </c>
      <c r="AC3836" s="25">
        <f t="shared" si="1156"/>
        <v>58922.902654867263</v>
      </c>
      <c r="AD3836" s="169">
        <v>9.5200000000000007E-2</v>
      </c>
      <c r="AE3836" s="26">
        <f t="shared" si="1157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0"/>
        <v>15965524.256637167</v>
      </c>
      <c r="AJ3836" s="27">
        <f t="shared" si="1151"/>
        <v>2480116.5996584073</v>
      </c>
      <c r="AK3836" s="230">
        <f t="shared" si="1158"/>
        <v>0.15534200817911609</v>
      </c>
      <c r="AL3836" s="24"/>
      <c r="AM3836" s="24"/>
      <c r="AN3836" s="24"/>
      <c r="AO3836" s="24"/>
      <c r="AP3836" s="165" t="str">
        <f t="shared" si="1159"/>
        <v>202412</v>
      </c>
      <c r="AQ3836" s="231" t="str">
        <f t="shared" si="1160"/>
        <v>202412RMB</v>
      </c>
      <c r="AR3836" s="232" t="str">
        <f t="shared" si="1161"/>
        <v>YAMAHA_Mounter</v>
      </c>
      <c r="AS3836" s="22">
        <f t="shared" si="1162"/>
        <v>0</v>
      </c>
      <c r="AT3836" s="24" t="str">
        <f t="shared" si="1163"/>
        <v>0-3 months</v>
      </c>
      <c r="AU3836" s="22" t="s">
        <v>3240</v>
      </c>
    </row>
    <row r="3837" spans="1:47">
      <c r="A3837" s="33" t="str">
        <f t="shared" si="1154"/>
        <v>FY 24/25</v>
      </c>
      <c r="B3837" s="23">
        <v>2024</v>
      </c>
      <c r="C3837" s="23">
        <v>12</v>
      </c>
      <c r="D3837" s="33" t="str">
        <f t="shared" si="1165"/>
        <v>Q3</v>
      </c>
      <c r="E3837" s="33" t="str">
        <f t="shared" si="1153"/>
        <v>FY 24/25</v>
      </c>
      <c r="F3837" s="23">
        <v>2025</v>
      </c>
      <c r="G3837" s="23">
        <v>1</v>
      </c>
      <c r="H3837" s="29"/>
      <c r="I3837" s="93" t="str">
        <f t="shared" si="1155"/>
        <v>Q4</v>
      </c>
      <c r="J3837" s="188" t="s">
        <v>3638</v>
      </c>
      <c r="K3837" s="29" t="s">
        <v>3641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164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167"/>
        <v>1.13</v>
      </c>
      <c r="Z3837" s="228">
        <f t="shared" si="1166"/>
        <v>62508.78</v>
      </c>
      <c r="AA3837" s="22">
        <v>1.0640000000000001</v>
      </c>
      <c r="AB3837" s="229">
        <f t="shared" si="1152"/>
        <v>58857.82470796461</v>
      </c>
      <c r="AC3837" s="25">
        <f t="shared" si="1156"/>
        <v>11406.646428403541</v>
      </c>
      <c r="AD3837" s="234">
        <v>0.1938</v>
      </c>
      <c r="AE3837" s="26">
        <f t="shared" si="1157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0"/>
        <v>16190947.162761064</v>
      </c>
      <c r="AJ3837" s="27">
        <f t="shared" si="1151"/>
        <v>2256328.1660673413</v>
      </c>
      <c r="AK3837" s="230">
        <f t="shared" si="1158"/>
        <v>0.13935739171929745</v>
      </c>
      <c r="AL3837" s="24"/>
      <c r="AM3837" s="24"/>
      <c r="AN3837" s="24"/>
      <c r="AO3837" s="24"/>
      <c r="AP3837" s="165" t="str">
        <f t="shared" si="1159"/>
        <v>20251</v>
      </c>
      <c r="AQ3837" s="231" t="str">
        <f t="shared" si="1160"/>
        <v>20251RMB</v>
      </c>
      <c r="AR3837" s="232" t="str">
        <f t="shared" si="1161"/>
        <v>SOLDERSTAR</v>
      </c>
      <c r="AS3837" s="22">
        <f t="shared" si="1162"/>
        <v>1</v>
      </c>
      <c r="AT3837" s="24" t="str">
        <f t="shared" si="1163"/>
        <v>0-3 months</v>
      </c>
      <c r="AU3837" s="22" t="s">
        <v>3240</v>
      </c>
    </row>
    <row r="3838" spans="1:47">
      <c r="A3838" s="33" t="str">
        <f t="shared" si="1154"/>
        <v>FY 24/25</v>
      </c>
      <c r="B3838" s="23">
        <v>2024</v>
      </c>
      <c r="C3838" s="23">
        <v>12</v>
      </c>
      <c r="D3838" s="33" t="str">
        <f t="shared" si="1165"/>
        <v>Q3</v>
      </c>
      <c r="E3838" s="33" t="str">
        <f t="shared" si="1153"/>
        <v>FY 24/25</v>
      </c>
      <c r="F3838" s="23">
        <v>2024</v>
      </c>
      <c r="G3838" s="23">
        <v>12</v>
      </c>
      <c r="H3838" s="29"/>
      <c r="I3838" s="93" t="str">
        <f t="shared" si="1155"/>
        <v>Q3</v>
      </c>
      <c r="J3838" s="188" t="s">
        <v>3643</v>
      </c>
      <c r="K3838" s="29" t="s">
        <v>3644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164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167"/>
        <v>1.13</v>
      </c>
      <c r="Z3838" s="228">
        <f t="shared" si="1166"/>
        <v>490000</v>
      </c>
      <c r="AA3838" s="22">
        <v>1.0760000000000001</v>
      </c>
      <c r="AB3838" s="229">
        <f t="shared" si="1152"/>
        <v>466584.07079646026</v>
      </c>
      <c r="AC3838" s="25">
        <f t="shared" si="1156"/>
        <v>55990.088495575226</v>
      </c>
      <c r="AD3838" s="169">
        <v>0.12</v>
      </c>
      <c r="AE3838" s="26">
        <f t="shared" si="1157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0"/>
        <v>15965524.256637167</v>
      </c>
      <c r="AJ3838" s="27">
        <f t="shared" si="1151"/>
        <v>2480116.5996584073</v>
      </c>
      <c r="AK3838" s="230">
        <f t="shared" si="1158"/>
        <v>0.15534200817911609</v>
      </c>
      <c r="AL3838" s="24"/>
      <c r="AM3838" s="24"/>
      <c r="AN3838" s="24"/>
      <c r="AO3838" s="24"/>
      <c r="AP3838" s="165" t="str">
        <f t="shared" si="1159"/>
        <v>202412</v>
      </c>
      <c r="AQ3838" s="231" t="str">
        <f t="shared" si="1160"/>
        <v>202412RMB</v>
      </c>
      <c r="AR3838" s="232" t="str">
        <f t="shared" si="1161"/>
        <v>YAMAHA_Mounter</v>
      </c>
      <c r="AS3838" s="22">
        <f t="shared" si="1162"/>
        <v>0</v>
      </c>
      <c r="AT3838" s="24" t="str">
        <f t="shared" si="1163"/>
        <v>0-3 months</v>
      </c>
      <c r="AU3838" s="22" t="s">
        <v>3240</v>
      </c>
    </row>
    <row r="3839" spans="1:47">
      <c r="A3839" s="33" t="str">
        <f t="shared" si="1154"/>
        <v>FY 24/25</v>
      </c>
      <c r="B3839" s="23">
        <v>2025</v>
      </c>
      <c r="C3839" s="23">
        <v>1</v>
      </c>
      <c r="D3839" s="33" t="str">
        <f t="shared" si="1165"/>
        <v>Q4</v>
      </c>
      <c r="E3839" s="33" t="str">
        <f t="shared" si="1153"/>
        <v>FY 24/25</v>
      </c>
      <c r="F3839" s="23">
        <v>2025</v>
      </c>
      <c r="G3839" s="23">
        <v>1</v>
      </c>
      <c r="H3839" s="29"/>
      <c r="I3839" s="93" t="str">
        <f t="shared" si="1155"/>
        <v>Q4</v>
      </c>
      <c r="J3839" s="188" t="s">
        <v>3671</v>
      </c>
      <c r="K3839" s="29" t="s">
        <v>3646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164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167"/>
        <v>1.13</v>
      </c>
      <c r="Z3839" s="228">
        <f t="shared" si="1166"/>
        <v>1100000</v>
      </c>
      <c r="AA3839" s="22">
        <v>1.0640000000000001</v>
      </c>
      <c r="AB3839" s="229">
        <f t="shared" si="1152"/>
        <v>1035752.2123893807</v>
      </c>
      <c r="AC3839" s="25">
        <f t="shared" si="1156"/>
        <v>139826.54867256639</v>
      </c>
      <c r="AD3839" s="169">
        <v>0.13500000000000001</v>
      </c>
      <c r="AE3839" s="26">
        <f t="shared" si="1157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0"/>
        <v>16190947.162761064</v>
      </c>
      <c r="AJ3839" s="27">
        <f t="shared" si="1151"/>
        <v>2256328.1660673413</v>
      </c>
      <c r="AK3839" s="230">
        <f t="shared" si="1158"/>
        <v>0.13935739171929745</v>
      </c>
      <c r="AL3839" s="24"/>
      <c r="AM3839" s="24"/>
      <c r="AN3839" s="24"/>
      <c r="AO3839" s="24"/>
      <c r="AP3839" s="165" t="str">
        <f t="shared" si="1159"/>
        <v>20251</v>
      </c>
      <c r="AQ3839" s="231" t="str">
        <f t="shared" si="1160"/>
        <v>20251RMB</v>
      </c>
      <c r="AR3839" s="232" t="str">
        <f t="shared" si="1161"/>
        <v>YAMAHA_Mounter</v>
      </c>
      <c r="AS3839" s="22">
        <f t="shared" si="1162"/>
        <v>0</v>
      </c>
      <c r="AT3839" s="24" t="str">
        <f t="shared" si="1163"/>
        <v>0-3 months</v>
      </c>
      <c r="AU3839" s="22" t="s">
        <v>3750</v>
      </c>
    </row>
    <row r="3840" spans="1:47">
      <c r="A3840" s="33" t="str">
        <f t="shared" si="1154"/>
        <v>FY 24/25</v>
      </c>
      <c r="B3840" s="23">
        <v>2025</v>
      </c>
      <c r="C3840" s="23">
        <v>1</v>
      </c>
      <c r="D3840" s="33" t="str">
        <f t="shared" si="1165"/>
        <v>Q4</v>
      </c>
      <c r="E3840" s="33" t="str">
        <f t="shared" si="1153"/>
        <v>FY 24/25</v>
      </c>
      <c r="F3840" s="23">
        <v>2025</v>
      </c>
      <c r="G3840" s="23">
        <v>1</v>
      </c>
      <c r="H3840" s="29"/>
      <c r="I3840" s="93" t="str">
        <f t="shared" si="1155"/>
        <v>Q4</v>
      </c>
      <c r="J3840" s="188" t="s">
        <v>3671</v>
      </c>
      <c r="K3840" s="29" t="s">
        <v>3646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164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167"/>
        <v>1.13</v>
      </c>
      <c r="Z3840" s="228">
        <f t="shared" si="1166"/>
        <v>639000</v>
      </c>
      <c r="AA3840" s="22">
        <v>1.0640000000000001</v>
      </c>
      <c r="AB3840" s="229">
        <f t="shared" si="1152"/>
        <v>601677.8761061948</v>
      </c>
      <c r="AC3840" s="25">
        <f t="shared" si="1156"/>
        <v>81226.513274336306</v>
      </c>
      <c r="AD3840" s="169">
        <v>0.13500000000000001</v>
      </c>
      <c r="AE3840" s="26">
        <f t="shared" si="1157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0"/>
        <v>16190947.162761064</v>
      </c>
      <c r="AJ3840" s="27">
        <f t="shared" si="1151"/>
        <v>2256328.1660673413</v>
      </c>
      <c r="AK3840" s="230">
        <f t="shared" si="1158"/>
        <v>0.13935739171929745</v>
      </c>
      <c r="AL3840" s="24"/>
      <c r="AM3840" s="24"/>
      <c r="AN3840" s="24"/>
      <c r="AO3840" s="24"/>
      <c r="AP3840" s="165" t="str">
        <f t="shared" si="1159"/>
        <v>20251</v>
      </c>
      <c r="AQ3840" s="231" t="str">
        <f t="shared" si="1160"/>
        <v>20251RMB</v>
      </c>
      <c r="AR3840" s="232" t="str">
        <f t="shared" si="1161"/>
        <v>YAMAHA_Mounter</v>
      </c>
      <c r="AS3840" s="22">
        <f t="shared" si="1162"/>
        <v>0</v>
      </c>
      <c r="AT3840" s="24" t="str">
        <f t="shared" si="1163"/>
        <v>0-3 months</v>
      </c>
      <c r="AU3840" s="22" t="s">
        <v>3750</v>
      </c>
    </row>
    <row r="3841" spans="1:47">
      <c r="A3841" s="33" t="str">
        <f t="shared" si="1154"/>
        <v>FY 24/25</v>
      </c>
      <c r="B3841" s="23">
        <v>2024</v>
      </c>
      <c r="C3841" s="23">
        <v>12</v>
      </c>
      <c r="D3841" s="33" t="str">
        <f t="shared" si="1165"/>
        <v>Q3</v>
      </c>
      <c r="E3841" s="33" t="str">
        <f t="shared" si="1153"/>
        <v>FY 24/25</v>
      </c>
      <c r="F3841" s="23">
        <v>2025</v>
      </c>
      <c r="G3841" s="23">
        <v>2</v>
      </c>
      <c r="H3841" s="29"/>
      <c r="I3841" s="93" t="str">
        <f t="shared" si="1155"/>
        <v>Q4</v>
      </c>
      <c r="J3841" s="188" t="s">
        <v>3647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164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167"/>
        <v>1</v>
      </c>
      <c r="Z3841" s="228">
        <f t="shared" si="1166"/>
        <v>60000</v>
      </c>
      <c r="AA3841" s="22">
        <v>7.8</v>
      </c>
      <c r="AB3841" s="229">
        <f t="shared" si="1152"/>
        <v>468000</v>
      </c>
      <c r="AC3841" s="25">
        <f t="shared" si="1156"/>
        <v>123645.59999999999</v>
      </c>
      <c r="AD3841" s="170">
        <v>0.26419999999999999</v>
      </c>
      <c r="AE3841" s="26">
        <f t="shared" si="1157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0"/>
        <v>30691842.970796466</v>
      </c>
      <c r="AJ3841" s="27">
        <f t="shared" si="1151"/>
        <v>4088324.205777524</v>
      </c>
      <c r="AK3841" s="230">
        <f t="shared" si="1158"/>
        <v>0.1332055624573473</v>
      </c>
      <c r="AL3841" s="24"/>
      <c r="AM3841" s="24"/>
      <c r="AN3841" s="24"/>
      <c r="AO3841" s="24"/>
      <c r="AP3841" s="165" t="str">
        <f t="shared" si="1159"/>
        <v>20252</v>
      </c>
      <c r="AQ3841" s="231" t="str">
        <f t="shared" si="1160"/>
        <v>20252USD</v>
      </c>
      <c r="AR3841" s="232" t="str">
        <f t="shared" si="1161"/>
        <v>YAMAHA_Mounter</v>
      </c>
      <c r="AS3841" s="22">
        <f t="shared" si="1162"/>
        <v>2</v>
      </c>
      <c r="AT3841" s="24" t="str">
        <f t="shared" si="1163"/>
        <v>0-3 months</v>
      </c>
      <c r="AU3841" s="22" t="s">
        <v>3745</v>
      </c>
    </row>
    <row r="3842" spans="1:47">
      <c r="A3842" s="33" t="str">
        <f t="shared" si="1154"/>
        <v>FY 24/25</v>
      </c>
      <c r="B3842" s="23">
        <v>2024</v>
      </c>
      <c r="C3842" s="23">
        <v>12</v>
      </c>
      <c r="D3842" s="33" t="str">
        <f t="shared" si="1165"/>
        <v>Q3</v>
      </c>
      <c r="E3842" s="33" t="str">
        <f t="shared" si="1153"/>
        <v>FY 24/25</v>
      </c>
      <c r="F3842" s="23">
        <v>2025</v>
      </c>
      <c r="G3842" s="23">
        <v>2</v>
      </c>
      <c r="H3842" s="29"/>
      <c r="I3842" s="93" t="str">
        <f t="shared" si="1155"/>
        <v>Q4</v>
      </c>
      <c r="J3842" s="188" t="s">
        <v>3647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164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167"/>
        <v>1</v>
      </c>
      <c r="Z3842" s="228">
        <f t="shared" si="1166"/>
        <v>60000</v>
      </c>
      <c r="AA3842" s="22">
        <v>7.8</v>
      </c>
      <c r="AB3842" s="229">
        <f t="shared" si="1152"/>
        <v>468000</v>
      </c>
      <c r="AC3842" s="25">
        <f t="shared" si="1156"/>
        <v>123645.59999999999</v>
      </c>
      <c r="AD3842" s="170">
        <v>0.26419999999999999</v>
      </c>
      <c r="AE3842" s="26">
        <f t="shared" si="1157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68">IF(P3842="C66 SERVICE","",SUMIFS(AB:AB,F:F,F3842,G:G,G3842,E:E,E3842))</f>
        <v>30691842.970796466</v>
      </c>
      <c r="AJ3842" s="27">
        <f t="shared" ref="AJ3842:AJ3905" si="1169">IF(P3842="C66 SERVICE","",SUMIFS(AC:AC,F:F,F3842,G:G,G3842,E:E,E3842))</f>
        <v>4088324.205777524</v>
      </c>
      <c r="AK3842" s="230">
        <f t="shared" si="1158"/>
        <v>0.1332055624573473</v>
      </c>
      <c r="AL3842" s="24"/>
      <c r="AM3842" s="24"/>
      <c r="AN3842" s="24"/>
      <c r="AO3842" s="24"/>
      <c r="AP3842" s="165" t="str">
        <f t="shared" si="1159"/>
        <v>20252</v>
      </c>
      <c r="AQ3842" s="231" t="str">
        <f t="shared" si="1160"/>
        <v>20252USD</v>
      </c>
      <c r="AR3842" s="232" t="str">
        <f t="shared" si="1161"/>
        <v>YAMAHA_Mounter</v>
      </c>
      <c r="AS3842" s="22">
        <f t="shared" si="1162"/>
        <v>2</v>
      </c>
      <c r="AT3842" s="24" t="str">
        <f t="shared" si="1163"/>
        <v>0-3 months</v>
      </c>
      <c r="AU3842" s="22" t="s">
        <v>3745</v>
      </c>
    </row>
    <row r="3843" spans="1:47">
      <c r="A3843" s="33" t="str">
        <f t="shared" si="1154"/>
        <v>FY 24/25</v>
      </c>
      <c r="B3843" s="23">
        <v>2024</v>
      </c>
      <c r="C3843" s="23">
        <v>12</v>
      </c>
      <c r="D3843" s="33" t="str">
        <f t="shared" si="1165"/>
        <v>Q3</v>
      </c>
      <c r="E3843" s="33" t="str">
        <f t="shared" si="1153"/>
        <v>FY 24/25</v>
      </c>
      <c r="F3843" s="23">
        <v>2025</v>
      </c>
      <c r="G3843" s="23">
        <v>1</v>
      </c>
      <c r="H3843" s="29"/>
      <c r="I3843" s="93" t="str">
        <f t="shared" si="1155"/>
        <v>Q4</v>
      </c>
      <c r="J3843" s="188" t="s">
        <v>3648</v>
      </c>
      <c r="K3843" s="29" t="s">
        <v>3649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164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167"/>
        <v>1</v>
      </c>
      <c r="Z3843" s="228">
        <f t="shared" si="1166"/>
        <v>8700000</v>
      </c>
      <c r="AA3843" s="22">
        <v>5.0599999999999999E-2</v>
      </c>
      <c r="AB3843" s="229">
        <f t="shared" si="1152"/>
        <v>440220</v>
      </c>
      <c r="AC3843" s="25">
        <f t="shared" si="1156"/>
        <v>45650.813999999998</v>
      </c>
      <c r="AD3843" s="169">
        <v>0.1037</v>
      </c>
      <c r="AE3843" s="26">
        <f t="shared" si="1157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68"/>
        <v>16190947.162761064</v>
      </c>
      <c r="AJ3843" s="27">
        <f t="shared" si="1169"/>
        <v>2256328.1660673413</v>
      </c>
      <c r="AK3843" s="230">
        <f t="shared" si="1158"/>
        <v>0.13935739171929745</v>
      </c>
      <c r="AL3843" s="24"/>
      <c r="AM3843" s="24"/>
      <c r="AN3843" s="24"/>
      <c r="AO3843" s="24"/>
      <c r="AP3843" s="165" t="str">
        <f t="shared" si="1159"/>
        <v>20251</v>
      </c>
      <c r="AQ3843" s="231" t="str">
        <f t="shared" si="1160"/>
        <v>20251JPY</v>
      </c>
      <c r="AR3843" s="232" t="str">
        <f t="shared" si="1161"/>
        <v>YAMAHA_Mounter</v>
      </c>
      <c r="AS3843" s="22">
        <f t="shared" si="1162"/>
        <v>1</v>
      </c>
      <c r="AT3843" s="24" t="str">
        <f t="shared" si="1163"/>
        <v>0-3 months</v>
      </c>
      <c r="AU3843" s="22" t="s">
        <v>3744</v>
      </c>
    </row>
    <row r="3844" spans="1:47">
      <c r="A3844" s="33" t="str">
        <f t="shared" si="1154"/>
        <v>FY 24/25</v>
      </c>
      <c r="B3844" s="23">
        <v>2024</v>
      </c>
      <c r="C3844" s="23">
        <v>12</v>
      </c>
      <c r="D3844" s="33" t="str">
        <f t="shared" si="1165"/>
        <v>Q3</v>
      </c>
      <c r="E3844" s="33" t="str">
        <f t="shared" si="1153"/>
        <v>FY 24/25</v>
      </c>
      <c r="F3844" s="23">
        <v>2025</v>
      </c>
      <c r="G3844" s="23">
        <v>2</v>
      </c>
      <c r="H3844" s="29"/>
      <c r="I3844" s="93" t="str">
        <f t="shared" si="1155"/>
        <v>Q4</v>
      </c>
      <c r="J3844" s="188" t="s">
        <v>3650</v>
      </c>
      <c r="K3844" s="29" t="s">
        <v>579</v>
      </c>
      <c r="L3844" s="24" t="s">
        <v>3651</v>
      </c>
      <c r="M3844" s="13" t="s">
        <v>2607</v>
      </c>
      <c r="N3844" s="22">
        <v>1</v>
      </c>
      <c r="O3844" s="22"/>
      <c r="P3844" s="33" t="str">
        <f t="shared" si="1164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167"/>
        <v>1.13</v>
      </c>
      <c r="Z3844" s="228">
        <f t="shared" si="1166"/>
        <v>518500</v>
      </c>
      <c r="AA3844" s="22">
        <v>1.073</v>
      </c>
      <c r="AB3844" s="229">
        <f t="shared" si="1152"/>
        <v>492345.57522123895</v>
      </c>
      <c r="AC3844" s="25">
        <f t="shared" si="1156"/>
        <v>49973.075884955753</v>
      </c>
      <c r="AD3844" s="170">
        <v>0.10150000000000001</v>
      </c>
      <c r="AE3844" s="26">
        <f t="shared" si="1157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68"/>
        <v>30691842.970796466</v>
      </c>
      <c r="AJ3844" s="27">
        <f t="shared" si="1169"/>
        <v>4088324.205777524</v>
      </c>
      <c r="AK3844" s="230">
        <f t="shared" si="1158"/>
        <v>0.1332055624573473</v>
      </c>
      <c r="AL3844" s="24"/>
      <c r="AM3844" s="24"/>
      <c r="AN3844" s="24"/>
      <c r="AO3844" s="24"/>
      <c r="AP3844" s="165" t="str">
        <f t="shared" si="1159"/>
        <v>20252</v>
      </c>
      <c r="AQ3844" s="231" t="str">
        <f t="shared" si="1160"/>
        <v>20252RMB</v>
      </c>
      <c r="AR3844" s="232" t="str">
        <f t="shared" si="1161"/>
        <v>HELLER</v>
      </c>
      <c r="AS3844" s="22">
        <f t="shared" si="1162"/>
        <v>2</v>
      </c>
      <c r="AT3844" s="24" t="str">
        <f t="shared" si="1163"/>
        <v>0-3 months</v>
      </c>
      <c r="AU3844" s="22" t="s">
        <v>3240</v>
      </c>
    </row>
    <row r="3845" spans="1:47">
      <c r="A3845" s="33" t="str">
        <f t="shared" si="1154"/>
        <v>FY 24/25</v>
      </c>
      <c r="B3845" s="23">
        <v>2024</v>
      </c>
      <c r="C3845" s="23">
        <v>12</v>
      </c>
      <c r="D3845" s="33" t="str">
        <f t="shared" si="1165"/>
        <v>Q3</v>
      </c>
      <c r="E3845" s="33" t="str">
        <f t="shared" si="1153"/>
        <v>FY 24/25</v>
      </c>
      <c r="F3845" s="23">
        <v>2025</v>
      </c>
      <c r="G3845" s="23">
        <v>2</v>
      </c>
      <c r="H3845" s="29"/>
      <c r="I3845" s="93" t="str">
        <f t="shared" si="1155"/>
        <v>Q4</v>
      </c>
      <c r="J3845" s="188" t="s">
        <v>3668</v>
      </c>
      <c r="K3845" s="29" t="s">
        <v>3653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164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167"/>
        <v>1</v>
      </c>
      <c r="Z3845" s="228">
        <f t="shared" si="1166"/>
        <v>8000000</v>
      </c>
      <c r="AA3845" s="22">
        <v>5.11E-2</v>
      </c>
      <c r="AB3845" s="229">
        <f t="shared" si="1152"/>
        <v>408800</v>
      </c>
      <c r="AC3845" s="25">
        <f t="shared" si="1156"/>
        <v>33480.720000000001</v>
      </c>
      <c r="AD3845" s="170">
        <v>8.1900000000000001E-2</v>
      </c>
      <c r="AE3845" s="26">
        <f t="shared" si="1157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68"/>
        <v>30691842.970796466</v>
      </c>
      <c r="AJ3845" s="27">
        <f t="shared" si="1169"/>
        <v>4088324.205777524</v>
      </c>
      <c r="AK3845" s="230">
        <f t="shared" si="1158"/>
        <v>0.1332055624573473</v>
      </c>
      <c r="AL3845" s="24"/>
      <c r="AM3845" s="24"/>
      <c r="AN3845" s="24"/>
      <c r="AO3845" s="24"/>
      <c r="AP3845" s="165" t="str">
        <f t="shared" si="1159"/>
        <v>20252</v>
      </c>
      <c r="AQ3845" s="231" t="str">
        <f t="shared" si="1160"/>
        <v>20252JPY</v>
      </c>
      <c r="AR3845" s="232" t="str">
        <f t="shared" si="1161"/>
        <v>YAMAHA_Mounter</v>
      </c>
      <c r="AS3845" s="22">
        <f t="shared" si="1162"/>
        <v>2</v>
      </c>
      <c r="AT3845" s="24" t="str">
        <f t="shared" si="1163"/>
        <v>0-3 months</v>
      </c>
      <c r="AU3845" s="22" t="s">
        <v>3744</v>
      </c>
    </row>
    <row r="3846" spans="1:47">
      <c r="A3846" s="33" t="str">
        <f t="shared" si="1154"/>
        <v>FY 24/25</v>
      </c>
      <c r="B3846" s="23">
        <v>2025</v>
      </c>
      <c r="C3846" s="23">
        <v>1</v>
      </c>
      <c r="D3846" s="33" t="str">
        <f t="shared" si="1165"/>
        <v>Q4</v>
      </c>
      <c r="E3846" s="33" t="str">
        <f t="shared" si="1153"/>
        <v>FY 24/25</v>
      </c>
      <c r="F3846" s="23">
        <v>2025</v>
      </c>
      <c r="G3846" s="23">
        <v>2</v>
      </c>
      <c r="H3846" s="29"/>
      <c r="I3846" s="93" t="str">
        <f t="shared" si="1155"/>
        <v>Q4</v>
      </c>
      <c r="J3846" s="188" t="s">
        <v>3668</v>
      </c>
      <c r="K3846" s="29" t="s">
        <v>3653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164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167"/>
        <v>1</v>
      </c>
      <c r="Z3846" s="228">
        <f t="shared" si="1166"/>
        <v>13000000</v>
      </c>
      <c r="AA3846" s="22">
        <v>5.11E-2</v>
      </c>
      <c r="AB3846" s="229">
        <f t="shared" si="1152"/>
        <v>664300</v>
      </c>
      <c r="AC3846" s="25">
        <f t="shared" si="1156"/>
        <v>54406.17</v>
      </c>
      <c r="AD3846" s="170">
        <v>8.1900000000000001E-2</v>
      </c>
      <c r="AE3846" s="26">
        <f t="shared" si="1157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68"/>
        <v>30691842.970796466</v>
      </c>
      <c r="AJ3846" s="27">
        <f t="shared" si="1169"/>
        <v>4088324.205777524</v>
      </c>
      <c r="AK3846" s="230">
        <f t="shared" si="1158"/>
        <v>0.1332055624573473</v>
      </c>
      <c r="AL3846" s="24"/>
      <c r="AM3846" s="24"/>
      <c r="AN3846" s="24"/>
      <c r="AO3846" s="24"/>
      <c r="AP3846" s="165" t="str">
        <f t="shared" si="1159"/>
        <v>20252</v>
      </c>
      <c r="AQ3846" s="231" t="str">
        <f t="shared" si="1160"/>
        <v>20252JPY</v>
      </c>
      <c r="AR3846" s="232" t="str">
        <f t="shared" si="1161"/>
        <v>YAMAHA_Mounter</v>
      </c>
      <c r="AS3846" s="22">
        <f t="shared" si="1162"/>
        <v>1</v>
      </c>
      <c r="AT3846" s="24" t="str">
        <f t="shared" si="1163"/>
        <v>0-3 months</v>
      </c>
      <c r="AU3846" s="22" t="s">
        <v>3744</v>
      </c>
    </row>
    <row r="3847" spans="1:47">
      <c r="A3847" s="33" t="str">
        <f t="shared" si="1154"/>
        <v>FY 24/25</v>
      </c>
      <c r="B3847" s="23">
        <v>2024</v>
      </c>
      <c r="C3847" s="23">
        <v>12</v>
      </c>
      <c r="D3847" s="33" t="str">
        <f t="shared" si="1165"/>
        <v>Q3</v>
      </c>
      <c r="E3847" s="33" t="str">
        <f t="shared" si="1153"/>
        <v>FY 24/25</v>
      </c>
      <c r="F3847" s="23">
        <v>2025</v>
      </c>
      <c r="G3847" s="23">
        <v>1</v>
      </c>
      <c r="H3847" s="29"/>
      <c r="I3847" s="93" t="str">
        <f t="shared" si="1155"/>
        <v>Q4</v>
      </c>
      <c r="J3847" s="188" t="s">
        <v>3654</v>
      </c>
      <c r="K3847" s="29" t="s">
        <v>3655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164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167"/>
        <v>1.13</v>
      </c>
      <c r="Z3847" s="228">
        <f t="shared" si="1166"/>
        <v>450000</v>
      </c>
      <c r="AA3847" s="22">
        <v>1.0640000000000001</v>
      </c>
      <c r="AB3847" s="229">
        <f t="shared" si="1152"/>
        <v>423716.81415929209</v>
      </c>
      <c r="AC3847" s="25">
        <f t="shared" si="1156"/>
        <v>22075.646017699117</v>
      </c>
      <c r="AD3847" s="234">
        <v>5.21E-2</v>
      </c>
      <c r="AE3847" s="26">
        <f t="shared" si="1157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68"/>
        <v>16190947.162761064</v>
      </c>
      <c r="AJ3847" s="27">
        <f t="shared" si="1169"/>
        <v>2256328.1660673413</v>
      </c>
      <c r="AK3847" s="230">
        <f t="shared" si="1158"/>
        <v>0.13935739171929745</v>
      </c>
      <c r="AL3847" s="24"/>
      <c r="AM3847" s="24"/>
      <c r="AN3847" s="24"/>
      <c r="AO3847" s="24"/>
      <c r="AP3847" s="165" t="str">
        <f t="shared" si="1159"/>
        <v>20251</v>
      </c>
      <c r="AQ3847" s="231" t="str">
        <f t="shared" si="1160"/>
        <v>20251RMB</v>
      </c>
      <c r="AR3847" s="232" t="str">
        <f t="shared" si="1161"/>
        <v>YAMAHA_Mounter</v>
      </c>
      <c r="AS3847" s="22">
        <f t="shared" si="1162"/>
        <v>1</v>
      </c>
      <c r="AT3847" s="24" t="str">
        <f t="shared" si="1163"/>
        <v>0-3 months</v>
      </c>
      <c r="AU3847" s="22" t="s">
        <v>3240</v>
      </c>
    </row>
    <row r="3848" spans="1:47">
      <c r="A3848" s="33" t="str">
        <f t="shared" si="1154"/>
        <v>FY 24/25</v>
      </c>
      <c r="B3848" s="23">
        <v>2025</v>
      </c>
      <c r="C3848" s="23">
        <v>1</v>
      </c>
      <c r="D3848" s="33" t="str">
        <f t="shared" si="1165"/>
        <v>Q4</v>
      </c>
      <c r="E3848" s="33" t="str">
        <f t="shared" si="1153"/>
        <v>FY 24/25</v>
      </c>
      <c r="F3848" s="23">
        <v>2025</v>
      </c>
      <c r="G3848" s="23">
        <v>3</v>
      </c>
      <c r="H3848" s="29"/>
      <c r="I3848" s="93" t="str">
        <f t="shared" si="1155"/>
        <v>Q4</v>
      </c>
      <c r="J3848" s="188" t="s">
        <v>3656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164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167"/>
        <v>1</v>
      </c>
      <c r="Z3848" s="228">
        <f t="shared" si="1166"/>
        <v>14560000</v>
      </c>
      <c r="AA3848" s="22">
        <v>5.2999999999999999E-2</v>
      </c>
      <c r="AB3848" s="229">
        <f t="shared" si="1152"/>
        <v>771680</v>
      </c>
      <c r="AC3848" s="25">
        <f t="shared" si="1156"/>
        <v>118607.216</v>
      </c>
      <c r="AD3848" s="169">
        <v>0.1537</v>
      </c>
      <c r="AE3848" s="26">
        <f t="shared" si="1157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68"/>
        <v>18296867.955752224</v>
      </c>
      <c r="AJ3848" s="27">
        <f t="shared" si="1169"/>
        <v>2173426.9949823013</v>
      </c>
      <c r="AK3848" s="230">
        <f t="shared" si="1158"/>
        <v>0.11878683281960357</v>
      </c>
      <c r="AL3848" s="24"/>
      <c r="AM3848" s="24"/>
      <c r="AN3848" s="24"/>
      <c r="AO3848" s="24"/>
      <c r="AP3848" s="165" t="str">
        <f t="shared" si="1159"/>
        <v>20253</v>
      </c>
      <c r="AQ3848" s="231" t="str">
        <f t="shared" si="1160"/>
        <v>20253JPY</v>
      </c>
      <c r="AR3848" s="232" t="str">
        <f t="shared" si="1161"/>
        <v>YAMAHA_Mounter</v>
      </c>
      <c r="AS3848" s="22">
        <f t="shared" si="1162"/>
        <v>2</v>
      </c>
      <c r="AT3848" s="24" t="str">
        <f t="shared" si="1163"/>
        <v>0-3 months</v>
      </c>
      <c r="AU3848" s="22" t="s">
        <v>3744</v>
      </c>
    </row>
    <row r="3849" spans="1:47">
      <c r="A3849" s="33" t="str">
        <f t="shared" si="1154"/>
        <v>FY 24/25</v>
      </c>
      <c r="B3849" s="23">
        <v>2024</v>
      </c>
      <c r="C3849" s="23">
        <v>11</v>
      </c>
      <c r="D3849" s="33" t="str">
        <f t="shared" si="1165"/>
        <v>Q3</v>
      </c>
      <c r="E3849" s="33" t="str">
        <f t="shared" si="1153"/>
        <v>FY 25/26</v>
      </c>
      <c r="F3849" s="23">
        <v>2025</v>
      </c>
      <c r="G3849" s="23">
        <v>4</v>
      </c>
      <c r="H3849" s="29"/>
      <c r="I3849" s="93" t="str">
        <f t="shared" si="1155"/>
        <v>Q1</v>
      </c>
      <c r="J3849" s="188" t="s">
        <v>3657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164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167"/>
        <v>1.13</v>
      </c>
      <c r="Z3849" s="228">
        <f t="shared" si="1166"/>
        <v>620000</v>
      </c>
      <c r="AA3849" s="22">
        <v>1.0720000000000001</v>
      </c>
      <c r="AB3849" s="229">
        <f t="shared" si="1152"/>
        <v>588176.99115044263</v>
      </c>
      <c r="AC3849" s="25">
        <f t="shared" si="1156"/>
        <v>70581.238938053109</v>
      </c>
      <c r="AD3849" s="169">
        <v>0.12</v>
      </c>
      <c r="AE3849" s="26">
        <f t="shared" si="1157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68"/>
        <v>32703423.380530968</v>
      </c>
      <c r="AJ3849" s="27">
        <f t="shared" si="1169"/>
        <v>3885921.2623008853</v>
      </c>
      <c r="AK3849" s="230">
        <f t="shared" si="1158"/>
        <v>0.118823072957379</v>
      </c>
      <c r="AL3849" s="24"/>
      <c r="AM3849" s="24"/>
      <c r="AN3849" s="24"/>
      <c r="AO3849" s="24"/>
      <c r="AP3849" s="165" t="str">
        <f t="shared" si="1159"/>
        <v>20254</v>
      </c>
      <c r="AQ3849" s="231" t="str">
        <f t="shared" si="1160"/>
        <v>20254RMB</v>
      </c>
      <c r="AR3849" s="232" t="str">
        <f t="shared" si="1161"/>
        <v>YAMAHA_Mounter</v>
      </c>
      <c r="AS3849" s="22">
        <f t="shared" si="1162"/>
        <v>5</v>
      </c>
      <c r="AT3849" s="24" t="str">
        <f t="shared" si="1163"/>
        <v>4-6 months</v>
      </c>
      <c r="AU3849" s="22" t="s">
        <v>3240</v>
      </c>
    </row>
    <row r="3850" spans="1:47">
      <c r="A3850" s="33" t="str">
        <f t="shared" si="1154"/>
        <v>FY 24/25</v>
      </c>
      <c r="B3850" s="23">
        <v>2025</v>
      </c>
      <c r="C3850" s="23">
        <v>1</v>
      </c>
      <c r="D3850" s="33" t="str">
        <f t="shared" si="1165"/>
        <v>Q4</v>
      </c>
      <c r="E3850" s="33" t="str">
        <f t="shared" si="1153"/>
        <v>FY 24/25</v>
      </c>
      <c r="F3850" s="23">
        <v>2025</v>
      </c>
      <c r="G3850" s="23">
        <v>2</v>
      </c>
      <c r="H3850" s="29"/>
      <c r="I3850" s="93" t="str">
        <f t="shared" si="1155"/>
        <v>Q4</v>
      </c>
      <c r="J3850" s="188" t="s">
        <v>3658</v>
      </c>
      <c r="K3850" s="29" t="s">
        <v>3659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164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3603</v>
      </c>
      <c r="W3850" s="22" t="s">
        <v>109</v>
      </c>
      <c r="X3850" s="104">
        <v>12660000</v>
      </c>
      <c r="Y3850" s="31" t="str">
        <f t="shared" si="1167"/>
        <v>1</v>
      </c>
      <c r="Z3850" s="228">
        <f t="shared" si="1166"/>
        <v>12660000</v>
      </c>
      <c r="AA3850" s="22">
        <v>5.11E-2</v>
      </c>
      <c r="AB3850" s="229">
        <f t="shared" si="1152"/>
        <v>646926</v>
      </c>
      <c r="AC3850" s="25">
        <f t="shared" si="1156"/>
        <v>84359.150399999999</v>
      </c>
      <c r="AD3850" s="170">
        <v>0.13039999999999999</v>
      </c>
      <c r="AE3850" s="26">
        <f t="shared" si="1157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68"/>
        <v>30691842.970796466</v>
      </c>
      <c r="AJ3850" s="27">
        <f t="shared" si="1169"/>
        <v>4088324.205777524</v>
      </c>
      <c r="AK3850" s="230">
        <f t="shared" si="1158"/>
        <v>0.1332055624573473</v>
      </c>
      <c r="AL3850" s="24"/>
      <c r="AM3850" s="24"/>
      <c r="AN3850" s="24"/>
      <c r="AO3850" s="24"/>
      <c r="AP3850" s="165" t="str">
        <f t="shared" si="1159"/>
        <v>20252</v>
      </c>
      <c r="AQ3850" s="231" t="str">
        <f t="shared" si="1160"/>
        <v>20252JPY</v>
      </c>
      <c r="AR3850" s="232" t="str">
        <f t="shared" si="1161"/>
        <v>YAMAHA_Mounter</v>
      </c>
      <c r="AS3850" s="22">
        <f t="shared" si="1162"/>
        <v>1</v>
      </c>
      <c r="AT3850" s="24" t="str">
        <f t="shared" si="1163"/>
        <v>0-3 months</v>
      </c>
      <c r="AU3850" s="22" t="s">
        <v>3744</v>
      </c>
    </row>
    <row r="3851" spans="1:47">
      <c r="A3851" s="33" t="str">
        <f t="shared" si="1154"/>
        <v>FY 24/25</v>
      </c>
      <c r="B3851" s="23">
        <v>2025</v>
      </c>
      <c r="C3851" s="23">
        <v>1</v>
      </c>
      <c r="D3851" s="33" t="str">
        <f t="shared" si="1165"/>
        <v>Q4</v>
      </c>
      <c r="E3851" s="33" t="str">
        <f t="shared" si="1153"/>
        <v>FY 24/25</v>
      </c>
      <c r="F3851" s="23">
        <v>2025</v>
      </c>
      <c r="G3851" s="23">
        <v>2</v>
      </c>
      <c r="H3851" s="29"/>
      <c r="I3851" s="93" t="str">
        <f t="shared" si="1155"/>
        <v>Q4</v>
      </c>
      <c r="J3851" s="188" t="s">
        <v>3658</v>
      </c>
      <c r="K3851" s="29" t="s">
        <v>3659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164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3603</v>
      </c>
      <c r="W3851" s="22" t="s">
        <v>109</v>
      </c>
      <c r="X3851" s="104">
        <v>9000000</v>
      </c>
      <c r="Y3851" s="31" t="str">
        <f t="shared" si="1167"/>
        <v>1</v>
      </c>
      <c r="Z3851" s="228">
        <f t="shared" si="1166"/>
        <v>9000000</v>
      </c>
      <c r="AA3851" s="22">
        <v>5.11E-2</v>
      </c>
      <c r="AB3851" s="229">
        <f t="shared" si="1152"/>
        <v>459900</v>
      </c>
      <c r="AC3851" s="25">
        <f t="shared" si="1156"/>
        <v>59970.959999999992</v>
      </c>
      <c r="AD3851" s="170">
        <v>0.13039999999999999</v>
      </c>
      <c r="AE3851" s="26">
        <f t="shared" si="1157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68"/>
        <v>30691842.970796466</v>
      </c>
      <c r="AJ3851" s="27">
        <f t="shared" si="1169"/>
        <v>4088324.205777524</v>
      </c>
      <c r="AK3851" s="230">
        <f t="shared" si="1158"/>
        <v>0.1332055624573473</v>
      </c>
      <c r="AL3851" s="24"/>
      <c r="AM3851" s="24"/>
      <c r="AN3851" s="24"/>
      <c r="AO3851" s="24"/>
      <c r="AP3851" s="165" t="str">
        <f t="shared" si="1159"/>
        <v>20252</v>
      </c>
      <c r="AQ3851" s="231" t="str">
        <f t="shared" si="1160"/>
        <v>20252JPY</v>
      </c>
      <c r="AR3851" s="232" t="str">
        <f t="shared" si="1161"/>
        <v>YAMAHA_Mounter</v>
      </c>
      <c r="AS3851" s="22">
        <f t="shared" si="1162"/>
        <v>1</v>
      </c>
      <c r="AT3851" s="24" t="str">
        <f t="shared" si="1163"/>
        <v>0-3 months</v>
      </c>
      <c r="AU3851" s="22" t="s">
        <v>3744</v>
      </c>
    </row>
    <row r="3852" spans="1:47">
      <c r="A3852" s="33" t="str">
        <f t="shared" si="1154"/>
        <v>FY 24/25</v>
      </c>
      <c r="B3852" s="23">
        <v>2024</v>
      </c>
      <c r="C3852" s="23">
        <v>10</v>
      </c>
      <c r="D3852" s="202" t="str">
        <f t="shared" si="1165"/>
        <v>Q3</v>
      </c>
      <c r="E3852" s="33" t="str">
        <f t="shared" si="1153"/>
        <v>FY 24/25</v>
      </c>
      <c r="F3852" s="23">
        <v>2025</v>
      </c>
      <c r="G3852" s="23">
        <v>1</v>
      </c>
      <c r="H3852" s="29"/>
      <c r="I3852" s="204" t="str">
        <f t="shared" si="1155"/>
        <v>Q4</v>
      </c>
      <c r="J3852" s="188" t="s">
        <v>3652</v>
      </c>
      <c r="K3852" s="29" t="s">
        <v>3611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164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3590</v>
      </c>
      <c r="W3852" s="22" t="s">
        <v>901</v>
      </c>
      <c r="X3852" s="104">
        <v>35700</v>
      </c>
      <c r="Y3852" s="195" t="str">
        <f t="shared" si="1167"/>
        <v>1</v>
      </c>
      <c r="Z3852" s="196">
        <f t="shared" si="1166"/>
        <v>35700</v>
      </c>
      <c r="AA3852" s="22">
        <v>7.8</v>
      </c>
      <c r="AB3852" s="197">
        <f t="shared" si="1152"/>
        <v>278460</v>
      </c>
      <c r="AC3852" s="198">
        <f t="shared" si="1156"/>
        <v>110186.622</v>
      </c>
      <c r="AD3852" s="169">
        <v>0.3957</v>
      </c>
      <c r="AE3852" s="199">
        <f t="shared" si="1157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68"/>
        <v>16190947.162761064</v>
      </c>
      <c r="AJ3852" s="200">
        <f t="shared" si="1169"/>
        <v>2256328.1660673413</v>
      </c>
      <c r="AK3852" s="201">
        <f t="shared" si="1158"/>
        <v>0.13935739171929745</v>
      </c>
      <c r="AL3852" s="24"/>
      <c r="AM3852" s="24"/>
      <c r="AN3852" s="24"/>
      <c r="AO3852" s="24"/>
      <c r="AP3852" s="165" t="str">
        <f t="shared" si="1159"/>
        <v>20251</v>
      </c>
      <c r="AQ3852" s="203" t="str">
        <f t="shared" si="1160"/>
        <v>20251USD</v>
      </c>
      <c r="AR3852" s="206" t="str">
        <f t="shared" si="1161"/>
        <v>YAMAHA_Non_Mounter</v>
      </c>
      <c r="AS3852" s="22">
        <f t="shared" si="1162"/>
        <v>3</v>
      </c>
      <c r="AT3852" s="24" t="str">
        <f t="shared" si="1163"/>
        <v>0-3 months</v>
      </c>
      <c r="AU3852" s="22" t="s">
        <v>3747</v>
      </c>
    </row>
    <row r="3853" spans="1:47">
      <c r="A3853" s="33" t="str">
        <f t="shared" si="1154"/>
        <v>FY 24/25</v>
      </c>
      <c r="B3853" s="23">
        <v>2024</v>
      </c>
      <c r="C3853" s="23">
        <v>10</v>
      </c>
      <c r="D3853" s="202" t="str">
        <f t="shared" si="1165"/>
        <v>Q3</v>
      </c>
      <c r="E3853" s="33" t="str">
        <f t="shared" si="1153"/>
        <v>FY 24/25</v>
      </c>
      <c r="F3853" s="23">
        <v>2025</v>
      </c>
      <c r="G3853" s="23">
        <v>1</v>
      </c>
      <c r="H3853" s="29"/>
      <c r="I3853" s="204" t="str">
        <f t="shared" si="1155"/>
        <v>Q4</v>
      </c>
      <c r="J3853" s="188" t="s">
        <v>3652</v>
      </c>
      <c r="K3853" s="29" t="s">
        <v>3611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164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3590</v>
      </c>
      <c r="W3853" s="22" t="s">
        <v>901</v>
      </c>
      <c r="X3853" s="104">
        <v>84150</v>
      </c>
      <c r="Y3853" s="195" t="str">
        <f t="shared" si="1167"/>
        <v>1</v>
      </c>
      <c r="Z3853" s="196">
        <f t="shared" si="1166"/>
        <v>84150</v>
      </c>
      <c r="AA3853" s="22">
        <v>7.8</v>
      </c>
      <c r="AB3853" s="197">
        <f t="shared" si="1152"/>
        <v>656370</v>
      </c>
      <c r="AC3853" s="198">
        <f t="shared" si="1156"/>
        <v>259725.609</v>
      </c>
      <c r="AD3853" s="169">
        <v>0.3957</v>
      </c>
      <c r="AE3853" s="199">
        <f t="shared" si="1157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68"/>
        <v>16190947.162761064</v>
      </c>
      <c r="AJ3853" s="200">
        <f t="shared" si="1169"/>
        <v>2256328.1660673413</v>
      </c>
      <c r="AK3853" s="201">
        <f t="shared" si="1158"/>
        <v>0.13935739171929745</v>
      </c>
      <c r="AL3853" s="24"/>
      <c r="AM3853" s="24"/>
      <c r="AN3853" s="24"/>
      <c r="AO3853" s="24"/>
      <c r="AP3853" s="165" t="str">
        <f t="shared" si="1159"/>
        <v>20251</v>
      </c>
      <c r="AQ3853" s="203" t="str">
        <f t="shared" si="1160"/>
        <v>20251USD</v>
      </c>
      <c r="AR3853" s="206" t="str">
        <f t="shared" si="1161"/>
        <v>YAMAHA_Non_Mounter</v>
      </c>
      <c r="AS3853" s="22">
        <f t="shared" si="1162"/>
        <v>3</v>
      </c>
      <c r="AT3853" s="24" t="str">
        <f t="shared" si="1163"/>
        <v>0-3 months</v>
      </c>
      <c r="AU3853" s="22" t="s">
        <v>3747</v>
      </c>
    </row>
    <row r="3854" spans="1:47">
      <c r="A3854" s="33" t="str">
        <f t="shared" si="1154"/>
        <v>FY 24/25</v>
      </c>
      <c r="B3854" s="23">
        <v>2024</v>
      </c>
      <c r="C3854" s="23">
        <v>12</v>
      </c>
      <c r="D3854" s="202" t="str">
        <f t="shared" si="1165"/>
        <v>Q3</v>
      </c>
      <c r="E3854" s="33" t="str">
        <f t="shared" si="1153"/>
        <v>FY 24/25</v>
      </c>
      <c r="F3854" s="23">
        <v>2025</v>
      </c>
      <c r="G3854" s="23">
        <v>1</v>
      </c>
      <c r="H3854" s="29"/>
      <c r="I3854" s="204" t="str">
        <f t="shared" si="1155"/>
        <v>Q4</v>
      </c>
      <c r="J3854" s="188" t="s">
        <v>3660</v>
      </c>
      <c r="K3854" s="29" t="s">
        <v>3661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164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167"/>
        <v>1</v>
      </c>
      <c r="Z3854" s="196">
        <f t="shared" si="1166"/>
        <v>13200000</v>
      </c>
      <c r="AA3854" s="22">
        <v>5.0599999999999999E-2</v>
      </c>
      <c r="AB3854" s="197">
        <f t="shared" si="1152"/>
        <v>667920</v>
      </c>
      <c r="AC3854" s="198">
        <f t="shared" si="1156"/>
        <v>116885.99999999999</v>
      </c>
      <c r="AD3854" s="169">
        <v>0.17499999999999999</v>
      </c>
      <c r="AE3854" s="199">
        <f t="shared" si="1157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68"/>
        <v>16190947.162761064</v>
      </c>
      <c r="AJ3854" s="200">
        <f t="shared" si="1169"/>
        <v>2256328.1660673413</v>
      </c>
      <c r="AK3854" s="201">
        <f t="shared" si="1158"/>
        <v>0.13935739171929745</v>
      </c>
      <c r="AL3854" s="24"/>
      <c r="AM3854" s="24"/>
      <c r="AN3854" s="24"/>
      <c r="AO3854" s="24"/>
      <c r="AP3854" s="165" t="str">
        <f t="shared" si="1159"/>
        <v>20251</v>
      </c>
      <c r="AQ3854" s="203" t="str">
        <f t="shared" si="1160"/>
        <v>20251JPY</v>
      </c>
      <c r="AR3854" s="206" t="str">
        <f t="shared" si="1161"/>
        <v>YAMAHA_Mounter</v>
      </c>
      <c r="AS3854" s="22">
        <f t="shared" si="1162"/>
        <v>1</v>
      </c>
      <c r="AT3854" s="24" t="str">
        <f t="shared" si="1163"/>
        <v>0-3 months</v>
      </c>
      <c r="AU3854" s="22" t="s">
        <v>3744</v>
      </c>
    </row>
    <row r="3855" spans="1:47">
      <c r="A3855" s="33" t="str">
        <f t="shared" si="1154"/>
        <v>FY 24/25</v>
      </c>
      <c r="B3855" s="23">
        <v>2024</v>
      </c>
      <c r="C3855" s="23">
        <v>12</v>
      </c>
      <c r="D3855" s="202" t="str">
        <f t="shared" si="1165"/>
        <v>Q3</v>
      </c>
      <c r="E3855" s="33" t="str">
        <f t="shared" si="1153"/>
        <v>FY 24/25</v>
      </c>
      <c r="F3855" s="23">
        <v>2025</v>
      </c>
      <c r="G3855" s="23">
        <v>1</v>
      </c>
      <c r="H3855" s="29"/>
      <c r="I3855" s="204" t="str">
        <f t="shared" si="1155"/>
        <v>Q4</v>
      </c>
      <c r="J3855" s="188" t="s">
        <v>3660</v>
      </c>
      <c r="K3855" s="29" t="s">
        <v>3661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164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167"/>
        <v>1</v>
      </c>
      <c r="Z3855" s="196">
        <f t="shared" si="1166"/>
        <v>13200000</v>
      </c>
      <c r="AA3855" s="22">
        <v>5.0599999999999999E-2</v>
      </c>
      <c r="AB3855" s="197">
        <f t="shared" si="1152"/>
        <v>667920</v>
      </c>
      <c r="AC3855" s="198">
        <f t="shared" si="1156"/>
        <v>116885.99999999999</v>
      </c>
      <c r="AD3855" s="169">
        <v>0.17499999999999999</v>
      </c>
      <c r="AE3855" s="199">
        <f t="shared" si="1157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68"/>
        <v>16190947.162761064</v>
      </c>
      <c r="AJ3855" s="200">
        <f t="shared" si="1169"/>
        <v>2256328.1660673413</v>
      </c>
      <c r="AK3855" s="201">
        <f t="shared" si="1158"/>
        <v>0.13935739171929745</v>
      </c>
      <c r="AL3855" s="24"/>
      <c r="AM3855" s="24"/>
      <c r="AN3855" s="24"/>
      <c r="AO3855" s="24"/>
      <c r="AP3855" s="165" t="str">
        <f t="shared" si="1159"/>
        <v>20251</v>
      </c>
      <c r="AQ3855" s="203" t="str">
        <f t="shared" si="1160"/>
        <v>20251JPY</v>
      </c>
      <c r="AR3855" s="206" t="str">
        <f t="shared" si="1161"/>
        <v>YAMAHA_Mounter</v>
      </c>
      <c r="AS3855" s="22">
        <f t="shared" si="1162"/>
        <v>1</v>
      </c>
      <c r="AT3855" s="24" t="str">
        <f t="shared" si="1163"/>
        <v>0-3 months</v>
      </c>
      <c r="AU3855" s="22" t="s">
        <v>3744</v>
      </c>
    </row>
    <row r="3856" spans="1:47">
      <c r="A3856" s="33" t="str">
        <f t="shared" si="1154"/>
        <v>FY 24/25</v>
      </c>
      <c r="B3856" s="23">
        <v>2024</v>
      </c>
      <c r="C3856" s="23">
        <v>12</v>
      </c>
      <c r="D3856" s="202" t="str">
        <f t="shared" si="1165"/>
        <v>Q3</v>
      </c>
      <c r="E3856" s="33" t="str">
        <f t="shared" si="1153"/>
        <v>FY 24/25</v>
      </c>
      <c r="F3856" s="23">
        <v>2025</v>
      </c>
      <c r="G3856" s="23">
        <v>1</v>
      </c>
      <c r="H3856" s="29"/>
      <c r="I3856" s="204" t="str">
        <f t="shared" si="1155"/>
        <v>Q4</v>
      </c>
      <c r="J3856" s="188" t="s">
        <v>3660</v>
      </c>
      <c r="K3856" s="29" t="s">
        <v>3661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164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167"/>
        <v>1</v>
      </c>
      <c r="Z3856" s="196">
        <f t="shared" si="1166"/>
        <v>11800000</v>
      </c>
      <c r="AA3856" s="22">
        <v>5.0599999999999999E-2</v>
      </c>
      <c r="AB3856" s="197">
        <f t="shared" si="1152"/>
        <v>597080</v>
      </c>
      <c r="AC3856" s="198">
        <f t="shared" si="1156"/>
        <v>104489</v>
      </c>
      <c r="AD3856" s="169">
        <v>0.17499999999999999</v>
      </c>
      <c r="AE3856" s="199">
        <f t="shared" si="1157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68"/>
        <v>16190947.162761064</v>
      </c>
      <c r="AJ3856" s="200">
        <f t="shared" si="1169"/>
        <v>2256328.1660673413</v>
      </c>
      <c r="AK3856" s="201">
        <f t="shared" si="1158"/>
        <v>0.13935739171929745</v>
      </c>
      <c r="AL3856" s="24"/>
      <c r="AM3856" s="24"/>
      <c r="AN3856" s="24"/>
      <c r="AO3856" s="24"/>
      <c r="AP3856" s="165" t="str">
        <f t="shared" si="1159"/>
        <v>20251</v>
      </c>
      <c r="AQ3856" s="203" t="str">
        <f t="shared" si="1160"/>
        <v>20251JPY</v>
      </c>
      <c r="AR3856" s="206" t="str">
        <f t="shared" si="1161"/>
        <v>YAMAHA_Mounter</v>
      </c>
      <c r="AS3856" s="22">
        <f t="shared" si="1162"/>
        <v>1</v>
      </c>
      <c r="AT3856" s="24" t="str">
        <f t="shared" si="1163"/>
        <v>0-3 months</v>
      </c>
      <c r="AU3856" s="22" t="s">
        <v>3744</v>
      </c>
    </row>
    <row r="3857" spans="1:47">
      <c r="A3857" s="33" t="str">
        <f t="shared" si="1154"/>
        <v>FY 24/25</v>
      </c>
      <c r="B3857" s="23">
        <v>2024</v>
      </c>
      <c r="C3857" s="23">
        <v>12</v>
      </c>
      <c r="D3857" s="202" t="str">
        <f t="shared" si="1165"/>
        <v>Q3</v>
      </c>
      <c r="E3857" s="33" t="str">
        <f t="shared" si="1153"/>
        <v>FY 24/25</v>
      </c>
      <c r="F3857" s="23">
        <v>2025</v>
      </c>
      <c r="G3857" s="23">
        <v>1</v>
      </c>
      <c r="H3857" s="29"/>
      <c r="I3857" s="204" t="str">
        <f t="shared" si="1155"/>
        <v>Q4</v>
      </c>
      <c r="J3857" s="188" t="s">
        <v>3660</v>
      </c>
      <c r="K3857" s="29" t="s">
        <v>3661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164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167"/>
        <v>1</v>
      </c>
      <c r="Z3857" s="196">
        <f t="shared" si="1166"/>
        <v>11800000</v>
      </c>
      <c r="AA3857" s="22">
        <v>5.0599999999999999E-2</v>
      </c>
      <c r="AB3857" s="197">
        <f t="shared" si="1152"/>
        <v>597080</v>
      </c>
      <c r="AC3857" s="198">
        <f t="shared" si="1156"/>
        <v>104489</v>
      </c>
      <c r="AD3857" s="169">
        <v>0.17499999999999999</v>
      </c>
      <c r="AE3857" s="199">
        <f t="shared" si="1157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68"/>
        <v>16190947.162761064</v>
      </c>
      <c r="AJ3857" s="200">
        <f t="shared" si="1169"/>
        <v>2256328.1660673413</v>
      </c>
      <c r="AK3857" s="201">
        <f t="shared" si="1158"/>
        <v>0.13935739171929745</v>
      </c>
      <c r="AL3857" s="24"/>
      <c r="AM3857" s="24"/>
      <c r="AN3857" s="24"/>
      <c r="AO3857" s="24"/>
      <c r="AP3857" s="165" t="str">
        <f t="shared" si="1159"/>
        <v>20251</v>
      </c>
      <c r="AQ3857" s="203" t="str">
        <f t="shared" si="1160"/>
        <v>20251JPY</v>
      </c>
      <c r="AR3857" s="206" t="str">
        <f t="shared" si="1161"/>
        <v>YAMAHA_Mounter</v>
      </c>
      <c r="AS3857" s="22">
        <f t="shared" si="1162"/>
        <v>1</v>
      </c>
      <c r="AT3857" s="24" t="str">
        <f t="shared" si="1163"/>
        <v>0-3 months</v>
      </c>
      <c r="AU3857" s="22" t="s">
        <v>3744</v>
      </c>
    </row>
    <row r="3858" spans="1:47">
      <c r="A3858" s="33" t="str">
        <f t="shared" si="1154"/>
        <v>FY 24/25</v>
      </c>
      <c r="B3858" s="23">
        <v>2024</v>
      </c>
      <c r="C3858" s="23">
        <v>12</v>
      </c>
      <c r="D3858" s="202" t="str">
        <f t="shared" si="1165"/>
        <v>Q3</v>
      </c>
      <c r="E3858" s="33" t="str">
        <f t="shared" si="1153"/>
        <v>FY 24/25</v>
      </c>
      <c r="F3858" s="23">
        <v>2025</v>
      </c>
      <c r="G3858" s="23">
        <v>2</v>
      </c>
      <c r="H3858" s="29"/>
      <c r="I3858" s="204" t="str">
        <f t="shared" si="1155"/>
        <v>Q4</v>
      </c>
      <c r="J3858" s="188" t="s">
        <v>3662</v>
      </c>
      <c r="K3858" s="29" t="s">
        <v>3663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164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167"/>
        <v>1</v>
      </c>
      <c r="Z3858" s="196">
        <f t="shared" si="1166"/>
        <v>7275000</v>
      </c>
      <c r="AA3858" s="22">
        <v>5.11E-2</v>
      </c>
      <c r="AB3858" s="197">
        <f t="shared" ref="AB3858:AB3919" si="1170">IF(AND(R3858&lt;&gt;"C66",R3858&lt;&gt;""),Z3858/Y3858*AA3858,"")</f>
        <v>371752.5</v>
      </c>
      <c r="AC3858" s="198">
        <f t="shared" si="1156"/>
        <v>79183.282500000001</v>
      </c>
      <c r="AD3858" s="170">
        <v>0.21299999999999999</v>
      </c>
      <c r="AE3858" s="199">
        <f t="shared" si="1157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68"/>
        <v>30691842.970796466</v>
      </c>
      <c r="AJ3858" s="200">
        <f t="shared" si="1169"/>
        <v>4088324.205777524</v>
      </c>
      <c r="AK3858" s="201">
        <f t="shared" si="1158"/>
        <v>0.1332055624573473</v>
      </c>
      <c r="AL3858" s="24"/>
      <c r="AM3858" s="24"/>
      <c r="AN3858" s="24"/>
      <c r="AO3858" s="24"/>
      <c r="AP3858" s="165" t="str">
        <f t="shared" si="1159"/>
        <v>20252</v>
      </c>
      <c r="AQ3858" s="203" t="str">
        <f t="shared" si="1160"/>
        <v>20252JPY</v>
      </c>
      <c r="AR3858" s="206" t="str">
        <f t="shared" si="1161"/>
        <v>YAMAHA_Non_Mounter</v>
      </c>
      <c r="AS3858" s="22">
        <f t="shared" si="1162"/>
        <v>2</v>
      </c>
      <c r="AT3858" s="24" t="str">
        <f t="shared" si="1163"/>
        <v>0-3 months</v>
      </c>
      <c r="AU3858" s="22" t="s">
        <v>3745</v>
      </c>
    </row>
    <row r="3859" spans="1:47">
      <c r="A3859" s="33" t="str">
        <f t="shared" si="1154"/>
        <v>FY 24/25</v>
      </c>
      <c r="B3859" s="23">
        <v>2024</v>
      </c>
      <c r="C3859" s="23">
        <v>12</v>
      </c>
      <c r="D3859" s="202" t="str">
        <f t="shared" si="1165"/>
        <v>Q3</v>
      </c>
      <c r="E3859" s="33" t="str">
        <f t="shared" si="1153"/>
        <v>FY 24/25</v>
      </c>
      <c r="F3859" s="23">
        <v>2025</v>
      </c>
      <c r="G3859" s="23">
        <v>3</v>
      </c>
      <c r="H3859" s="29"/>
      <c r="I3859" s="204" t="str">
        <f t="shared" si="1155"/>
        <v>Q4</v>
      </c>
      <c r="J3859" s="188" t="s">
        <v>3664</v>
      </c>
      <c r="K3859" s="29" t="s">
        <v>3663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164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167"/>
        <v>1.13</v>
      </c>
      <c r="Z3859" s="196">
        <f t="shared" si="1166"/>
        <v>184500</v>
      </c>
      <c r="AA3859" s="22">
        <v>1.0669999999999999</v>
      </c>
      <c r="AB3859" s="197">
        <f t="shared" si="1170"/>
        <v>174213.7168141593</v>
      </c>
      <c r="AC3859" s="198">
        <f t="shared" si="1156"/>
        <v>40487.267787610617</v>
      </c>
      <c r="AD3859" s="169">
        <v>0.2324</v>
      </c>
      <c r="AE3859" s="199">
        <f t="shared" si="1157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68"/>
        <v>18296867.955752224</v>
      </c>
      <c r="AJ3859" s="200">
        <f t="shared" si="1169"/>
        <v>2173426.9949823013</v>
      </c>
      <c r="AK3859" s="201">
        <f t="shared" si="1158"/>
        <v>0.11878683281960357</v>
      </c>
      <c r="AL3859" s="24"/>
      <c r="AM3859" s="24"/>
      <c r="AN3859" s="24"/>
      <c r="AO3859" s="24"/>
      <c r="AP3859" s="165" t="str">
        <f t="shared" si="1159"/>
        <v>20253</v>
      </c>
      <c r="AQ3859" s="203" t="str">
        <f t="shared" si="1160"/>
        <v>20253RMB</v>
      </c>
      <c r="AR3859" s="206" t="str">
        <f t="shared" si="1161"/>
        <v>YAMAHA_Non_Mounter</v>
      </c>
      <c r="AS3859" s="22">
        <f t="shared" si="1162"/>
        <v>3</v>
      </c>
      <c r="AT3859" s="24" t="str">
        <f t="shared" si="1163"/>
        <v>0-3 months</v>
      </c>
      <c r="AU3859" s="22" t="s">
        <v>3750</v>
      </c>
    </row>
    <row r="3860" spans="1:47">
      <c r="A3860" s="33" t="str">
        <f t="shared" si="1154"/>
        <v>FY 24/25</v>
      </c>
      <c r="B3860" s="23">
        <v>2024</v>
      </c>
      <c r="C3860" s="23">
        <v>12</v>
      </c>
      <c r="D3860" s="202" t="str">
        <f t="shared" si="1165"/>
        <v>Q3</v>
      </c>
      <c r="E3860" s="33" t="str">
        <f t="shared" si="1153"/>
        <v>FY 24/25</v>
      </c>
      <c r="F3860" s="23">
        <v>2025</v>
      </c>
      <c r="G3860" s="23">
        <v>1</v>
      </c>
      <c r="H3860" s="29"/>
      <c r="I3860" s="204" t="str">
        <f t="shared" si="1155"/>
        <v>Q4</v>
      </c>
      <c r="J3860" s="188" t="s">
        <v>3665</v>
      </c>
      <c r="K3860" s="29" t="s">
        <v>3663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164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167"/>
        <v>1</v>
      </c>
      <c r="Z3860" s="196">
        <f t="shared" si="1166"/>
        <v>9894000</v>
      </c>
      <c r="AA3860" s="22">
        <v>5.0599999999999999E-2</v>
      </c>
      <c r="AB3860" s="197">
        <f t="shared" si="1170"/>
        <v>500636.39999999997</v>
      </c>
      <c r="AC3860" s="198">
        <f t="shared" si="1156"/>
        <v>89363.597399999984</v>
      </c>
      <c r="AD3860" s="169">
        <v>0.17849999999999999</v>
      </c>
      <c r="AE3860" s="199">
        <f t="shared" si="1157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68"/>
        <v>16190947.162761064</v>
      </c>
      <c r="AJ3860" s="200">
        <f t="shared" si="1169"/>
        <v>2256328.1660673413</v>
      </c>
      <c r="AK3860" s="201">
        <f t="shared" si="1158"/>
        <v>0.13935739171929745</v>
      </c>
      <c r="AL3860" s="24"/>
      <c r="AM3860" s="24"/>
      <c r="AN3860" s="24"/>
      <c r="AO3860" s="24"/>
      <c r="AP3860" s="165" t="str">
        <f t="shared" si="1159"/>
        <v>20251</v>
      </c>
      <c r="AQ3860" s="203" t="str">
        <f t="shared" si="1160"/>
        <v>20251JPY</v>
      </c>
      <c r="AR3860" s="206" t="str">
        <f t="shared" si="1161"/>
        <v>YAMAHA_Mounter</v>
      </c>
      <c r="AS3860" s="22">
        <f t="shared" si="1162"/>
        <v>1</v>
      </c>
      <c r="AT3860" s="24" t="str">
        <f t="shared" si="1163"/>
        <v>0-3 months</v>
      </c>
      <c r="AU3860" s="22" t="s">
        <v>3745</v>
      </c>
    </row>
    <row r="3861" spans="1:47">
      <c r="A3861" s="33" t="str">
        <f t="shared" si="1154"/>
        <v>FY 24/25</v>
      </c>
      <c r="B3861" s="23">
        <v>2025</v>
      </c>
      <c r="C3861" s="23">
        <v>1</v>
      </c>
      <c r="D3861" s="202" t="str">
        <f t="shared" si="1165"/>
        <v>Q4</v>
      </c>
      <c r="E3861" s="33" t="str">
        <f t="shared" si="1153"/>
        <v>FY 24/25</v>
      </c>
      <c r="F3861" s="23">
        <v>2025</v>
      </c>
      <c r="G3861" s="23">
        <v>2</v>
      </c>
      <c r="H3861" s="29"/>
      <c r="I3861" s="204" t="str">
        <f t="shared" si="1155"/>
        <v>Q4</v>
      </c>
      <c r="J3861" s="188" t="s">
        <v>3666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164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167"/>
        <v>1</v>
      </c>
      <c r="Z3861" s="196">
        <f t="shared" si="1166"/>
        <v>7500000</v>
      </c>
      <c r="AA3861" s="22">
        <v>5.11E-2</v>
      </c>
      <c r="AB3861" s="197">
        <f t="shared" si="1170"/>
        <v>383250</v>
      </c>
      <c r="AC3861" s="198">
        <f t="shared" si="1156"/>
        <v>49477.574999999997</v>
      </c>
      <c r="AD3861" s="170">
        <v>0.12909999999999999</v>
      </c>
      <c r="AE3861" s="199">
        <f t="shared" si="1157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68"/>
        <v>30691842.970796466</v>
      </c>
      <c r="AJ3861" s="200">
        <f t="shared" si="1169"/>
        <v>4088324.205777524</v>
      </c>
      <c r="AK3861" s="201">
        <f t="shared" si="1158"/>
        <v>0.1332055624573473</v>
      </c>
      <c r="AL3861" s="24"/>
      <c r="AM3861" s="24"/>
      <c r="AN3861" s="24"/>
      <c r="AO3861" s="24"/>
      <c r="AP3861" s="165" t="str">
        <f t="shared" si="1159"/>
        <v>20252</v>
      </c>
      <c r="AQ3861" s="203" t="str">
        <f t="shared" si="1160"/>
        <v>20252JPY</v>
      </c>
      <c r="AR3861" s="206" t="str">
        <f t="shared" si="1161"/>
        <v>YAMAHA_Mounter</v>
      </c>
      <c r="AS3861" s="22">
        <f t="shared" si="1162"/>
        <v>1</v>
      </c>
      <c r="AT3861" s="24" t="str">
        <f t="shared" si="1163"/>
        <v>0-3 months</v>
      </c>
      <c r="AU3861" s="22" t="s">
        <v>3744</v>
      </c>
    </row>
    <row r="3862" spans="1:47">
      <c r="A3862" s="33" t="str">
        <f t="shared" si="1154"/>
        <v>FY 24/25</v>
      </c>
      <c r="B3862" s="23">
        <v>2025</v>
      </c>
      <c r="C3862" s="23">
        <v>1</v>
      </c>
      <c r="D3862" s="202" t="str">
        <f t="shared" si="1165"/>
        <v>Q4</v>
      </c>
      <c r="E3862" s="33" t="str">
        <f t="shared" si="1153"/>
        <v>FY 24/25</v>
      </c>
      <c r="F3862" s="23">
        <v>2025</v>
      </c>
      <c r="G3862" s="23">
        <v>2</v>
      </c>
      <c r="H3862" s="29"/>
      <c r="I3862" s="204" t="str">
        <f t="shared" si="1155"/>
        <v>Q4</v>
      </c>
      <c r="J3862" s="188" t="s">
        <v>3667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164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167"/>
        <v>1</v>
      </c>
      <c r="Z3862" s="196">
        <f t="shared" si="1166"/>
        <v>14900000</v>
      </c>
      <c r="AA3862" s="22">
        <v>5.11E-2</v>
      </c>
      <c r="AB3862" s="197">
        <f t="shared" si="1170"/>
        <v>761390</v>
      </c>
      <c r="AC3862" s="198">
        <f t="shared" si="1156"/>
        <v>112914.13699999999</v>
      </c>
      <c r="AD3862" s="170">
        <v>0.14829999999999999</v>
      </c>
      <c r="AE3862" s="199">
        <f t="shared" si="1157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68"/>
        <v>30691842.970796466</v>
      </c>
      <c r="AJ3862" s="200">
        <f t="shared" si="1169"/>
        <v>4088324.205777524</v>
      </c>
      <c r="AK3862" s="201">
        <f t="shared" si="1158"/>
        <v>0.1332055624573473</v>
      </c>
      <c r="AL3862" s="24"/>
      <c r="AM3862" s="24"/>
      <c r="AN3862" s="24"/>
      <c r="AO3862" s="24"/>
      <c r="AP3862" s="165" t="str">
        <f t="shared" si="1159"/>
        <v>20252</v>
      </c>
      <c r="AQ3862" s="203" t="str">
        <f t="shared" si="1160"/>
        <v>20252JPY</v>
      </c>
      <c r="AR3862" s="206" t="str">
        <f t="shared" si="1161"/>
        <v>YAMAHA_Mounter</v>
      </c>
      <c r="AS3862" s="22">
        <f t="shared" si="1162"/>
        <v>1</v>
      </c>
      <c r="AT3862" s="24" t="str">
        <f t="shared" si="1163"/>
        <v>0-3 months</v>
      </c>
      <c r="AU3862" s="22" t="s">
        <v>3744</v>
      </c>
    </row>
    <row r="3863" spans="1:47">
      <c r="A3863" s="33" t="str">
        <f t="shared" si="1154"/>
        <v>FY 24/25</v>
      </c>
      <c r="B3863" s="23">
        <v>2025</v>
      </c>
      <c r="C3863" s="23">
        <v>1</v>
      </c>
      <c r="D3863" s="202" t="str">
        <f t="shared" si="1165"/>
        <v>Q4</v>
      </c>
      <c r="E3863" s="33" t="str">
        <f t="shared" si="1153"/>
        <v>FY 24/25</v>
      </c>
      <c r="F3863" s="23">
        <v>2025</v>
      </c>
      <c r="G3863" s="23">
        <v>2</v>
      </c>
      <c r="H3863" s="29"/>
      <c r="I3863" s="204" t="str">
        <f t="shared" si="1155"/>
        <v>Q4</v>
      </c>
      <c r="J3863" s="188" t="s">
        <v>3667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164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167"/>
        <v>1</v>
      </c>
      <c r="Z3863" s="196">
        <f t="shared" si="1166"/>
        <v>14900000</v>
      </c>
      <c r="AA3863" s="22">
        <v>5.11E-2</v>
      </c>
      <c r="AB3863" s="197">
        <f t="shared" si="1170"/>
        <v>761390</v>
      </c>
      <c r="AC3863" s="198">
        <f t="shared" si="1156"/>
        <v>112914.13699999999</v>
      </c>
      <c r="AD3863" s="170">
        <v>0.14829999999999999</v>
      </c>
      <c r="AE3863" s="199">
        <f t="shared" si="1157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68"/>
        <v>30691842.970796466</v>
      </c>
      <c r="AJ3863" s="200">
        <f t="shared" si="1169"/>
        <v>4088324.205777524</v>
      </c>
      <c r="AK3863" s="201">
        <f t="shared" si="1158"/>
        <v>0.1332055624573473</v>
      </c>
      <c r="AL3863" s="24"/>
      <c r="AM3863" s="24"/>
      <c r="AN3863" s="24"/>
      <c r="AO3863" s="24"/>
      <c r="AP3863" s="165" t="str">
        <f t="shared" si="1159"/>
        <v>20252</v>
      </c>
      <c r="AQ3863" s="203" t="str">
        <f t="shared" si="1160"/>
        <v>20252JPY</v>
      </c>
      <c r="AR3863" s="206" t="str">
        <f t="shared" si="1161"/>
        <v>YAMAHA_Mounter</v>
      </c>
      <c r="AS3863" s="22">
        <f t="shared" si="1162"/>
        <v>1</v>
      </c>
      <c r="AT3863" s="24" t="str">
        <f t="shared" si="1163"/>
        <v>0-3 months</v>
      </c>
      <c r="AU3863" s="22" t="s">
        <v>3744</v>
      </c>
    </row>
    <row r="3864" spans="1:47">
      <c r="A3864" s="33" t="str">
        <f t="shared" si="1154"/>
        <v>FY 24/25</v>
      </c>
      <c r="B3864" s="23">
        <v>2025</v>
      </c>
      <c r="C3864" s="23">
        <v>1</v>
      </c>
      <c r="D3864" s="202" t="str">
        <f t="shared" si="1165"/>
        <v>Q4</v>
      </c>
      <c r="E3864" s="33" t="str">
        <f t="shared" ref="E3864:E3927" si="1171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5"/>
        <v>Q4</v>
      </c>
      <c r="J3864" s="188" t="s">
        <v>3666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164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167"/>
        <v>1</v>
      </c>
      <c r="Z3864" s="196">
        <f t="shared" si="1166"/>
        <v>12840000</v>
      </c>
      <c r="AA3864" s="22">
        <v>5.11E-2</v>
      </c>
      <c r="AB3864" s="197">
        <f t="shared" si="1170"/>
        <v>656124</v>
      </c>
      <c r="AC3864" s="198">
        <f t="shared" si="1156"/>
        <v>84705.608399999997</v>
      </c>
      <c r="AD3864" s="170">
        <v>0.12909999999999999</v>
      </c>
      <c r="AE3864" s="199">
        <f t="shared" si="1157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68"/>
        <v>30691842.970796466</v>
      </c>
      <c r="AJ3864" s="200">
        <f t="shared" si="1169"/>
        <v>4088324.205777524</v>
      </c>
      <c r="AK3864" s="201">
        <f t="shared" si="1158"/>
        <v>0.1332055624573473</v>
      </c>
      <c r="AL3864" s="24"/>
      <c r="AM3864" s="24"/>
      <c r="AN3864" s="24"/>
      <c r="AO3864" s="24"/>
      <c r="AP3864" s="165" t="str">
        <f t="shared" si="1159"/>
        <v>20252</v>
      </c>
      <c r="AQ3864" s="203" t="str">
        <f t="shared" si="1160"/>
        <v>20252JPY</v>
      </c>
      <c r="AR3864" s="206" t="str">
        <f t="shared" si="1161"/>
        <v>YAMAHA_Mounter</v>
      </c>
      <c r="AS3864" s="22">
        <f t="shared" si="1162"/>
        <v>1</v>
      </c>
      <c r="AT3864" s="24" t="str">
        <f t="shared" si="1163"/>
        <v>0-3 months</v>
      </c>
      <c r="AU3864" s="22" t="s">
        <v>3744</v>
      </c>
    </row>
    <row r="3865" spans="1:47">
      <c r="A3865" s="33" t="str">
        <f t="shared" si="1154"/>
        <v>FY 24/25</v>
      </c>
      <c r="B3865" s="23">
        <v>2025</v>
      </c>
      <c r="C3865" s="23">
        <v>1</v>
      </c>
      <c r="D3865" s="202" t="str">
        <f t="shared" si="1165"/>
        <v>Q4</v>
      </c>
      <c r="E3865" s="33" t="str">
        <f t="shared" si="1171"/>
        <v>FY 24/25</v>
      </c>
      <c r="F3865" s="23">
        <v>2025</v>
      </c>
      <c r="G3865" s="23">
        <v>2</v>
      </c>
      <c r="H3865" s="29"/>
      <c r="I3865" s="204" t="str">
        <f t="shared" si="1155"/>
        <v>Q4</v>
      </c>
      <c r="J3865" s="188" t="s">
        <v>3666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164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167"/>
        <v>1</v>
      </c>
      <c r="Z3865" s="196">
        <f t="shared" si="1166"/>
        <v>12840000</v>
      </c>
      <c r="AA3865" s="22">
        <v>5.11E-2</v>
      </c>
      <c r="AB3865" s="197">
        <f t="shared" si="1170"/>
        <v>656124</v>
      </c>
      <c r="AC3865" s="198">
        <f t="shared" si="1156"/>
        <v>84705.608399999997</v>
      </c>
      <c r="AD3865" s="170">
        <v>0.12909999999999999</v>
      </c>
      <c r="AE3865" s="199">
        <f t="shared" si="1157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68"/>
        <v>30691842.970796466</v>
      </c>
      <c r="AJ3865" s="200">
        <f t="shared" si="1169"/>
        <v>4088324.205777524</v>
      </c>
      <c r="AK3865" s="201">
        <f t="shared" si="1158"/>
        <v>0.1332055624573473</v>
      </c>
      <c r="AL3865" s="24"/>
      <c r="AM3865" s="24"/>
      <c r="AN3865" s="24"/>
      <c r="AO3865" s="24"/>
      <c r="AP3865" s="165" t="str">
        <f t="shared" si="1159"/>
        <v>20252</v>
      </c>
      <c r="AQ3865" s="203" t="str">
        <f t="shared" si="1160"/>
        <v>20252JPY</v>
      </c>
      <c r="AR3865" s="206" t="str">
        <f t="shared" si="1161"/>
        <v>YAMAHA_Mounter</v>
      </c>
      <c r="AS3865" s="22">
        <f t="shared" si="1162"/>
        <v>1</v>
      </c>
      <c r="AT3865" s="24" t="str">
        <f t="shared" si="1163"/>
        <v>0-3 months</v>
      </c>
      <c r="AU3865" s="22" t="s">
        <v>3744</v>
      </c>
    </row>
    <row r="3866" spans="1:47">
      <c r="A3866" s="33" t="str">
        <f t="shared" si="1154"/>
        <v>FY 24/25</v>
      </c>
      <c r="B3866" s="23">
        <v>2025</v>
      </c>
      <c r="C3866" s="23">
        <v>1</v>
      </c>
      <c r="D3866" s="202" t="str">
        <f t="shared" si="1165"/>
        <v>Q4</v>
      </c>
      <c r="E3866" s="33" t="str">
        <f t="shared" si="1171"/>
        <v>FY 25/26</v>
      </c>
      <c r="F3866" s="23">
        <v>2025</v>
      </c>
      <c r="G3866" s="23">
        <v>4</v>
      </c>
      <c r="H3866" s="29"/>
      <c r="I3866" s="204" t="str">
        <f t="shared" si="1155"/>
        <v>Q1</v>
      </c>
      <c r="J3866" s="188" t="s">
        <v>3669</v>
      </c>
      <c r="K3866" s="29" t="s">
        <v>3670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164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167"/>
        <v>1.13</v>
      </c>
      <c r="Z3866" s="196">
        <f t="shared" si="1166"/>
        <v>840000</v>
      </c>
      <c r="AA3866" s="22">
        <v>1.0720000000000001</v>
      </c>
      <c r="AB3866" s="197">
        <f t="shared" si="1170"/>
        <v>796884.95575221244</v>
      </c>
      <c r="AC3866" s="198">
        <f t="shared" si="1156"/>
        <v>95626.194690265489</v>
      </c>
      <c r="AD3866" s="169">
        <v>0.12</v>
      </c>
      <c r="AE3866" s="199">
        <f t="shared" si="1157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68"/>
        <v>32703423.380530968</v>
      </c>
      <c r="AJ3866" s="200">
        <f t="shared" si="1169"/>
        <v>3885921.2623008853</v>
      </c>
      <c r="AK3866" s="201">
        <f t="shared" si="1158"/>
        <v>0.118823072957379</v>
      </c>
      <c r="AL3866" s="24"/>
      <c r="AM3866" s="24"/>
      <c r="AN3866" s="24"/>
      <c r="AO3866" s="24"/>
      <c r="AP3866" s="165" t="str">
        <f t="shared" si="1159"/>
        <v>20254</v>
      </c>
      <c r="AQ3866" s="203" t="str">
        <f t="shared" si="1160"/>
        <v>20254RMB</v>
      </c>
      <c r="AR3866" s="206" t="str">
        <f t="shared" si="1161"/>
        <v>YAMAHA_Mounter</v>
      </c>
      <c r="AS3866" s="22">
        <f t="shared" si="1162"/>
        <v>3</v>
      </c>
      <c r="AT3866" s="24" t="str">
        <f t="shared" si="1163"/>
        <v>0-3 months</v>
      </c>
      <c r="AU3866" s="22" t="s">
        <v>3750</v>
      </c>
    </row>
    <row r="3867" spans="1:47">
      <c r="A3867" s="33" t="str">
        <f t="shared" si="1154"/>
        <v>FY 24/25</v>
      </c>
      <c r="B3867" s="23">
        <v>2025</v>
      </c>
      <c r="C3867" s="23">
        <v>1</v>
      </c>
      <c r="D3867" s="202" t="str">
        <f t="shared" si="1165"/>
        <v>Q4</v>
      </c>
      <c r="E3867" s="33" t="str">
        <f t="shared" si="1171"/>
        <v>FY 25/26</v>
      </c>
      <c r="F3867" s="23">
        <v>2025</v>
      </c>
      <c r="G3867" s="23">
        <v>4</v>
      </c>
      <c r="H3867" s="29"/>
      <c r="I3867" s="204" t="str">
        <f t="shared" si="1155"/>
        <v>Q1</v>
      </c>
      <c r="J3867" s="188" t="s">
        <v>3669</v>
      </c>
      <c r="K3867" s="29" t="s">
        <v>3670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164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167"/>
        <v>1.13</v>
      </c>
      <c r="Z3867" s="196">
        <f t="shared" si="1166"/>
        <v>403000</v>
      </c>
      <c r="AA3867" s="22">
        <v>1.0720000000000001</v>
      </c>
      <c r="AB3867" s="197">
        <f t="shared" si="1170"/>
        <v>382315.04424778762</v>
      </c>
      <c r="AC3867" s="198">
        <f t="shared" si="1156"/>
        <v>45877.805309734511</v>
      </c>
      <c r="AD3867" s="169">
        <v>0.12</v>
      </c>
      <c r="AE3867" s="199">
        <f t="shared" si="1157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68"/>
        <v>32703423.380530968</v>
      </c>
      <c r="AJ3867" s="200">
        <f t="shared" si="1169"/>
        <v>3885921.2623008853</v>
      </c>
      <c r="AK3867" s="201">
        <f t="shared" si="1158"/>
        <v>0.118823072957379</v>
      </c>
      <c r="AL3867" s="24"/>
      <c r="AM3867" s="24"/>
      <c r="AN3867" s="24"/>
      <c r="AO3867" s="24"/>
      <c r="AP3867" s="165" t="str">
        <f t="shared" si="1159"/>
        <v>20254</v>
      </c>
      <c r="AQ3867" s="203" t="str">
        <f t="shared" si="1160"/>
        <v>20254RMB</v>
      </c>
      <c r="AR3867" s="206" t="str">
        <f t="shared" si="1161"/>
        <v>YAMAHA_Mounter</v>
      </c>
      <c r="AS3867" s="22">
        <f t="shared" si="1162"/>
        <v>3</v>
      </c>
      <c r="AT3867" s="24" t="str">
        <f t="shared" si="1163"/>
        <v>0-3 months</v>
      </c>
      <c r="AU3867" s="22" t="s">
        <v>3750</v>
      </c>
    </row>
    <row r="3868" spans="1:47" ht="39.6">
      <c r="A3868" s="33" t="str">
        <f t="shared" si="1154"/>
        <v/>
      </c>
      <c r="B3868" s="23"/>
      <c r="C3868" s="23"/>
      <c r="D3868" s="202" t="str">
        <f t="shared" si="1165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155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164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167"/>
        <v/>
      </c>
      <c r="Z3868" s="196" t="str">
        <f t="shared" si="1166"/>
        <v/>
      </c>
      <c r="AA3868" s="22"/>
      <c r="AB3868" s="197">
        <v>9000</v>
      </c>
      <c r="AC3868" s="198">
        <f t="shared" si="1156"/>
        <v>2700</v>
      </c>
      <c r="AD3868" s="162">
        <v>0.3</v>
      </c>
      <c r="AE3868" s="199">
        <f t="shared" si="1157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68"/>
        <v>15965524.256637167</v>
      </c>
      <c r="AJ3868" s="200">
        <f t="shared" si="1169"/>
        <v>2480116.5996584073</v>
      </c>
      <c r="AK3868" s="201">
        <f t="shared" si="1158"/>
        <v>0.15534200817911609</v>
      </c>
      <c r="AL3868" s="24"/>
      <c r="AM3868" s="24"/>
      <c r="AN3868" s="24"/>
      <c r="AO3868" s="24"/>
      <c r="AP3868" s="165" t="str">
        <f t="shared" si="1159"/>
        <v>202412</v>
      </c>
      <c r="AQ3868" s="203" t="str">
        <f t="shared" si="1160"/>
        <v/>
      </c>
      <c r="AR3868" s="206" t="str">
        <f t="shared" si="1161"/>
        <v>C66 SERVICE</v>
      </c>
      <c r="AS3868" s="22" t="str">
        <f t="shared" si="1162"/>
        <v/>
      </c>
      <c r="AT3868" s="24" t="str">
        <f t="shared" si="1163"/>
        <v/>
      </c>
      <c r="AU3868" s="22">
        <v>0</v>
      </c>
    </row>
    <row r="3869" spans="1:47" ht="39.6">
      <c r="A3869" s="33" t="str">
        <f t="shared" si="1154"/>
        <v/>
      </c>
      <c r="B3869" s="23"/>
      <c r="C3869" s="23"/>
      <c r="D3869" s="202" t="str">
        <f t="shared" si="1165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155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164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167"/>
        <v/>
      </c>
      <c r="Z3869" s="196" t="str">
        <f t="shared" si="1166"/>
        <v/>
      </c>
      <c r="AA3869" s="22"/>
      <c r="AB3869" s="197">
        <v>118000</v>
      </c>
      <c r="AC3869" s="198">
        <f t="shared" si="1156"/>
        <v>35400</v>
      </c>
      <c r="AD3869" s="162">
        <v>0.3</v>
      </c>
      <c r="AE3869" s="199">
        <f t="shared" si="1157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68"/>
        <v>15965524.256637167</v>
      </c>
      <c r="AJ3869" s="200">
        <f t="shared" si="1169"/>
        <v>2480116.5996584073</v>
      </c>
      <c r="AK3869" s="201">
        <f t="shared" si="1158"/>
        <v>0.15534200817911609</v>
      </c>
      <c r="AL3869" s="24"/>
      <c r="AM3869" s="24"/>
      <c r="AN3869" s="24"/>
      <c r="AO3869" s="24"/>
      <c r="AP3869" s="165" t="str">
        <f t="shared" si="1159"/>
        <v>202412</v>
      </c>
      <c r="AQ3869" s="203" t="str">
        <f t="shared" si="1160"/>
        <v/>
      </c>
      <c r="AR3869" s="206" t="str">
        <f t="shared" si="1161"/>
        <v>C66 SERVICE</v>
      </c>
      <c r="AS3869" s="22" t="str">
        <f t="shared" si="1162"/>
        <v/>
      </c>
      <c r="AT3869" s="24" t="str">
        <f t="shared" si="1163"/>
        <v/>
      </c>
      <c r="AU3869" s="22">
        <v>0</v>
      </c>
    </row>
    <row r="3870" spans="1:47" ht="39.6">
      <c r="A3870" s="33" t="str">
        <f t="shared" si="1154"/>
        <v/>
      </c>
      <c r="B3870" s="23"/>
      <c r="C3870" s="23"/>
      <c r="D3870" s="202" t="str">
        <f t="shared" si="1165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155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164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167"/>
        <v/>
      </c>
      <c r="Z3870" s="196" t="str">
        <f t="shared" si="1166"/>
        <v/>
      </c>
      <c r="AA3870" s="22"/>
      <c r="AB3870" s="197">
        <v>203000</v>
      </c>
      <c r="AC3870" s="198">
        <f t="shared" si="1156"/>
        <v>60900</v>
      </c>
      <c r="AD3870" s="162">
        <v>0.3</v>
      </c>
      <c r="AE3870" s="199">
        <f t="shared" si="1157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68"/>
        <v>15965524.256637167</v>
      </c>
      <c r="AJ3870" s="200">
        <f t="shared" si="1169"/>
        <v>2480116.5996584073</v>
      </c>
      <c r="AK3870" s="201">
        <f t="shared" si="1158"/>
        <v>0.15534200817911609</v>
      </c>
      <c r="AL3870" s="24"/>
      <c r="AM3870" s="24"/>
      <c r="AN3870" s="24"/>
      <c r="AO3870" s="24"/>
      <c r="AP3870" s="165" t="str">
        <f t="shared" si="1159"/>
        <v>202412</v>
      </c>
      <c r="AQ3870" s="203" t="str">
        <f t="shared" si="1160"/>
        <v/>
      </c>
      <c r="AR3870" s="206" t="str">
        <f t="shared" si="1161"/>
        <v>C66 SERVICE</v>
      </c>
      <c r="AS3870" s="22" t="str">
        <f t="shared" si="1162"/>
        <v/>
      </c>
      <c r="AT3870" s="24" t="str">
        <f t="shared" si="1163"/>
        <v/>
      </c>
      <c r="AU3870" s="22">
        <v>0</v>
      </c>
    </row>
    <row r="3871" spans="1:47" ht="39.6">
      <c r="A3871" s="33" t="str">
        <f t="shared" si="1154"/>
        <v/>
      </c>
      <c r="B3871" s="23"/>
      <c r="C3871" s="23"/>
      <c r="D3871" s="202" t="str">
        <f t="shared" si="1165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155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164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167"/>
        <v/>
      </c>
      <c r="Z3871" s="196" t="str">
        <f t="shared" si="1166"/>
        <v/>
      </c>
      <c r="AA3871" s="22"/>
      <c r="AB3871" s="197">
        <v>149000</v>
      </c>
      <c r="AC3871" s="198">
        <f t="shared" si="1156"/>
        <v>44700</v>
      </c>
      <c r="AD3871" s="162">
        <v>0.3</v>
      </c>
      <c r="AE3871" s="199">
        <f t="shared" si="1157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68"/>
        <v>15965524.256637167</v>
      </c>
      <c r="AJ3871" s="200">
        <f t="shared" si="1169"/>
        <v>2480116.5996584073</v>
      </c>
      <c r="AK3871" s="201">
        <f t="shared" si="1158"/>
        <v>0.15534200817911609</v>
      </c>
      <c r="AL3871" s="24"/>
      <c r="AM3871" s="24"/>
      <c r="AN3871" s="24"/>
      <c r="AO3871" s="24"/>
      <c r="AP3871" s="165" t="str">
        <f t="shared" si="1159"/>
        <v>202412</v>
      </c>
      <c r="AQ3871" s="203" t="str">
        <f t="shared" si="1160"/>
        <v/>
      </c>
      <c r="AR3871" s="206" t="str">
        <f t="shared" si="1161"/>
        <v>C66 SERVICE</v>
      </c>
      <c r="AS3871" s="22" t="str">
        <f t="shared" si="1162"/>
        <v/>
      </c>
      <c r="AT3871" s="24" t="str">
        <f t="shared" si="1163"/>
        <v/>
      </c>
      <c r="AU3871" s="22">
        <v>0</v>
      </c>
    </row>
    <row r="3872" spans="1:47">
      <c r="A3872" s="33" t="str">
        <f t="shared" ref="A3872:A3935" si="1172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5"/>
        <v>Q3</v>
      </c>
      <c r="E3872" s="33" t="str">
        <f t="shared" si="1171"/>
        <v>FY 24/25</v>
      </c>
      <c r="F3872" s="23">
        <v>2025</v>
      </c>
      <c r="G3872" s="23">
        <v>1</v>
      </c>
      <c r="H3872" s="29"/>
      <c r="I3872" s="204" t="str">
        <f t="shared" ref="I3872:I3935" si="1173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3672</v>
      </c>
      <c r="K3872" s="29" t="s">
        <v>3673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164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167"/>
        <v>1</v>
      </c>
      <c r="Z3872" s="196">
        <f t="shared" si="1166"/>
        <v>17200000</v>
      </c>
      <c r="AA3872" s="22">
        <v>5.0599999999999999E-2</v>
      </c>
      <c r="AB3872" s="197">
        <f t="shared" si="1170"/>
        <v>870320</v>
      </c>
      <c r="AC3872" s="198">
        <f t="shared" ref="AC3872:AC3935" si="1174">IF(R3872&lt;&gt;"",AB3872*AD3872,"")</f>
        <v>149346.91200000001</v>
      </c>
      <c r="AD3872" s="169">
        <v>0.1716</v>
      </c>
      <c r="AE3872" s="199">
        <f t="shared" ref="AE3872:AE3935" si="1175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68"/>
        <v>16190947.162761064</v>
      </c>
      <c r="AJ3872" s="200">
        <f t="shared" si="1169"/>
        <v>2256328.1660673413</v>
      </c>
      <c r="AK3872" s="201">
        <f t="shared" ref="AK3872:AK3935" si="1176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77">IF(F3872="","",F3872&amp;G3872)</f>
        <v>20251</v>
      </c>
      <c r="AQ3872" s="203" t="str">
        <f t="shared" ref="AQ3872:AQ3935" si="1178">IF(W3872="","",F3872&amp;G3872&amp;W3872)</f>
        <v>20251JPY</v>
      </c>
      <c r="AR3872" s="206" t="str">
        <f t="shared" ref="AR3872:AR3935" si="1179">IFERROR(IF(AND(M3872="YAMAHA", R3872="C28"), "YAMAHA_Non_Mounter", IF(AND(M3872="YAMAHA", R3872="C49"), "YAMAHA_Mounter", M3872)),"")</f>
        <v>YAMAHA_Mounter</v>
      </c>
      <c r="AS3872" s="22">
        <f t="shared" ref="AS3872:AS3935" si="1180">IFERROR(IF(OR(G3872="TBA", G3872=""), "", DATEDIF(DATE(B3872, C3872, 1), DATE(F3872, G3872, 1), "M")),"")</f>
        <v>1</v>
      </c>
      <c r="AT3872" s="24" t="str">
        <f t="shared" ref="AT3872:AT3935" si="1181">IF(ISNUMBER(AS3872), IF(AS3872&gt;=0, IF(AS3872&lt;=3, "0-3 months", IF(AS3872&lt;=6, "4-6 months", "&gt; 6 months"))), "")</f>
        <v>0-3 months</v>
      </c>
      <c r="AU3872" s="22" t="s">
        <v>3745</v>
      </c>
    </row>
    <row r="3873" spans="1:47">
      <c r="A3873" s="33" t="str">
        <f t="shared" si="1172"/>
        <v>FY 24/25</v>
      </c>
      <c r="B3873" s="23">
        <v>2025</v>
      </c>
      <c r="C3873" s="23">
        <v>1</v>
      </c>
      <c r="D3873" s="202" t="str">
        <f t="shared" si="1165"/>
        <v>Q4</v>
      </c>
      <c r="E3873" s="33" t="str">
        <f t="shared" si="1171"/>
        <v>FY 25/26</v>
      </c>
      <c r="F3873" s="23">
        <v>2025</v>
      </c>
      <c r="G3873" s="23">
        <v>5</v>
      </c>
      <c r="H3873" s="29"/>
      <c r="I3873" s="204" t="str">
        <f t="shared" si="1173"/>
        <v>Q1</v>
      </c>
      <c r="J3873" s="188" t="s">
        <v>3674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182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167"/>
        <v>1</v>
      </c>
      <c r="Z3873" s="196">
        <f t="shared" si="1166"/>
        <v>16000000</v>
      </c>
      <c r="AA3873" s="22">
        <v>5.3100000000000001E-2</v>
      </c>
      <c r="AB3873" s="197">
        <f t="shared" si="1170"/>
        <v>849600</v>
      </c>
      <c r="AC3873" s="198">
        <f t="shared" si="1174"/>
        <v>101952</v>
      </c>
      <c r="AD3873" s="169">
        <v>0.12</v>
      </c>
      <c r="AE3873" s="199">
        <f t="shared" si="1175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68"/>
        <v>25644924.956447776</v>
      </c>
      <c r="AJ3873" s="200">
        <f t="shared" si="1169"/>
        <v>3058146.223092318</v>
      </c>
      <c r="AK3873" s="201">
        <f t="shared" si="1176"/>
        <v>0.11924956802509276</v>
      </c>
      <c r="AL3873" s="24"/>
      <c r="AM3873" s="24"/>
      <c r="AN3873" s="24"/>
      <c r="AO3873" s="24"/>
      <c r="AP3873" s="165" t="str">
        <f t="shared" si="1177"/>
        <v>20255</v>
      </c>
      <c r="AQ3873" s="203" t="str">
        <f t="shared" si="1178"/>
        <v>20255JPY</v>
      </c>
      <c r="AR3873" s="206" t="str">
        <f t="shared" si="1179"/>
        <v>YAMAHA_Mounter</v>
      </c>
      <c r="AS3873" s="22">
        <f t="shared" si="1180"/>
        <v>4</v>
      </c>
      <c r="AT3873" s="24" t="str">
        <f t="shared" si="1181"/>
        <v>4-6 months</v>
      </c>
      <c r="AU3873" s="22" t="s">
        <v>3744</v>
      </c>
    </row>
    <row r="3874" spans="1:47">
      <c r="A3874" s="33" t="str">
        <f t="shared" si="1172"/>
        <v>FY 24/25</v>
      </c>
      <c r="B3874" s="23">
        <v>2025</v>
      </c>
      <c r="C3874" s="23">
        <v>1</v>
      </c>
      <c r="D3874" s="202" t="str">
        <f t="shared" si="1165"/>
        <v>Q4</v>
      </c>
      <c r="E3874" s="33" t="str">
        <f t="shared" si="1171"/>
        <v>FY 24/25</v>
      </c>
      <c r="F3874" s="23">
        <v>2025</v>
      </c>
      <c r="G3874" s="23">
        <v>3</v>
      </c>
      <c r="H3874" s="29"/>
      <c r="I3874" s="204" t="str">
        <f t="shared" si="1173"/>
        <v>Q4</v>
      </c>
      <c r="J3874" s="188" t="s">
        <v>3675</v>
      </c>
      <c r="K3874" s="237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182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167"/>
        <v>1.13</v>
      </c>
      <c r="Z3874" s="196">
        <f t="shared" si="1166"/>
        <v>659040</v>
      </c>
      <c r="AA3874" s="22">
        <v>1.0669999999999999</v>
      </c>
      <c r="AB3874" s="197">
        <f t="shared" si="1170"/>
        <v>622297.06194690266</v>
      </c>
      <c r="AC3874" s="198">
        <f t="shared" si="1174"/>
        <v>58309.23470442478</v>
      </c>
      <c r="AD3874" s="169">
        <v>9.3700000000000006E-2</v>
      </c>
      <c r="AE3874" s="199">
        <f t="shared" si="1175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68"/>
        <v>18296867.955752224</v>
      </c>
      <c r="AJ3874" s="200">
        <f t="shared" si="1169"/>
        <v>2173426.9949823013</v>
      </c>
      <c r="AK3874" s="201">
        <f t="shared" si="1176"/>
        <v>0.11878683281960357</v>
      </c>
      <c r="AL3874" s="24"/>
      <c r="AM3874" s="24"/>
      <c r="AN3874" s="24"/>
      <c r="AO3874" s="24"/>
      <c r="AP3874" s="165" t="str">
        <f t="shared" si="1177"/>
        <v>20253</v>
      </c>
      <c r="AQ3874" s="203" t="str">
        <f t="shared" si="1178"/>
        <v>20253RMB</v>
      </c>
      <c r="AR3874" s="206" t="str">
        <f t="shared" si="1179"/>
        <v>YAMAHA_Mounter</v>
      </c>
      <c r="AS3874" s="22">
        <f t="shared" si="1180"/>
        <v>2</v>
      </c>
      <c r="AT3874" s="24" t="str">
        <f t="shared" si="1181"/>
        <v>0-3 months</v>
      </c>
      <c r="AU3874" s="22" t="s">
        <v>3240</v>
      </c>
    </row>
    <row r="3875" spans="1:47">
      <c r="A3875" s="33" t="str">
        <f t="shared" si="1172"/>
        <v>FY 24/25</v>
      </c>
      <c r="B3875" s="23">
        <v>2025</v>
      </c>
      <c r="C3875" s="23">
        <v>1</v>
      </c>
      <c r="D3875" s="202" t="str">
        <f t="shared" si="1165"/>
        <v>Q4</v>
      </c>
      <c r="E3875" s="33" t="str">
        <f t="shared" si="1171"/>
        <v>FY 24/25</v>
      </c>
      <c r="F3875" s="23">
        <v>2025</v>
      </c>
      <c r="G3875" s="23">
        <v>2</v>
      </c>
      <c r="H3875" s="29"/>
      <c r="I3875" s="204" t="str">
        <f t="shared" si="1173"/>
        <v>Q4</v>
      </c>
      <c r="J3875" s="188" t="s">
        <v>3676</v>
      </c>
      <c r="K3875" s="29" t="s">
        <v>3677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182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167"/>
        <v>1.13</v>
      </c>
      <c r="Z3875" s="196">
        <f t="shared" si="1166"/>
        <v>882500</v>
      </c>
      <c r="AA3875" s="22">
        <v>1.073</v>
      </c>
      <c r="AB3875" s="197">
        <f t="shared" si="1170"/>
        <v>837984.51327433635</v>
      </c>
      <c r="AC3875" s="198">
        <f t="shared" si="1174"/>
        <v>133071.94070796462</v>
      </c>
      <c r="AD3875" s="170">
        <v>0.1588</v>
      </c>
      <c r="AE3875" s="199">
        <f t="shared" si="1175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68"/>
        <v>30691842.970796466</v>
      </c>
      <c r="AJ3875" s="200">
        <f t="shared" si="1169"/>
        <v>4088324.205777524</v>
      </c>
      <c r="AK3875" s="201">
        <f t="shared" si="1176"/>
        <v>0.1332055624573473</v>
      </c>
      <c r="AL3875" s="24"/>
      <c r="AM3875" s="24"/>
      <c r="AN3875" s="24"/>
      <c r="AO3875" s="24"/>
      <c r="AP3875" s="165" t="str">
        <f t="shared" si="1177"/>
        <v>20252</v>
      </c>
      <c r="AQ3875" s="203" t="str">
        <f t="shared" si="1178"/>
        <v>20252RMB</v>
      </c>
      <c r="AR3875" s="206" t="str">
        <f t="shared" si="1179"/>
        <v>YAMAHA_Mounter</v>
      </c>
      <c r="AS3875" s="22">
        <f t="shared" si="1180"/>
        <v>1</v>
      </c>
      <c r="AT3875" s="24" t="str">
        <f t="shared" si="1181"/>
        <v>0-3 months</v>
      </c>
      <c r="AU3875" s="22" t="s">
        <v>3240</v>
      </c>
    </row>
    <row r="3876" spans="1:47">
      <c r="A3876" s="33" t="str">
        <f t="shared" si="1172"/>
        <v>FY 24/25</v>
      </c>
      <c r="B3876" s="23">
        <v>2025</v>
      </c>
      <c r="C3876" s="23">
        <v>1</v>
      </c>
      <c r="D3876" s="202" t="str">
        <f t="shared" si="1165"/>
        <v>Q4</v>
      </c>
      <c r="E3876" s="33" t="str">
        <f t="shared" si="1171"/>
        <v>FY 24/25</v>
      </c>
      <c r="F3876" s="23">
        <v>2025</v>
      </c>
      <c r="G3876" s="23">
        <v>2</v>
      </c>
      <c r="H3876" s="29"/>
      <c r="I3876" s="204" t="str">
        <f t="shared" si="1173"/>
        <v>Q4</v>
      </c>
      <c r="J3876" s="188" t="s">
        <v>3676</v>
      </c>
      <c r="K3876" s="29" t="s">
        <v>3677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182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167"/>
        <v>1.13</v>
      </c>
      <c r="Z3876" s="196">
        <f t="shared" si="1166"/>
        <v>882500</v>
      </c>
      <c r="AA3876" s="22">
        <v>1.073</v>
      </c>
      <c r="AB3876" s="197">
        <f t="shared" si="1170"/>
        <v>837984.51327433635</v>
      </c>
      <c r="AC3876" s="198">
        <f t="shared" si="1174"/>
        <v>133071.94070796462</v>
      </c>
      <c r="AD3876" s="170">
        <v>0.1588</v>
      </c>
      <c r="AE3876" s="199">
        <f t="shared" si="1175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68"/>
        <v>30691842.970796466</v>
      </c>
      <c r="AJ3876" s="200">
        <f t="shared" si="1169"/>
        <v>4088324.205777524</v>
      </c>
      <c r="AK3876" s="201">
        <f t="shared" si="1176"/>
        <v>0.1332055624573473</v>
      </c>
      <c r="AL3876" s="24"/>
      <c r="AM3876" s="24"/>
      <c r="AN3876" s="24"/>
      <c r="AO3876" s="24"/>
      <c r="AP3876" s="165" t="str">
        <f t="shared" si="1177"/>
        <v>20252</v>
      </c>
      <c r="AQ3876" s="203" t="str">
        <f t="shared" si="1178"/>
        <v>20252RMB</v>
      </c>
      <c r="AR3876" s="206" t="str">
        <f t="shared" si="1179"/>
        <v>YAMAHA_Mounter</v>
      </c>
      <c r="AS3876" s="22">
        <f t="shared" si="1180"/>
        <v>1</v>
      </c>
      <c r="AT3876" s="24" t="str">
        <f t="shared" si="1181"/>
        <v>0-3 months</v>
      </c>
      <c r="AU3876" s="22" t="s">
        <v>3240</v>
      </c>
    </row>
    <row r="3877" spans="1:47">
      <c r="A3877" s="33" t="str">
        <f t="shared" si="1172"/>
        <v>FY 24/25</v>
      </c>
      <c r="B3877" s="23">
        <v>2025</v>
      </c>
      <c r="C3877" s="23">
        <v>1</v>
      </c>
      <c r="D3877" s="202" t="str">
        <f t="shared" si="1165"/>
        <v>Q4</v>
      </c>
      <c r="E3877" s="33" t="str">
        <f t="shared" si="1171"/>
        <v>FY 24/25</v>
      </c>
      <c r="F3877" s="23">
        <v>2025</v>
      </c>
      <c r="G3877" s="23">
        <v>2</v>
      </c>
      <c r="H3877" s="29"/>
      <c r="I3877" s="204" t="str">
        <f t="shared" si="1173"/>
        <v>Q4</v>
      </c>
      <c r="J3877" s="188" t="s">
        <v>3676</v>
      </c>
      <c r="K3877" s="29" t="s">
        <v>3677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182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167"/>
        <v>1.13</v>
      </c>
      <c r="Z3877" s="196">
        <f t="shared" si="1166"/>
        <v>882500</v>
      </c>
      <c r="AA3877" s="22">
        <v>1.073</v>
      </c>
      <c r="AB3877" s="197">
        <f t="shared" si="1170"/>
        <v>837984.51327433635</v>
      </c>
      <c r="AC3877" s="198">
        <f t="shared" si="1174"/>
        <v>133071.94070796462</v>
      </c>
      <c r="AD3877" s="170">
        <v>0.1588</v>
      </c>
      <c r="AE3877" s="199">
        <f t="shared" si="1175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68"/>
        <v>30691842.970796466</v>
      </c>
      <c r="AJ3877" s="200">
        <f t="shared" si="1169"/>
        <v>4088324.205777524</v>
      </c>
      <c r="AK3877" s="201">
        <f t="shared" si="1176"/>
        <v>0.1332055624573473</v>
      </c>
      <c r="AL3877" s="24"/>
      <c r="AM3877" s="24"/>
      <c r="AN3877" s="24"/>
      <c r="AO3877" s="24"/>
      <c r="AP3877" s="165" t="str">
        <f t="shared" si="1177"/>
        <v>20252</v>
      </c>
      <c r="AQ3877" s="203" t="str">
        <f t="shared" si="1178"/>
        <v>20252RMB</v>
      </c>
      <c r="AR3877" s="206" t="str">
        <f t="shared" si="1179"/>
        <v>YAMAHA_Mounter</v>
      </c>
      <c r="AS3877" s="22">
        <f t="shared" si="1180"/>
        <v>1</v>
      </c>
      <c r="AT3877" s="24" t="str">
        <f t="shared" si="1181"/>
        <v>0-3 months</v>
      </c>
      <c r="AU3877" s="22" t="s">
        <v>3240</v>
      </c>
    </row>
    <row r="3878" spans="1:47">
      <c r="A3878" s="33" t="str">
        <f t="shared" si="1172"/>
        <v>FY 24/25</v>
      </c>
      <c r="B3878" s="23">
        <v>2025</v>
      </c>
      <c r="C3878" s="23">
        <v>1</v>
      </c>
      <c r="D3878" s="202" t="str">
        <f t="shared" si="1165"/>
        <v>Q4</v>
      </c>
      <c r="E3878" s="33" t="str">
        <f t="shared" si="1171"/>
        <v>FY 24/25</v>
      </c>
      <c r="F3878" s="23">
        <v>2025</v>
      </c>
      <c r="G3878" s="23">
        <v>2</v>
      </c>
      <c r="H3878" s="29"/>
      <c r="I3878" s="204" t="str">
        <f t="shared" si="1173"/>
        <v>Q4</v>
      </c>
      <c r="J3878" s="188" t="s">
        <v>3676</v>
      </c>
      <c r="K3878" s="29" t="s">
        <v>3677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182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167"/>
        <v>1.13</v>
      </c>
      <c r="Z3878" s="196">
        <f t="shared" si="1166"/>
        <v>882500</v>
      </c>
      <c r="AA3878" s="22">
        <v>1.073</v>
      </c>
      <c r="AB3878" s="197">
        <f t="shared" si="1170"/>
        <v>837984.51327433635</v>
      </c>
      <c r="AC3878" s="198">
        <f t="shared" si="1174"/>
        <v>133071.94070796462</v>
      </c>
      <c r="AD3878" s="170">
        <v>0.1588</v>
      </c>
      <c r="AE3878" s="199">
        <f t="shared" si="1175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68"/>
        <v>30691842.970796466</v>
      </c>
      <c r="AJ3878" s="200">
        <f t="shared" si="1169"/>
        <v>4088324.205777524</v>
      </c>
      <c r="AK3878" s="201">
        <f t="shared" si="1176"/>
        <v>0.1332055624573473</v>
      </c>
      <c r="AL3878" s="24"/>
      <c r="AM3878" s="24"/>
      <c r="AN3878" s="24"/>
      <c r="AO3878" s="24"/>
      <c r="AP3878" s="165" t="str">
        <f t="shared" si="1177"/>
        <v>20252</v>
      </c>
      <c r="AQ3878" s="203" t="str">
        <f t="shared" si="1178"/>
        <v>20252RMB</v>
      </c>
      <c r="AR3878" s="206" t="str">
        <f t="shared" si="1179"/>
        <v>YAMAHA_Mounter</v>
      </c>
      <c r="AS3878" s="22">
        <f t="shared" si="1180"/>
        <v>1</v>
      </c>
      <c r="AT3878" s="24" t="str">
        <f t="shared" si="1181"/>
        <v>0-3 months</v>
      </c>
      <c r="AU3878" s="22" t="s">
        <v>3240</v>
      </c>
    </row>
    <row r="3879" spans="1:47">
      <c r="A3879" s="33" t="str">
        <f t="shared" si="1172"/>
        <v>FY 24/25</v>
      </c>
      <c r="B3879" s="23">
        <v>2025</v>
      </c>
      <c r="C3879" s="23">
        <v>1</v>
      </c>
      <c r="D3879" s="202" t="str">
        <f t="shared" si="1165"/>
        <v>Q4</v>
      </c>
      <c r="E3879" s="33" t="str">
        <f t="shared" si="1171"/>
        <v>FY 24/25</v>
      </c>
      <c r="F3879" s="23">
        <v>2025</v>
      </c>
      <c r="G3879" s="23">
        <v>3</v>
      </c>
      <c r="H3879" s="29"/>
      <c r="I3879" s="204" t="str">
        <f t="shared" si="1173"/>
        <v>Q4</v>
      </c>
      <c r="J3879" s="188" t="s">
        <v>3678</v>
      </c>
      <c r="K3879" s="29" t="s">
        <v>3679</v>
      </c>
      <c r="L3879" s="24" t="s">
        <v>3680</v>
      </c>
      <c r="M3879" s="22" t="s">
        <v>2607</v>
      </c>
      <c r="N3879" s="22">
        <v>1</v>
      </c>
      <c r="O3879" s="22"/>
      <c r="P3879" s="202" t="str">
        <f t="shared" si="1182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3566</v>
      </c>
      <c r="W3879" s="22" t="s">
        <v>64</v>
      </c>
      <c r="X3879" s="104">
        <v>625200</v>
      </c>
      <c r="Y3879" s="195" t="str">
        <f t="shared" si="1167"/>
        <v>1.13</v>
      </c>
      <c r="Z3879" s="196">
        <f t="shared" si="1166"/>
        <v>625200</v>
      </c>
      <c r="AA3879" s="22">
        <v>1.0669999999999999</v>
      </c>
      <c r="AB3879" s="197">
        <f t="shared" si="1170"/>
        <v>590343.7168141593</v>
      </c>
      <c r="AC3879" s="198">
        <f t="shared" si="1174"/>
        <v>94277.891575221249</v>
      </c>
      <c r="AD3879" s="169">
        <v>0.15970000000000001</v>
      </c>
      <c r="AE3879" s="199">
        <f t="shared" si="1175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68"/>
        <v>18296867.955752224</v>
      </c>
      <c r="AJ3879" s="200">
        <f t="shared" si="1169"/>
        <v>2173426.9949823013</v>
      </c>
      <c r="AK3879" s="201">
        <f t="shared" si="1176"/>
        <v>0.11878683281960357</v>
      </c>
      <c r="AL3879" s="24"/>
      <c r="AM3879" s="24"/>
      <c r="AN3879" s="24"/>
      <c r="AO3879" s="24"/>
      <c r="AP3879" s="165" t="str">
        <f t="shared" si="1177"/>
        <v>20253</v>
      </c>
      <c r="AQ3879" s="203" t="str">
        <f t="shared" si="1178"/>
        <v>20253RMB</v>
      </c>
      <c r="AR3879" s="206" t="str">
        <f t="shared" si="1179"/>
        <v>HELLER</v>
      </c>
      <c r="AS3879" s="22">
        <f t="shared" si="1180"/>
        <v>2</v>
      </c>
      <c r="AT3879" s="24" t="str">
        <f t="shared" si="1181"/>
        <v>0-3 months</v>
      </c>
      <c r="AU3879" s="22" t="s">
        <v>3750</v>
      </c>
    </row>
    <row r="3880" spans="1:47">
      <c r="A3880" s="33" t="str">
        <f t="shared" si="1172"/>
        <v>FY 24/25</v>
      </c>
      <c r="B3880" s="23">
        <v>2025</v>
      </c>
      <c r="C3880" s="23">
        <v>1</v>
      </c>
      <c r="D3880" s="202" t="str">
        <f t="shared" si="1165"/>
        <v>Q4</v>
      </c>
      <c r="E3880" s="33" t="str">
        <f t="shared" si="1171"/>
        <v>FY 24/25</v>
      </c>
      <c r="F3880" s="23">
        <v>2025</v>
      </c>
      <c r="G3880" s="23">
        <v>2</v>
      </c>
      <c r="H3880" s="29"/>
      <c r="I3880" s="204" t="str">
        <f t="shared" si="1173"/>
        <v>Q4</v>
      </c>
      <c r="J3880" s="188" t="s">
        <v>3681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182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167"/>
        <v>1</v>
      </c>
      <c r="Z3880" s="196">
        <f t="shared" si="1166"/>
        <v>12800000</v>
      </c>
      <c r="AA3880" s="22">
        <v>5.11E-2</v>
      </c>
      <c r="AB3880" s="197">
        <f t="shared" si="1170"/>
        <v>654080</v>
      </c>
      <c r="AC3880" s="198">
        <f t="shared" si="1174"/>
        <v>98569.856</v>
      </c>
      <c r="AD3880" s="170">
        <v>0.1507</v>
      </c>
      <c r="AE3880" s="199">
        <f t="shared" si="1175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68"/>
        <v>30691842.970796466</v>
      </c>
      <c r="AJ3880" s="200">
        <f t="shared" si="1169"/>
        <v>4088324.205777524</v>
      </c>
      <c r="AK3880" s="201">
        <f t="shared" si="1176"/>
        <v>0.1332055624573473</v>
      </c>
      <c r="AL3880" s="24"/>
      <c r="AM3880" s="24"/>
      <c r="AN3880" s="24"/>
      <c r="AO3880" s="24"/>
      <c r="AP3880" s="165" t="str">
        <f t="shared" si="1177"/>
        <v>20252</v>
      </c>
      <c r="AQ3880" s="203" t="str">
        <f t="shared" si="1178"/>
        <v>20252JPY</v>
      </c>
      <c r="AR3880" s="206" t="str">
        <f t="shared" si="1179"/>
        <v>YAMAHA_Mounter</v>
      </c>
      <c r="AS3880" s="22">
        <f t="shared" si="1180"/>
        <v>1</v>
      </c>
      <c r="AT3880" s="24" t="str">
        <f t="shared" si="1181"/>
        <v>0-3 months</v>
      </c>
      <c r="AU3880" s="22" t="s">
        <v>3744</v>
      </c>
    </row>
    <row r="3881" spans="1:47">
      <c r="A3881" s="33" t="str">
        <f t="shared" si="1172"/>
        <v>FY 24/25</v>
      </c>
      <c r="B3881" s="23">
        <v>2025</v>
      </c>
      <c r="C3881" s="23">
        <v>1</v>
      </c>
      <c r="D3881" s="202" t="str">
        <f t="shared" si="1165"/>
        <v>Q4</v>
      </c>
      <c r="E3881" s="33" t="str">
        <f t="shared" si="1171"/>
        <v>FY 24/25</v>
      </c>
      <c r="F3881" s="23">
        <v>2025</v>
      </c>
      <c r="G3881" s="23">
        <v>2</v>
      </c>
      <c r="H3881" s="29"/>
      <c r="I3881" s="204" t="str">
        <f t="shared" si="1173"/>
        <v>Q4</v>
      </c>
      <c r="J3881" s="188" t="s">
        <v>3681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182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167"/>
        <v>1</v>
      </c>
      <c r="Z3881" s="196">
        <f t="shared" si="1166"/>
        <v>12800000</v>
      </c>
      <c r="AA3881" s="22">
        <v>5.11E-2</v>
      </c>
      <c r="AB3881" s="197">
        <f t="shared" si="1170"/>
        <v>654080</v>
      </c>
      <c r="AC3881" s="198">
        <f t="shared" si="1174"/>
        <v>98569.856</v>
      </c>
      <c r="AD3881" s="170">
        <v>0.1507</v>
      </c>
      <c r="AE3881" s="199">
        <f t="shared" si="1175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68"/>
        <v>30691842.970796466</v>
      </c>
      <c r="AJ3881" s="200">
        <f t="shared" si="1169"/>
        <v>4088324.205777524</v>
      </c>
      <c r="AK3881" s="201">
        <f t="shared" si="1176"/>
        <v>0.1332055624573473</v>
      </c>
      <c r="AL3881" s="24"/>
      <c r="AM3881" s="24"/>
      <c r="AN3881" s="24"/>
      <c r="AO3881" s="24"/>
      <c r="AP3881" s="165" t="str">
        <f t="shared" si="1177"/>
        <v>20252</v>
      </c>
      <c r="AQ3881" s="203" t="str">
        <f t="shared" si="1178"/>
        <v>20252JPY</v>
      </c>
      <c r="AR3881" s="206" t="str">
        <f t="shared" si="1179"/>
        <v>YAMAHA_Mounter</v>
      </c>
      <c r="AS3881" s="22">
        <f t="shared" si="1180"/>
        <v>1</v>
      </c>
      <c r="AT3881" s="24" t="str">
        <f t="shared" si="1181"/>
        <v>0-3 months</v>
      </c>
      <c r="AU3881" s="22" t="s">
        <v>3744</v>
      </c>
    </row>
    <row r="3882" spans="1:47">
      <c r="A3882" s="33" t="str">
        <f t="shared" si="1172"/>
        <v>FY 24/25</v>
      </c>
      <c r="B3882" s="23">
        <v>2025</v>
      </c>
      <c r="C3882" s="23">
        <v>1</v>
      </c>
      <c r="D3882" s="202" t="str">
        <f t="shared" si="1165"/>
        <v>Q4</v>
      </c>
      <c r="E3882" s="33" t="str">
        <f t="shared" si="1171"/>
        <v>FY 25/26</v>
      </c>
      <c r="F3882" s="23">
        <v>2025</v>
      </c>
      <c r="G3882" s="23">
        <v>5</v>
      </c>
      <c r="H3882" s="29"/>
      <c r="I3882" s="204" t="str">
        <f t="shared" si="1173"/>
        <v>Q1</v>
      </c>
      <c r="J3882" s="188" t="s">
        <v>3682</v>
      </c>
      <c r="K3882" s="29" t="s">
        <v>3542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182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167"/>
        <v>1</v>
      </c>
      <c r="Z3882" s="196">
        <f t="shared" si="1166"/>
        <v>12500000</v>
      </c>
      <c r="AA3882" s="22">
        <v>5.3100000000000001E-2</v>
      </c>
      <c r="AB3882" s="197">
        <f t="shared" si="1170"/>
        <v>663750</v>
      </c>
      <c r="AC3882" s="198">
        <f t="shared" si="1174"/>
        <v>79650</v>
      </c>
      <c r="AD3882" s="169">
        <v>0.12</v>
      </c>
      <c r="AE3882" s="199">
        <f t="shared" si="1175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68"/>
        <v>25644924.956447776</v>
      </c>
      <c r="AJ3882" s="200">
        <f t="shared" si="1169"/>
        <v>3058146.223092318</v>
      </c>
      <c r="AK3882" s="201">
        <f t="shared" si="1176"/>
        <v>0.11924956802509276</v>
      </c>
      <c r="AL3882" s="24"/>
      <c r="AM3882" s="24"/>
      <c r="AN3882" s="24"/>
      <c r="AO3882" s="24"/>
      <c r="AP3882" s="165" t="str">
        <f t="shared" si="1177"/>
        <v>20255</v>
      </c>
      <c r="AQ3882" s="203" t="str">
        <f t="shared" si="1178"/>
        <v>20255JPY</v>
      </c>
      <c r="AR3882" s="206" t="str">
        <f t="shared" si="1179"/>
        <v>YAMAHA_Mounter</v>
      </c>
      <c r="AS3882" s="22">
        <f t="shared" si="1180"/>
        <v>4</v>
      </c>
      <c r="AT3882" s="24" t="str">
        <f t="shared" si="1181"/>
        <v>4-6 months</v>
      </c>
      <c r="AU3882" s="22" t="s">
        <v>3744</v>
      </c>
    </row>
    <row r="3883" spans="1:47">
      <c r="A3883" s="33" t="str">
        <f t="shared" si="1172"/>
        <v>FY 24/25</v>
      </c>
      <c r="B3883" s="23">
        <v>2025</v>
      </c>
      <c r="C3883" s="23">
        <v>1</v>
      </c>
      <c r="D3883" s="202" t="str">
        <f t="shared" si="1165"/>
        <v>Q4</v>
      </c>
      <c r="E3883" s="33" t="str">
        <f t="shared" si="1171"/>
        <v>FY 25/26</v>
      </c>
      <c r="F3883" s="23">
        <v>2025</v>
      </c>
      <c r="G3883" s="23">
        <v>5</v>
      </c>
      <c r="H3883" s="29"/>
      <c r="I3883" s="204" t="str">
        <f t="shared" si="1173"/>
        <v>Q1</v>
      </c>
      <c r="J3883" s="188" t="s">
        <v>3682</v>
      </c>
      <c r="K3883" s="29" t="s">
        <v>3542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182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167"/>
        <v>1</v>
      </c>
      <c r="Z3883" s="196">
        <f t="shared" si="1166"/>
        <v>7670000</v>
      </c>
      <c r="AA3883" s="22">
        <v>5.3100000000000001E-2</v>
      </c>
      <c r="AB3883" s="197">
        <f t="shared" si="1170"/>
        <v>407277</v>
      </c>
      <c r="AC3883" s="198">
        <f t="shared" si="1174"/>
        <v>48873.24</v>
      </c>
      <c r="AD3883" s="169">
        <v>0.12</v>
      </c>
      <c r="AE3883" s="199">
        <f t="shared" si="1175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68"/>
        <v>25644924.956447776</v>
      </c>
      <c r="AJ3883" s="200">
        <f t="shared" si="1169"/>
        <v>3058146.223092318</v>
      </c>
      <c r="AK3883" s="201">
        <f t="shared" si="1176"/>
        <v>0.11924956802509276</v>
      </c>
      <c r="AL3883" s="24"/>
      <c r="AM3883" s="24"/>
      <c r="AN3883" s="24"/>
      <c r="AO3883" s="24"/>
      <c r="AP3883" s="165" t="str">
        <f t="shared" si="1177"/>
        <v>20255</v>
      </c>
      <c r="AQ3883" s="203" t="str">
        <f t="shared" si="1178"/>
        <v>20255JPY</v>
      </c>
      <c r="AR3883" s="206" t="str">
        <f t="shared" si="1179"/>
        <v>YAMAHA_Mounter</v>
      </c>
      <c r="AS3883" s="22">
        <f t="shared" si="1180"/>
        <v>4</v>
      </c>
      <c r="AT3883" s="24" t="str">
        <f t="shared" si="1181"/>
        <v>4-6 months</v>
      </c>
      <c r="AU3883" s="22" t="s">
        <v>3744</v>
      </c>
    </row>
    <row r="3884" spans="1:47">
      <c r="A3884" s="33" t="str">
        <f t="shared" si="1172"/>
        <v>FY 24/25</v>
      </c>
      <c r="B3884" s="23">
        <v>2025</v>
      </c>
      <c r="C3884" s="23">
        <v>1</v>
      </c>
      <c r="D3884" s="202" t="str">
        <f t="shared" si="1165"/>
        <v>Q4</v>
      </c>
      <c r="E3884" s="33" t="str">
        <f t="shared" si="1171"/>
        <v>FY 25/26</v>
      </c>
      <c r="F3884" s="23">
        <v>2025</v>
      </c>
      <c r="G3884" s="23">
        <v>4</v>
      </c>
      <c r="H3884" s="29"/>
      <c r="I3884" s="204" t="str">
        <f t="shared" si="1173"/>
        <v>Q1</v>
      </c>
      <c r="J3884" s="188" t="s">
        <v>3753</v>
      </c>
      <c r="K3884" s="29" t="s">
        <v>3611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182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167"/>
        <v>1</v>
      </c>
      <c r="Z3884" s="196">
        <f t="shared" si="1166"/>
        <v>35700</v>
      </c>
      <c r="AA3884" s="22">
        <v>7.8</v>
      </c>
      <c r="AB3884" s="197">
        <f t="shared" si="1170"/>
        <v>278460</v>
      </c>
      <c r="AC3884" s="198">
        <f t="shared" si="1174"/>
        <v>33415.199999999997</v>
      </c>
      <c r="AD3884" s="169">
        <v>0.12</v>
      </c>
      <c r="AE3884" s="199">
        <f t="shared" si="1175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68"/>
        <v>32703423.380530968</v>
      </c>
      <c r="AJ3884" s="200">
        <f t="shared" si="1169"/>
        <v>3885921.2623008853</v>
      </c>
      <c r="AK3884" s="201">
        <f t="shared" si="1176"/>
        <v>0.118823072957379</v>
      </c>
      <c r="AL3884" s="24"/>
      <c r="AM3884" s="24"/>
      <c r="AN3884" s="24"/>
      <c r="AO3884" s="24"/>
      <c r="AP3884" s="165" t="str">
        <f t="shared" si="1177"/>
        <v>20254</v>
      </c>
      <c r="AQ3884" s="203" t="str">
        <f t="shared" si="1178"/>
        <v>20254USD</v>
      </c>
      <c r="AR3884" s="206" t="str">
        <f t="shared" si="1179"/>
        <v>YAMAHA_Non_Mounter</v>
      </c>
      <c r="AS3884" s="22">
        <f t="shared" si="1180"/>
        <v>3</v>
      </c>
      <c r="AT3884" s="24" t="str">
        <f t="shared" si="1181"/>
        <v>0-3 months</v>
      </c>
      <c r="AU3884" s="22" t="s">
        <v>3748</v>
      </c>
    </row>
    <row r="3885" spans="1:47">
      <c r="A3885" s="33" t="str">
        <f t="shared" si="1172"/>
        <v>FY 24/25</v>
      </c>
      <c r="B3885" s="23">
        <v>2025</v>
      </c>
      <c r="C3885" s="23">
        <v>1</v>
      </c>
      <c r="D3885" s="202" t="str">
        <f t="shared" si="1165"/>
        <v>Q4</v>
      </c>
      <c r="E3885" s="33" t="str">
        <f t="shared" si="1171"/>
        <v>FY 25/26</v>
      </c>
      <c r="F3885" s="23">
        <v>2025</v>
      </c>
      <c r="G3885" s="23">
        <v>4</v>
      </c>
      <c r="H3885" s="29"/>
      <c r="I3885" s="204" t="str">
        <f t="shared" si="1173"/>
        <v>Q1</v>
      </c>
      <c r="J3885" s="188" t="s">
        <v>3753</v>
      </c>
      <c r="K3885" s="29" t="s">
        <v>3611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182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167"/>
        <v>1</v>
      </c>
      <c r="Z3885" s="196">
        <f t="shared" si="1166"/>
        <v>35700</v>
      </c>
      <c r="AA3885" s="22">
        <v>7.8</v>
      </c>
      <c r="AB3885" s="197">
        <f t="shared" si="1170"/>
        <v>278460</v>
      </c>
      <c r="AC3885" s="198">
        <f t="shared" si="1174"/>
        <v>33415.199999999997</v>
      </c>
      <c r="AD3885" s="169">
        <v>0.12</v>
      </c>
      <c r="AE3885" s="199">
        <f t="shared" si="1175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68"/>
        <v>32703423.380530968</v>
      </c>
      <c r="AJ3885" s="200">
        <f t="shared" si="1169"/>
        <v>3885921.2623008853</v>
      </c>
      <c r="AK3885" s="201">
        <f t="shared" si="1176"/>
        <v>0.118823072957379</v>
      </c>
      <c r="AL3885" s="24"/>
      <c r="AM3885" s="24"/>
      <c r="AN3885" s="24"/>
      <c r="AO3885" s="24"/>
      <c r="AP3885" s="165" t="str">
        <f t="shared" si="1177"/>
        <v>20254</v>
      </c>
      <c r="AQ3885" s="203" t="str">
        <f t="shared" si="1178"/>
        <v>20254USD</v>
      </c>
      <c r="AR3885" s="206" t="str">
        <f t="shared" si="1179"/>
        <v>YAMAHA_Non_Mounter</v>
      </c>
      <c r="AS3885" s="22">
        <f t="shared" si="1180"/>
        <v>3</v>
      </c>
      <c r="AT3885" s="24" t="str">
        <f t="shared" si="1181"/>
        <v>0-3 months</v>
      </c>
      <c r="AU3885" s="22" t="s">
        <v>3748</v>
      </c>
    </row>
    <row r="3886" spans="1:47">
      <c r="A3886" s="33" t="str">
        <f t="shared" si="1172"/>
        <v>FY 24/25</v>
      </c>
      <c r="B3886" s="23">
        <v>2025</v>
      </c>
      <c r="C3886" s="23">
        <v>1</v>
      </c>
      <c r="D3886" s="202" t="str">
        <f t="shared" si="1165"/>
        <v>Q4</v>
      </c>
      <c r="E3886" s="33" t="str">
        <f t="shared" si="1171"/>
        <v>FY 25/26</v>
      </c>
      <c r="F3886" s="23">
        <v>2025</v>
      </c>
      <c r="G3886" s="23">
        <v>4</v>
      </c>
      <c r="H3886" s="29"/>
      <c r="I3886" s="204" t="str">
        <f t="shared" si="1173"/>
        <v>Q1</v>
      </c>
      <c r="J3886" s="188" t="s">
        <v>3753</v>
      </c>
      <c r="K3886" s="29" t="s">
        <v>3611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182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167"/>
        <v>1</v>
      </c>
      <c r="Z3886" s="196">
        <f t="shared" si="1166"/>
        <v>80580</v>
      </c>
      <c r="AA3886" s="22">
        <v>7.8</v>
      </c>
      <c r="AB3886" s="197">
        <f t="shared" si="1170"/>
        <v>628524</v>
      </c>
      <c r="AC3886" s="198">
        <f t="shared" si="1174"/>
        <v>75422.87999999999</v>
      </c>
      <c r="AD3886" s="169">
        <v>0.12</v>
      </c>
      <c r="AE3886" s="199">
        <f t="shared" si="1175"/>
        <v>0</v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68"/>
        <v>32703423.380530968</v>
      </c>
      <c r="AJ3886" s="200">
        <f t="shared" si="1169"/>
        <v>3885921.2623008853</v>
      </c>
      <c r="AK3886" s="201">
        <f t="shared" si="1176"/>
        <v>0.118823072957379</v>
      </c>
      <c r="AL3886" s="24"/>
      <c r="AM3886" s="24"/>
      <c r="AN3886" s="24"/>
      <c r="AO3886" s="24"/>
      <c r="AP3886" s="165" t="str">
        <f t="shared" si="1177"/>
        <v>20254</v>
      </c>
      <c r="AQ3886" s="203" t="str">
        <f t="shared" si="1178"/>
        <v>20254USD</v>
      </c>
      <c r="AR3886" s="206" t="str">
        <f t="shared" si="1179"/>
        <v>YAMAHA_Non_Mounter</v>
      </c>
      <c r="AS3886" s="22">
        <f t="shared" si="1180"/>
        <v>3</v>
      </c>
      <c r="AT3886" s="24" t="str">
        <f t="shared" si="1181"/>
        <v>0-3 months</v>
      </c>
      <c r="AU3886" s="22" t="s">
        <v>3748</v>
      </c>
    </row>
    <row r="3887" spans="1:47">
      <c r="A3887" s="33" t="str">
        <f t="shared" si="1172"/>
        <v>FY 24/25</v>
      </c>
      <c r="B3887" s="23">
        <v>2025</v>
      </c>
      <c r="C3887" s="23">
        <v>1</v>
      </c>
      <c r="D3887" s="202" t="str">
        <f t="shared" si="1165"/>
        <v>Q4</v>
      </c>
      <c r="E3887" s="33" t="str">
        <f t="shared" si="1171"/>
        <v>FY 25/26</v>
      </c>
      <c r="F3887" s="23">
        <v>2025</v>
      </c>
      <c r="G3887" s="23">
        <v>4</v>
      </c>
      <c r="H3887" s="29"/>
      <c r="I3887" s="204" t="str">
        <f t="shared" si="1173"/>
        <v>Q1</v>
      </c>
      <c r="J3887" s="188" t="s">
        <v>3753</v>
      </c>
      <c r="K3887" s="29" t="s">
        <v>3611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182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167"/>
        <v>1</v>
      </c>
      <c r="Z3887" s="196">
        <f t="shared" si="1166"/>
        <v>86650</v>
      </c>
      <c r="AA3887" s="22">
        <v>7.8</v>
      </c>
      <c r="AB3887" s="197">
        <f t="shared" si="1170"/>
        <v>675870</v>
      </c>
      <c r="AC3887" s="198">
        <f t="shared" si="1174"/>
        <v>81104.399999999994</v>
      </c>
      <c r="AD3887" s="169">
        <v>0.12</v>
      </c>
      <c r="AE3887" s="199">
        <f t="shared" si="1175"/>
        <v>0</v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68"/>
        <v>32703423.380530968</v>
      </c>
      <c r="AJ3887" s="200">
        <f t="shared" si="1169"/>
        <v>3885921.2623008853</v>
      </c>
      <c r="AK3887" s="201">
        <f t="shared" si="1176"/>
        <v>0.118823072957379</v>
      </c>
      <c r="AL3887" s="24"/>
      <c r="AM3887" s="24"/>
      <c r="AN3887" s="24"/>
      <c r="AO3887" s="24"/>
      <c r="AP3887" s="165" t="str">
        <f t="shared" si="1177"/>
        <v>20254</v>
      </c>
      <c r="AQ3887" s="203" t="str">
        <f t="shared" si="1178"/>
        <v>20254USD</v>
      </c>
      <c r="AR3887" s="206" t="str">
        <f t="shared" si="1179"/>
        <v>YAMAHA_Non_Mounter</v>
      </c>
      <c r="AS3887" s="22">
        <f t="shared" si="1180"/>
        <v>3</v>
      </c>
      <c r="AT3887" s="24" t="str">
        <f t="shared" si="1181"/>
        <v>0-3 months</v>
      </c>
      <c r="AU3887" s="22" t="s">
        <v>3748</v>
      </c>
    </row>
    <row r="3888" spans="1:47">
      <c r="A3888" s="33" t="str">
        <f t="shared" si="1172"/>
        <v>FY 24/25</v>
      </c>
      <c r="B3888" s="23">
        <v>2025</v>
      </c>
      <c r="C3888" s="23">
        <v>1</v>
      </c>
      <c r="D3888" s="202" t="str">
        <f t="shared" si="1165"/>
        <v>Q4</v>
      </c>
      <c r="E3888" s="33" t="str">
        <f t="shared" si="1171"/>
        <v>FY 25/26</v>
      </c>
      <c r="F3888" s="23">
        <v>2025</v>
      </c>
      <c r="G3888" s="23">
        <v>4</v>
      </c>
      <c r="H3888" s="29"/>
      <c r="I3888" s="204" t="str">
        <f t="shared" si="1173"/>
        <v>Q1</v>
      </c>
      <c r="J3888" s="188" t="s">
        <v>3753</v>
      </c>
      <c r="K3888" s="29" t="s">
        <v>3611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182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167"/>
        <v>1</v>
      </c>
      <c r="Z3888" s="196">
        <f t="shared" si="1166"/>
        <v>86650</v>
      </c>
      <c r="AA3888" s="22">
        <v>7.8</v>
      </c>
      <c r="AB3888" s="197">
        <f t="shared" si="1170"/>
        <v>675870</v>
      </c>
      <c r="AC3888" s="198">
        <f t="shared" si="1174"/>
        <v>81104.399999999994</v>
      </c>
      <c r="AD3888" s="169">
        <v>0.12</v>
      </c>
      <c r="AE3888" s="199">
        <f t="shared" si="1175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68"/>
        <v>32703423.380530968</v>
      </c>
      <c r="AJ3888" s="200">
        <f t="shared" si="1169"/>
        <v>3885921.2623008853</v>
      </c>
      <c r="AK3888" s="201">
        <f t="shared" si="1176"/>
        <v>0.118823072957379</v>
      </c>
      <c r="AL3888" s="24"/>
      <c r="AM3888" s="24"/>
      <c r="AN3888" s="24"/>
      <c r="AO3888" s="24"/>
      <c r="AP3888" s="165" t="str">
        <f t="shared" si="1177"/>
        <v>20254</v>
      </c>
      <c r="AQ3888" s="203" t="str">
        <f t="shared" si="1178"/>
        <v>20254USD</v>
      </c>
      <c r="AR3888" s="206" t="str">
        <f t="shared" si="1179"/>
        <v>YAMAHA_Non_Mounter</v>
      </c>
      <c r="AS3888" s="22">
        <f t="shared" si="1180"/>
        <v>3</v>
      </c>
      <c r="AT3888" s="24" t="str">
        <f t="shared" si="1181"/>
        <v>0-3 months</v>
      </c>
      <c r="AU3888" s="22" t="s">
        <v>3748</v>
      </c>
    </row>
    <row r="3889" spans="1:47">
      <c r="A3889" s="33" t="str">
        <f t="shared" si="1172"/>
        <v>FY 24/25</v>
      </c>
      <c r="B3889" s="23">
        <v>2025</v>
      </c>
      <c r="C3889" s="23">
        <v>1</v>
      </c>
      <c r="D3889" s="202" t="str">
        <f t="shared" si="1165"/>
        <v>Q4</v>
      </c>
      <c r="E3889" s="33" t="str">
        <f t="shared" si="1171"/>
        <v>FY 25/26</v>
      </c>
      <c r="F3889" s="23">
        <v>2025</v>
      </c>
      <c r="G3889" s="23">
        <v>4</v>
      </c>
      <c r="H3889" s="29"/>
      <c r="I3889" s="204" t="str">
        <f t="shared" si="1173"/>
        <v>Q1</v>
      </c>
      <c r="J3889" s="188" t="s">
        <v>3753</v>
      </c>
      <c r="K3889" s="29" t="s">
        <v>3611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182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167"/>
        <v>1</v>
      </c>
      <c r="Z3889" s="196">
        <f t="shared" si="1166"/>
        <v>103500</v>
      </c>
      <c r="AA3889" s="22">
        <v>7.8</v>
      </c>
      <c r="AB3889" s="197">
        <f t="shared" si="1170"/>
        <v>807300</v>
      </c>
      <c r="AC3889" s="198">
        <f t="shared" si="1174"/>
        <v>96876</v>
      </c>
      <c r="AD3889" s="169">
        <v>0.12</v>
      </c>
      <c r="AE3889" s="199">
        <f t="shared" si="1175"/>
        <v>0</v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68"/>
        <v>32703423.380530968</v>
      </c>
      <c r="AJ3889" s="200">
        <f t="shared" si="1169"/>
        <v>3885921.2623008853</v>
      </c>
      <c r="AK3889" s="201">
        <f t="shared" si="1176"/>
        <v>0.118823072957379</v>
      </c>
      <c r="AL3889" s="24"/>
      <c r="AM3889" s="24"/>
      <c r="AN3889" s="24"/>
      <c r="AO3889" s="24"/>
      <c r="AP3889" s="165" t="str">
        <f t="shared" si="1177"/>
        <v>20254</v>
      </c>
      <c r="AQ3889" s="203" t="str">
        <f t="shared" si="1178"/>
        <v>20254USD</v>
      </c>
      <c r="AR3889" s="206" t="str">
        <f t="shared" si="1179"/>
        <v>YAMAHA_Mounter</v>
      </c>
      <c r="AS3889" s="22">
        <f t="shared" si="1180"/>
        <v>3</v>
      </c>
      <c r="AT3889" s="24" t="str">
        <f t="shared" si="1181"/>
        <v>0-3 months</v>
      </c>
      <c r="AU3889" s="22" t="s">
        <v>3748</v>
      </c>
    </row>
    <row r="3890" spans="1:47">
      <c r="A3890" s="33" t="str">
        <f t="shared" si="1172"/>
        <v>FY 24/25</v>
      </c>
      <c r="B3890" s="23">
        <v>2025</v>
      </c>
      <c r="C3890" s="23">
        <v>1</v>
      </c>
      <c r="D3890" s="202" t="str">
        <f t="shared" ref="D3890:D3953" si="1183">IF(B3890="","",IF(AND(C3890&gt;=10,C3890&lt;=12),"Q3",IF(AND(C3890&gt;=1,C3890&lt;=3),"Q4",IF(AND(C3890&gt;=7,C3890&lt;=9),"Q2",IF(AND(C3890&gt;=4,C3890&lt;=6),"Q1")))))</f>
        <v>Q4</v>
      </c>
      <c r="E3890" s="33" t="str">
        <f t="shared" si="1171"/>
        <v>FY 25/26</v>
      </c>
      <c r="F3890" s="23">
        <v>2025</v>
      </c>
      <c r="G3890" s="23">
        <v>4</v>
      </c>
      <c r="H3890" s="29"/>
      <c r="I3890" s="204" t="str">
        <f t="shared" si="1173"/>
        <v>Q1</v>
      </c>
      <c r="J3890" s="188" t="s">
        <v>3753</v>
      </c>
      <c r="K3890" s="29" t="s">
        <v>3611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182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167"/>
        <v>1</v>
      </c>
      <c r="Z3890" s="196">
        <f t="shared" ref="Z3890:Z3953" si="1184">IF(X3890="","",X3890*MAX(O3890,N3890))</f>
        <v>103500</v>
      </c>
      <c r="AA3890" s="22">
        <v>7.8</v>
      </c>
      <c r="AB3890" s="197">
        <f t="shared" si="1170"/>
        <v>807300</v>
      </c>
      <c r="AC3890" s="198">
        <f t="shared" si="1174"/>
        <v>96876</v>
      </c>
      <c r="AD3890" s="169">
        <v>0.12</v>
      </c>
      <c r="AE3890" s="199">
        <f t="shared" si="1175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68"/>
        <v>32703423.380530968</v>
      </c>
      <c r="AJ3890" s="200">
        <f t="shared" si="1169"/>
        <v>3885921.2623008853</v>
      </c>
      <c r="AK3890" s="201">
        <f t="shared" si="1176"/>
        <v>0.118823072957379</v>
      </c>
      <c r="AL3890" s="24"/>
      <c r="AM3890" s="24"/>
      <c r="AN3890" s="24"/>
      <c r="AO3890" s="24"/>
      <c r="AP3890" s="165" t="str">
        <f t="shared" si="1177"/>
        <v>20254</v>
      </c>
      <c r="AQ3890" s="203" t="str">
        <f t="shared" si="1178"/>
        <v>20254USD</v>
      </c>
      <c r="AR3890" s="206" t="str">
        <f t="shared" si="1179"/>
        <v>YAMAHA_Mounter</v>
      </c>
      <c r="AS3890" s="22">
        <f t="shared" si="1180"/>
        <v>3</v>
      </c>
      <c r="AT3890" s="24" t="str">
        <f t="shared" si="1181"/>
        <v>0-3 months</v>
      </c>
      <c r="AU3890" s="22" t="s">
        <v>3748</v>
      </c>
    </row>
    <row r="3891" spans="1:47">
      <c r="A3891" s="33" t="str">
        <f t="shared" si="1172"/>
        <v>FY 24/25</v>
      </c>
      <c r="B3891" s="23">
        <v>2025</v>
      </c>
      <c r="C3891" s="23">
        <v>1</v>
      </c>
      <c r="D3891" s="202" t="str">
        <f t="shared" si="1183"/>
        <v>Q4</v>
      </c>
      <c r="E3891" s="33" t="str">
        <f t="shared" si="1171"/>
        <v>FY 25/26</v>
      </c>
      <c r="F3891" s="23">
        <v>2025</v>
      </c>
      <c r="G3891" s="23">
        <v>4</v>
      </c>
      <c r="H3891" s="29"/>
      <c r="I3891" s="204" t="str">
        <f t="shared" si="1173"/>
        <v>Q1</v>
      </c>
      <c r="J3891" s="188" t="s">
        <v>3753</v>
      </c>
      <c r="K3891" s="29" t="s">
        <v>3611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182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167"/>
        <v>1</v>
      </c>
      <c r="Z3891" s="196">
        <f t="shared" si="1184"/>
        <v>103500</v>
      </c>
      <c r="AA3891" s="22">
        <v>7.8</v>
      </c>
      <c r="AB3891" s="197">
        <f t="shared" si="1170"/>
        <v>807300</v>
      </c>
      <c r="AC3891" s="198">
        <f t="shared" si="1174"/>
        <v>96876</v>
      </c>
      <c r="AD3891" s="169">
        <v>0.12</v>
      </c>
      <c r="AE3891" s="199">
        <f t="shared" si="1175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68"/>
        <v>32703423.380530968</v>
      </c>
      <c r="AJ3891" s="200">
        <f t="shared" si="1169"/>
        <v>3885921.2623008853</v>
      </c>
      <c r="AK3891" s="201">
        <f t="shared" si="1176"/>
        <v>0.118823072957379</v>
      </c>
      <c r="AL3891" s="24"/>
      <c r="AM3891" s="24"/>
      <c r="AN3891" s="24"/>
      <c r="AO3891" s="24"/>
      <c r="AP3891" s="165" t="str">
        <f t="shared" si="1177"/>
        <v>20254</v>
      </c>
      <c r="AQ3891" s="203" t="str">
        <f t="shared" si="1178"/>
        <v>20254USD</v>
      </c>
      <c r="AR3891" s="206" t="str">
        <f t="shared" si="1179"/>
        <v>YAMAHA_Mounter</v>
      </c>
      <c r="AS3891" s="22">
        <f t="shared" si="1180"/>
        <v>3</v>
      </c>
      <c r="AT3891" s="24" t="str">
        <f t="shared" si="1181"/>
        <v>0-3 months</v>
      </c>
      <c r="AU3891" s="22" t="s">
        <v>3748</v>
      </c>
    </row>
    <row r="3892" spans="1:47">
      <c r="A3892" s="33" t="str">
        <f t="shared" si="1172"/>
        <v>FY 24/25</v>
      </c>
      <c r="B3892" s="23">
        <v>2025</v>
      </c>
      <c r="C3892" s="23">
        <v>1</v>
      </c>
      <c r="D3892" s="202" t="str">
        <f t="shared" si="1183"/>
        <v>Q4</v>
      </c>
      <c r="E3892" s="33" t="str">
        <f t="shared" si="1171"/>
        <v>FY 25/26</v>
      </c>
      <c r="F3892" s="23">
        <v>2025</v>
      </c>
      <c r="G3892" s="23">
        <v>4</v>
      </c>
      <c r="H3892" s="29"/>
      <c r="I3892" s="204" t="str">
        <f t="shared" si="1173"/>
        <v>Q1</v>
      </c>
      <c r="J3892" s="188" t="s">
        <v>3753</v>
      </c>
      <c r="K3892" s="29" t="s">
        <v>3611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182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185">IF(W3892="","",IF(W3892="RMB","1.13", "1"))</f>
        <v>1</v>
      </c>
      <c r="Z3892" s="196">
        <f t="shared" si="1184"/>
        <v>103500</v>
      </c>
      <c r="AA3892" s="22">
        <v>7.8</v>
      </c>
      <c r="AB3892" s="197">
        <f t="shared" si="1170"/>
        <v>807300</v>
      </c>
      <c r="AC3892" s="198">
        <f t="shared" si="1174"/>
        <v>96876</v>
      </c>
      <c r="AD3892" s="169">
        <v>0.12</v>
      </c>
      <c r="AE3892" s="199">
        <f t="shared" si="1175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68"/>
        <v>32703423.380530968</v>
      </c>
      <c r="AJ3892" s="200">
        <f t="shared" si="1169"/>
        <v>3885921.2623008853</v>
      </c>
      <c r="AK3892" s="201">
        <f t="shared" si="1176"/>
        <v>0.118823072957379</v>
      </c>
      <c r="AL3892" s="24"/>
      <c r="AM3892" s="24"/>
      <c r="AN3892" s="24"/>
      <c r="AO3892" s="24"/>
      <c r="AP3892" s="165" t="str">
        <f t="shared" si="1177"/>
        <v>20254</v>
      </c>
      <c r="AQ3892" s="203" t="str">
        <f t="shared" si="1178"/>
        <v>20254USD</v>
      </c>
      <c r="AR3892" s="206" t="str">
        <f t="shared" si="1179"/>
        <v>YAMAHA_Mounter</v>
      </c>
      <c r="AS3892" s="22">
        <f t="shared" si="1180"/>
        <v>3</v>
      </c>
      <c r="AT3892" s="24" t="str">
        <f t="shared" si="1181"/>
        <v>0-3 months</v>
      </c>
      <c r="AU3892" s="22" t="s">
        <v>3748</v>
      </c>
    </row>
    <row r="3893" spans="1:47">
      <c r="A3893" s="33" t="str">
        <f t="shared" si="1172"/>
        <v>FY 24/25</v>
      </c>
      <c r="B3893" s="23">
        <v>2025</v>
      </c>
      <c r="C3893" s="23">
        <v>1</v>
      </c>
      <c r="D3893" s="202" t="str">
        <f t="shared" si="1183"/>
        <v>Q4</v>
      </c>
      <c r="E3893" s="33" t="str">
        <f t="shared" si="1171"/>
        <v>FY 25/26</v>
      </c>
      <c r="F3893" s="23">
        <v>2025</v>
      </c>
      <c r="G3893" s="23">
        <v>4</v>
      </c>
      <c r="H3893" s="29"/>
      <c r="I3893" s="204" t="str">
        <f t="shared" si="1173"/>
        <v>Q1</v>
      </c>
      <c r="J3893" s="188" t="s">
        <v>3753</v>
      </c>
      <c r="K3893" s="29" t="s">
        <v>3611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182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185"/>
        <v>1</v>
      </c>
      <c r="Z3893" s="196">
        <f t="shared" si="1184"/>
        <v>72050</v>
      </c>
      <c r="AA3893" s="22">
        <v>7.8</v>
      </c>
      <c r="AB3893" s="197">
        <f t="shared" si="1170"/>
        <v>561990</v>
      </c>
      <c r="AC3893" s="198">
        <f t="shared" si="1174"/>
        <v>67438.8</v>
      </c>
      <c r="AD3893" s="169">
        <v>0.12</v>
      </c>
      <c r="AE3893" s="199">
        <f t="shared" si="1175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68"/>
        <v>32703423.380530968</v>
      </c>
      <c r="AJ3893" s="200">
        <f t="shared" si="1169"/>
        <v>3885921.2623008853</v>
      </c>
      <c r="AK3893" s="201">
        <f t="shared" si="1176"/>
        <v>0.118823072957379</v>
      </c>
      <c r="AL3893" s="24"/>
      <c r="AM3893" s="24"/>
      <c r="AN3893" s="24"/>
      <c r="AO3893" s="24"/>
      <c r="AP3893" s="165" t="str">
        <f t="shared" si="1177"/>
        <v>20254</v>
      </c>
      <c r="AQ3893" s="203" t="str">
        <f t="shared" si="1178"/>
        <v>20254USD</v>
      </c>
      <c r="AR3893" s="206" t="str">
        <f t="shared" si="1179"/>
        <v>YAMAHA_Mounter</v>
      </c>
      <c r="AS3893" s="22">
        <f t="shared" si="1180"/>
        <v>3</v>
      </c>
      <c r="AT3893" s="24" t="str">
        <f t="shared" si="1181"/>
        <v>0-3 months</v>
      </c>
      <c r="AU3893" s="22" t="s">
        <v>3748</v>
      </c>
    </row>
    <row r="3894" spans="1:47">
      <c r="A3894" s="33" t="str">
        <f t="shared" si="1172"/>
        <v>FY 24/25</v>
      </c>
      <c r="B3894" s="23">
        <v>2025</v>
      </c>
      <c r="C3894" s="23">
        <v>1</v>
      </c>
      <c r="D3894" s="202" t="str">
        <f t="shared" si="1183"/>
        <v>Q4</v>
      </c>
      <c r="E3894" s="33" t="str">
        <f t="shared" si="1171"/>
        <v>FY 25/26</v>
      </c>
      <c r="F3894" s="23">
        <v>2025</v>
      </c>
      <c r="G3894" s="23">
        <v>4</v>
      </c>
      <c r="H3894" s="29"/>
      <c r="I3894" s="204" t="str">
        <f t="shared" si="1173"/>
        <v>Q1</v>
      </c>
      <c r="J3894" s="188" t="s">
        <v>3753</v>
      </c>
      <c r="K3894" s="29" t="s">
        <v>3611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182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185"/>
        <v>1</v>
      </c>
      <c r="Z3894" s="196">
        <f t="shared" si="1184"/>
        <v>72050</v>
      </c>
      <c r="AA3894" s="22">
        <v>7.8</v>
      </c>
      <c r="AB3894" s="197">
        <f t="shared" si="1170"/>
        <v>561990</v>
      </c>
      <c r="AC3894" s="198">
        <f t="shared" si="1174"/>
        <v>67438.8</v>
      </c>
      <c r="AD3894" s="169">
        <v>0.12</v>
      </c>
      <c r="AE3894" s="199">
        <f t="shared" si="1175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68"/>
        <v>32703423.380530968</v>
      </c>
      <c r="AJ3894" s="200">
        <f t="shared" si="1169"/>
        <v>3885921.2623008853</v>
      </c>
      <c r="AK3894" s="201">
        <f t="shared" si="1176"/>
        <v>0.118823072957379</v>
      </c>
      <c r="AL3894" s="24"/>
      <c r="AM3894" s="24"/>
      <c r="AN3894" s="24"/>
      <c r="AO3894" s="24"/>
      <c r="AP3894" s="165" t="str">
        <f t="shared" si="1177"/>
        <v>20254</v>
      </c>
      <c r="AQ3894" s="203" t="str">
        <f t="shared" si="1178"/>
        <v>20254USD</v>
      </c>
      <c r="AR3894" s="206" t="str">
        <f t="shared" si="1179"/>
        <v>YAMAHA_Mounter</v>
      </c>
      <c r="AS3894" s="22">
        <f t="shared" si="1180"/>
        <v>3</v>
      </c>
      <c r="AT3894" s="24" t="str">
        <f t="shared" si="1181"/>
        <v>0-3 months</v>
      </c>
      <c r="AU3894" s="22" t="s">
        <v>3748</v>
      </c>
    </row>
    <row r="3895" spans="1:47">
      <c r="A3895" s="33" t="str">
        <f t="shared" si="1172"/>
        <v>FY 24/25</v>
      </c>
      <c r="B3895" s="23">
        <v>2025</v>
      </c>
      <c r="C3895" s="23">
        <v>1</v>
      </c>
      <c r="D3895" s="202" t="str">
        <f t="shared" si="1183"/>
        <v>Q4</v>
      </c>
      <c r="E3895" s="33" t="str">
        <f t="shared" si="1171"/>
        <v>FY 25/26</v>
      </c>
      <c r="F3895" s="23">
        <v>2025</v>
      </c>
      <c r="G3895" s="23">
        <v>4</v>
      </c>
      <c r="H3895" s="29"/>
      <c r="I3895" s="204" t="str">
        <f t="shared" si="1173"/>
        <v>Q1</v>
      </c>
      <c r="J3895" s="188" t="s">
        <v>3683</v>
      </c>
      <c r="K3895" s="29" t="s">
        <v>1830</v>
      </c>
      <c r="L3895" s="24" t="s">
        <v>3684</v>
      </c>
      <c r="M3895" s="13" t="s">
        <v>60</v>
      </c>
      <c r="N3895" s="22">
        <v>1</v>
      </c>
      <c r="O3895" s="22"/>
      <c r="P3895" s="202" t="str">
        <f t="shared" si="1182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185"/>
        <v>1.13</v>
      </c>
      <c r="Z3895" s="196">
        <f t="shared" si="1184"/>
        <v>306400</v>
      </c>
      <c r="AA3895" s="22">
        <v>1.0720000000000001</v>
      </c>
      <c r="AB3895" s="197">
        <f t="shared" si="1170"/>
        <v>290673.27433628327</v>
      </c>
      <c r="AC3895" s="198">
        <f t="shared" si="1174"/>
        <v>34880.79292035399</v>
      </c>
      <c r="AD3895" s="169">
        <v>0.12</v>
      </c>
      <c r="AE3895" s="199">
        <f t="shared" si="1175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68"/>
        <v>32703423.380530968</v>
      </c>
      <c r="AJ3895" s="200">
        <f t="shared" si="1169"/>
        <v>3885921.2623008853</v>
      </c>
      <c r="AK3895" s="201">
        <f t="shared" si="1176"/>
        <v>0.118823072957379</v>
      </c>
      <c r="AL3895" s="24"/>
      <c r="AM3895" s="24"/>
      <c r="AN3895" s="24"/>
      <c r="AO3895" s="24"/>
      <c r="AP3895" s="165" t="str">
        <f t="shared" si="1177"/>
        <v>20254</v>
      </c>
      <c r="AQ3895" s="203" t="str">
        <f t="shared" si="1178"/>
        <v>20254RMB</v>
      </c>
      <c r="AR3895" s="206" t="str">
        <f t="shared" si="1179"/>
        <v>YAMAHA_Non_Mounter</v>
      </c>
      <c r="AS3895" s="22">
        <f t="shared" si="1180"/>
        <v>3</v>
      </c>
      <c r="AT3895" s="24" t="str">
        <f t="shared" si="1181"/>
        <v>0-3 months</v>
      </c>
      <c r="AU3895" s="22" t="s">
        <v>3240</v>
      </c>
    </row>
    <row r="3896" spans="1:47">
      <c r="A3896" s="33" t="str">
        <f t="shared" si="1172"/>
        <v>FY 24/25</v>
      </c>
      <c r="B3896" s="23">
        <v>2025</v>
      </c>
      <c r="C3896" s="23">
        <v>1</v>
      </c>
      <c r="D3896" s="202" t="str">
        <f t="shared" si="1183"/>
        <v>Q4</v>
      </c>
      <c r="E3896" s="33" t="str">
        <f t="shared" si="1171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3683</v>
      </c>
      <c r="K3896" s="29" t="s">
        <v>1830</v>
      </c>
      <c r="L3896" s="24" t="s">
        <v>3684</v>
      </c>
      <c r="M3896" s="13" t="s">
        <v>60</v>
      </c>
      <c r="N3896" s="22">
        <v>1</v>
      </c>
      <c r="O3896" s="22"/>
      <c r="P3896" s="202" t="str">
        <f t="shared" si="1182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185"/>
        <v>1.13</v>
      </c>
      <c r="Z3896" s="196">
        <f t="shared" si="1184"/>
        <v>306400</v>
      </c>
      <c r="AA3896" s="22">
        <v>1.0720000000000001</v>
      </c>
      <c r="AB3896" s="197">
        <f t="shared" si="1170"/>
        <v>290673.27433628327</v>
      </c>
      <c r="AC3896" s="198">
        <f t="shared" si="1174"/>
        <v>34880.79292035399</v>
      </c>
      <c r="AD3896" s="169">
        <v>0.12</v>
      </c>
      <c r="AE3896" s="199">
        <f t="shared" si="1175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68"/>
        <v>32703423.380530968</v>
      </c>
      <c r="AJ3896" s="200">
        <f t="shared" si="1169"/>
        <v>3885921.2623008853</v>
      </c>
      <c r="AK3896" s="201">
        <f t="shared" ref="AK3896" si="1186">IF(AJ3896&gt;0,AJ3896/AI3896,"")</f>
        <v>0.118823072957379</v>
      </c>
      <c r="AL3896" s="24"/>
      <c r="AM3896" s="24"/>
      <c r="AN3896" s="24"/>
      <c r="AO3896" s="24"/>
      <c r="AP3896" s="165" t="str">
        <f t="shared" ref="AP3896" si="1187">IF(F3896="","",F3896&amp;G3896)</f>
        <v>20254</v>
      </c>
      <c r="AQ3896" s="203" t="str">
        <f t="shared" ref="AQ3896" si="1188">IF(W3896="","",F3896&amp;G3896&amp;W3896)</f>
        <v>20254RMB</v>
      </c>
      <c r="AR3896" s="206" t="str">
        <f t="shared" ref="AR3896" si="1189">IFERROR(IF(AND(M3896="YAMAHA", R3896="C28"), "YAMAHA_Non_Mounter", IF(AND(M3896="YAMAHA", R3896="C49"), "YAMAHA_Mounter", M3896)),"")</f>
        <v>YAMAHA_Non_Mounter</v>
      </c>
      <c r="AS3896" s="22">
        <f t="shared" ref="AS3896" si="1190">IFERROR(IF(OR(G3896="TBA", G3896=""), "", DATEDIF(DATE(B3896, C3896, 1), DATE(F3896, G3896, 1), "M")),"")</f>
        <v>3</v>
      </c>
      <c r="AT3896" s="24" t="str">
        <f t="shared" ref="AT3896" si="1191">IF(ISNUMBER(AS3896), IF(AS3896&gt;=0, IF(AS3896&lt;=3, "0-3 months", IF(AS3896&lt;=6, "4-6 months", "&gt; 6 months"))), "")</f>
        <v>0-3 months</v>
      </c>
      <c r="AU3896" s="22" t="s">
        <v>3240</v>
      </c>
    </row>
    <row r="3897" spans="1:47">
      <c r="A3897" s="33" t="str">
        <f t="shared" si="1172"/>
        <v>FY 24/25</v>
      </c>
      <c r="B3897" s="23">
        <v>2025</v>
      </c>
      <c r="C3897" s="23">
        <v>1</v>
      </c>
      <c r="D3897" s="202" t="str">
        <f t="shared" si="1183"/>
        <v>Q4</v>
      </c>
      <c r="E3897" s="33" t="str">
        <f t="shared" si="1171"/>
        <v>FY 25/26</v>
      </c>
      <c r="F3897" s="23">
        <v>2025</v>
      </c>
      <c r="G3897" s="23">
        <v>4</v>
      </c>
      <c r="H3897" s="29"/>
      <c r="I3897" s="204" t="str">
        <f t="shared" si="1173"/>
        <v>Q1</v>
      </c>
      <c r="J3897" s="188" t="s">
        <v>3683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182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185"/>
        <v>1.13</v>
      </c>
      <c r="Z3897" s="196">
        <f t="shared" si="1184"/>
        <v>750000</v>
      </c>
      <c r="AA3897" s="22">
        <v>1.0720000000000001</v>
      </c>
      <c r="AB3897" s="197">
        <f t="shared" si="1170"/>
        <v>711504.42477876123</v>
      </c>
      <c r="AC3897" s="198">
        <f t="shared" si="1174"/>
        <v>85380.530973451343</v>
      </c>
      <c r="AD3897" s="169">
        <v>0.12</v>
      </c>
      <c r="AE3897" s="199">
        <f t="shared" si="1175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68"/>
        <v>32703423.380530968</v>
      </c>
      <c r="AJ3897" s="200">
        <f t="shared" si="1169"/>
        <v>3885921.2623008853</v>
      </c>
      <c r="AK3897" s="201">
        <f t="shared" si="1176"/>
        <v>0.118823072957379</v>
      </c>
      <c r="AL3897" s="24"/>
      <c r="AM3897" s="24"/>
      <c r="AN3897" s="24"/>
      <c r="AO3897" s="24"/>
      <c r="AP3897" s="165" t="str">
        <f t="shared" si="1177"/>
        <v>20254</v>
      </c>
      <c r="AQ3897" s="203" t="str">
        <f t="shared" si="1178"/>
        <v>20254RMB</v>
      </c>
      <c r="AR3897" s="206" t="str">
        <f t="shared" si="1179"/>
        <v>YAMAHA_Mounter</v>
      </c>
      <c r="AS3897" s="22">
        <f t="shared" si="1180"/>
        <v>3</v>
      </c>
      <c r="AT3897" s="24" t="str">
        <f t="shared" si="1181"/>
        <v>0-3 months</v>
      </c>
      <c r="AU3897" s="22" t="s">
        <v>3240</v>
      </c>
    </row>
    <row r="3898" spans="1:47">
      <c r="A3898" s="33" t="str">
        <f t="shared" si="1172"/>
        <v>FY 24/25</v>
      </c>
      <c r="B3898" s="23">
        <v>2025</v>
      </c>
      <c r="C3898" s="23">
        <v>1</v>
      </c>
      <c r="D3898" s="202" t="str">
        <f t="shared" si="1183"/>
        <v>Q4</v>
      </c>
      <c r="E3898" s="33" t="str">
        <f t="shared" si="1171"/>
        <v>FY 25/26</v>
      </c>
      <c r="F3898" s="23">
        <v>2025</v>
      </c>
      <c r="G3898" s="23">
        <v>4</v>
      </c>
      <c r="H3898" s="29"/>
      <c r="I3898" s="204" t="str">
        <f t="shared" si="1173"/>
        <v>Q1</v>
      </c>
      <c r="J3898" s="188" t="s">
        <v>3683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182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185"/>
        <v>1.13</v>
      </c>
      <c r="Z3898" s="196">
        <f t="shared" si="1184"/>
        <v>750000</v>
      </c>
      <c r="AA3898" s="22">
        <v>1.0720000000000001</v>
      </c>
      <c r="AB3898" s="197">
        <f t="shared" si="1170"/>
        <v>711504.42477876123</v>
      </c>
      <c r="AC3898" s="198">
        <f t="shared" si="1174"/>
        <v>85380.530973451343</v>
      </c>
      <c r="AD3898" s="169">
        <v>0.12</v>
      </c>
      <c r="AE3898" s="199">
        <f t="shared" si="1175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68"/>
        <v>32703423.380530968</v>
      </c>
      <c r="AJ3898" s="200">
        <f t="shared" si="1169"/>
        <v>3885921.2623008853</v>
      </c>
      <c r="AK3898" s="201">
        <f t="shared" si="1176"/>
        <v>0.118823072957379</v>
      </c>
      <c r="AL3898" s="24"/>
      <c r="AM3898" s="24"/>
      <c r="AN3898" s="24"/>
      <c r="AO3898" s="24"/>
      <c r="AP3898" s="165" t="str">
        <f t="shared" si="1177"/>
        <v>20254</v>
      </c>
      <c r="AQ3898" s="203" t="str">
        <f t="shared" si="1178"/>
        <v>20254RMB</v>
      </c>
      <c r="AR3898" s="206" t="str">
        <f t="shared" si="1179"/>
        <v>YAMAHA_Mounter</v>
      </c>
      <c r="AS3898" s="22">
        <f t="shared" si="1180"/>
        <v>3</v>
      </c>
      <c r="AT3898" s="24" t="str">
        <f t="shared" si="1181"/>
        <v>0-3 months</v>
      </c>
      <c r="AU3898" s="22" t="s">
        <v>3240</v>
      </c>
    </row>
    <row r="3899" spans="1:47">
      <c r="A3899" s="33" t="str">
        <f t="shared" si="1172"/>
        <v>FY 24/25</v>
      </c>
      <c r="B3899" s="23">
        <v>2025</v>
      </c>
      <c r="C3899" s="23">
        <v>1</v>
      </c>
      <c r="D3899" s="202" t="str">
        <f t="shared" si="1183"/>
        <v>Q4</v>
      </c>
      <c r="E3899" s="33" t="str">
        <f t="shared" si="1171"/>
        <v>FY 25/26</v>
      </c>
      <c r="F3899" s="23">
        <v>2025</v>
      </c>
      <c r="G3899" s="23">
        <v>4</v>
      </c>
      <c r="H3899" s="29"/>
      <c r="I3899" s="204" t="str">
        <f t="shared" si="1173"/>
        <v>Q1</v>
      </c>
      <c r="J3899" s="188" t="s">
        <v>3683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182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185"/>
        <v>1.13</v>
      </c>
      <c r="Z3899" s="196">
        <f t="shared" si="1184"/>
        <v>750000</v>
      </c>
      <c r="AA3899" s="22">
        <v>1.0720000000000001</v>
      </c>
      <c r="AB3899" s="197">
        <f t="shared" si="1170"/>
        <v>711504.42477876123</v>
      </c>
      <c r="AC3899" s="198">
        <f t="shared" si="1174"/>
        <v>85380.530973451343</v>
      </c>
      <c r="AD3899" s="169">
        <v>0.12</v>
      </c>
      <c r="AE3899" s="199">
        <f t="shared" si="1175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68"/>
        <v>32703423.380530968</v>
      </c>
      <c r="AJ3899" s="200">
        <f t="shared" si="1169"/>
        <v>3885921.2623008853</v>
      </c>
      <c r="AK3899" s="201">
        <f t="shared" si="1176"/>
        <v>0.118823072957379</v>
      </c>
      <c r="AL3899" s="24"/>
      <c r="AM3899" s="24"/>
      <c r="AN3899" s="24"/>
      <c r="AO3899" s="24"/>
      <c r="AP3899" s="165" t="str">
        <f t="shared" si="1177"/>
        <v>20254</v>
      </c>
      <c r="AQ3899" s="203" t="str">
        <f t="shared" si="1178"/>
        <v>20254RMB</v>
      </c>
      <c r="AR3899" s="206" t="str">
        <f t="shared" si="1179"/>
        <v>YAMAHA_Mounter</v>
      </c>
      <c r="AS3899" s="22">
        <f t="shared" si="1180"/>
        <v>3</v>
      </c>
      <c r="AT3899" s="24" t="str">
        <f t="shared" si="1181"/>
        <v>0-3 months</v>
      </c>
      <c r="AU3899" s="22" t="s">
        <v>3240</v>
      </c>
    </row>
    <row r="3900" spans="1:47">
      <c r="A3900" s="33" t="str">
        <f t="shared" si="1172"/>
        <v>FY 24/25</v>
      </c>
      <c r="B3900" s="23">
        <v>2025</v>
      </c>
      <c r="C3900" s="23">
        <v>1</v>
      </c>
      <c r="D3900" s="202" t="str">
        <f t="shared" si="1183"/>
        <v>Q4</v>
      </c>
      <c r="E3900" s="33" t="str">
        <f t="shared" si="1171"/>
        <v>FY 25/26</v>
      </c>
      <c r="F3900" s="23">
        <v>2025</v>
      </c>
      <c r="G3900" s="23">
        <v>4</v>
      </c>
      <c r="H3900" s="29"/>
      <c r="I3900" s="204" t="str">
        <f t="shared" si="1173"/>
        <v>Q1</v>
      </c>
      <c r="J3900" s="188" t="s">
        <v>3683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182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185"/>
        <v>1.13</v>
      </c>
      <c r="Z3900" s="196">
        <f t="shared" si="1184"/>
        <v>750000</v>
      </c>
      <c r="AA3900" s="22">
        <v>1.0720000000000001</v>
      </c>
      <c r="AB3900" s="197">
        <f t="shared" si="1170"/>
        <v>711504.42477876123</v>
      </c>
      <c r="AC3900" s="198">
        <f t="shared" si="1174"/>
        <v>85380.530973451343</v>
      </c>
      <c r="AD3900" s="169">
        <v>0.12</v>
      </c>
      <c r="AE3900" s="199">
        <f t="shared" si="1175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68"/>
        <v>32703423.380530968</v>
      </c>
      <c r="AJ3900" s="200">
        <f t="shared" si="1169"/>
        <v>3885921.2623008853</v>
      </c>
      <c r="AK3900" s="201">
        <f t="shared" si="1176"/>
        <v>0.118823072957379</v>
      </c>
      <c r="AL3900" s="24"/>
      <c r="AM3900" s="24"/>
      <c r="AN3900" s="24"/>
      <c r="AO3900" s="24"/>
      <c r="AP3900" s="165" t="str">
        <f t="shared" si="1177"/>
        <v>20254</v>
      </c>
      <c r="AQ3900" s="203" t="str">
        <f t="shared" si="1178"/>
        <v>20254RMB</v>
      </c>
      <c r="AR3900" s="206" t="str">
        <f t="shared" si="1179"/>
        <v>YAMAHA_Mounter</v>
      </c>
      <c r="AS3900" s="22">
        <f t="shared" si="1180"/>
        <v>3</v>
      </c>
      <c r="AT3900" s="24" t="str">
        <f t="shared" si="1181"/>
        <v>0-3 months</v>
      </c>
      <c r="AU3900" s="22" t="s">
        <v>3240</v>
      </c>
    </row>
    <row r="3901" spans="1:47">
      <c r="A3901" s="33" t="str">
        <f t="shared" si="1172"/>
        <v>FY 24/25</v>
      </c>
      <c r="B3901" s="23">
        <v>2025</v>
      </c>
      <c r="C3901" s="23">
        <v>1</v>
      </c>
      <c r="D3901" s="202" t="str">
        <f t="shared" si="1183"/>
        <v>Q4</v>
      </c>
      <c r="E3901" s="33" t="str">
        <f t="shared" si="1171"/>
        <v>FY 25/26</v>
      </c>
      <c r="F3901" s="23">
        <v>2025</v>
      </c>
      <c r="G3901" s="23">
        <v>4</v>
      </c>
      <c r="H3901" s="29"/>
      <c r="I3901" s="204" t="str">
        <f t="shared" si="1173"/>
        <v>Q1</v>
      </c>
      <c r="J3901" s="188" t="s">
        <v>3683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182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185"/>
        <v>1.13</v>
      </c>
      <c r="Z3901" s="196">
        <f t="shared" si="1184"/>
        <v>750000</v>
      </c>
      <c r="AA3901" s="22">
        <v>1.0720000000000001</v>
      </c>
      <c r="AB3901" s="197">
        <f t="shared" si="1170"/>
        <v>711504.42477876123</v>
      </c>
      <c r="AC3901" s="198">
        <f t="shared" si="1174"/>
        <v>85380.530973451343</v>
      </c>
      <c r="AD3901" s="169">
        <v>0.12</v>
      </c>
      <c r="AE3901" s="199">
        <f t="shared" si="1175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68"/>
        <v>32703423.380530968</v>
      </c>
      <c r="AJ3901" s="200">
        <f t="shared" si="1169"/>
        <v>3885921.2623008853</v>
      </c>
      <c r="AK3901" s="201">
        <f t="shared" si="1176"/>
        <v>0.118823072957379</v>
      </c>
      <c r="AL3901" s="24"/>
      <c r="AM3901" s="24"/>
      <c r="AN3901" s="24"/>
      <c r="AO3901" s="24"/>
      <c r="AP3901" s="165" t="str">
        <f t="shared" si="1177"/>
        <v>20254</v>
      </c>
      <c r="AQ3901" s="203" t="str">
        <f t="shared" si="1178"/>
        <v>20254RMB</v>
      </c>
      <c r="AR3901" s="206" t="str">
        <f t="shared" si="1179"/>
        <v>YAMAHA_Mounter</v>
      </c>
      <c r="AS3901" s="22">
        <f t="shared" si="1180"/>
        <v>3</v>
      </c>
      <c r="AT3901" s="24" t="str">
        <f t="shared" si="1181"/>
        <v>0-3 months</v>
      </c>
      <c r="AU3901" s="22" t="s">
        <v>3240</v>
      </c>
    </row>
    <row r="3902" spans="1:47">
      <c r="A3902" s="33" t="str">
        <f t="shared" si="1172"/>
        <v>FY 24/25</v>
      </c>
      <c r="B3902" s="23">
        <v>2025</v>
      </c>
      <c r="C3902" s="23">
        <v>1</v>
      </c>
      <c r="D3902" s="202" t="str">
        <f t="shared" si="1183"/>
        <v>Q4</v>
      </c>
      <c r="E3902" s="33" t="str">
        <f t="shared" si="1171"/>
        <v>FY 25/26</v>
      </c>
      <c r="F3902" s="23">
        <v>2025</v>
      </c>
      <c r="G3902" s="23">
        <v>4</v>
      </c>
      <c r="H3902" s="29"/>
      <c r="I3902" s="204" t="str">
        <f t="shared" si="1173"/>
        <v>Q1</v>
      </c>
      <c r="J3902" s="188" t="s">
        <v>3683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182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185"/>
        <v>1.13</v>
      </c>
      <c r="Z3902" s="196">
        <f t="shared" si="1184"/>
        <v>750000</v>
      </c>
      <c r="AA3902" s="22">
        <v>1.0720000000000001</v>
      </c>
      <c r="AB3902" s="197">
        <f t="shared" si="1170"/>
        <v>711504.42477876123</v>
      </c>
      <c r="AC3902" s="198">
        <f t="shared" si="1174"/>
        <v>85380.530973451343</v>
      </c>
      <c r="AD3902" s="169">
        <v>0.12</v>
      </c>
      <c r="AE3902" s="199">
        <f t="shared" si="1175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68"/>
        <v>32703423.380530968</v>
      </c>
      <c r="AJ3902" s="200">
        <f t="shared" si="1169"/>
        <v>3885921.2623008853</v>
      </c>
      <c r="AK3902" s="201">
        <f t="shared" si="1176"/>
        <v>0.118823072957379</v>
      </c>
      <c r="AL3902" s="24"/>
      <c r="AM3902" s="24"/>
      <c r="AN3902" s="24"/>
      <c r="AO3902" s="24"/>
      <c r="AP3902" s="165" t="str">
        <f t="shared" si="1177"/>
        <v>20254</v>
      </c>
      <c r="AQ3902" s="203" t="str">
        <f t="shared" si="1178"/>
        <v>20254RMB</v>
      </c>
      <c r="AR3902" s="206" t="str">
        <f t="shared" si="1179"/>
        <v>YAMAHA_Mounter</v>
      </c>
      <c r="AS3902" s="22">
        <f t="shared" si="1180"/>
        <v>3</v>
      </c>
      <c r="AT3902" s="24" t="str">
        <f t="shared" si="1181"/>
        <v>0-3 months</v>
      </c>
      <c r="AU3902" s="22" t="s">
        <v>3240</v>
      </c>
    </row>
    <row r="3903" spans="1:47">
      <c r="A3903" s="33" t="str">
        <f t="shared" si="1172"/>
        <v>FY 24/25</v>
      </c>
      <c r="B3903" s="23">
        <v>2025</v>
      </c>
      <c r="C3903" s="23">
        <v>1</v>
      </c>
      <c r="D3903" s="202" t="str">
        <f t="shared" si="1183"/>
        <v>Q4</v>
      </c>
      <c r="E3903" s="33" t="str">
        <f t="shared" si="1171"/>
        <v>FY 25/26</v>
      </c>
      <c r="F3903" s="23">
        <v>2025</v>
      </c>
      <c r="G3903" s="23">
        <v>4</v>
      </c>
      <c r="H3903" s="29"/>
      <c r="I3903" s="204" t="str">
        <f t="shared" si="1173"/>
        <v>Q1</v>
      </c>
      <c r="J3903" s="188" t="s">
        <v>3683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182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185"/>
        <v>1.13</v>
      </c>
      <c r="Z3903" s="196">
        <f t="shared" si="1184"/>
        <v>750000</v>
      </c>
      <c r="AA3903" s="22">
        <v>1.0720000000000001</v>
      </c>
      <c r="AB3903" s="197">
        <f t="shared" si="1170"/>
        <v>711504.42477876123</v>
      </c>
      <c r="AC3903" s="198">
        <f t="shared" si="1174"/>
        <v>85380.530973451343</v>
      </c>
      <c r="AD3903" s="169">
        <v>0.12</v>
      </c>
      <c r="AE3903" s="199">
        <f t="shared" si="1175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68"/>
        <v>32703423.380530968</v>
      </c>
      <c r="AJ3903" s="200">
        <f t="shared" si="1169"/>
        <v>3885921.2623008853</v>
      </c>
      <c r="AK3903" s="201">
        <f t="shared" si="1176"/>
        <v>0.118823072957379</v>
      </c>
      <c r="AL3903" s="24"/>
      <c r="AM3903" s="24"/>
      <c r="AN3903" s="24"/>
      <c r="AO3903" s="24"/>
      <c r="AP3903" s="165" t="str">
        <f t="shared" si="1177"/>
        <v>20254</v>
      </c>
      <c r="AQ3903" s="203" t="str">
        <f t="shared" si="1178"/>
        <v>20254RMB</v>
      </c>
      <c r="AR3903" s="206" t="str">
        <f t="shared" si="1179"/>
        <v>YAMAHA_Mounter</v>
      </c>
      <c r="AS3903" s="22">
        <f t="shared" si="1180"/>
        <v>3</v>
      </c>
      <c r="AT3903" s="24" t="str">
        <f t="shared" si="1181"/>
        <v>0-3 months</v>
      </c>
      <c r="AU3903" s="22" t="s">
        <v>3240</v>
      </c>
    </row>
    <row r="3904" spans="1:47">
      <c r="A3904" s="33" t="str">
        <f t="shared" si="1172"/>
        <v>FY 24/25</v>
      </c>
      <c r="B3904" s="23">
        <v>2025</v>
      </c>
      <c r="C3904" s="23">
        <v>1</v>
      </c>
      <c r="D3904" s="202" t="str">
        <f t="shared" si="1183"/>
        <v>Q4</v>
      </c>
      <c r="E3904" s="33" t="str">
        <f t="shared" si="1171"/>
        <v>FY 25/26</v>
      </c>
      <c r="F3904" s="23">
        <v>2025</v>
      </c>
      <c r="G3904" s="23">
        <v>4</v>
      </c>
      <c r="H3904" s="29"/>
      <c r="I3904" s="204" t="str">
        <f t="shared" si="1173"/>
        <v>Q1</v>
      </c>
      <c r="J3904" s="188" t="s">
        <v>3683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182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185"/>
        <v>1.13</v>
      </c>
      <c r="Z3904" s="196">
        <f t="shared" si="1184"/>
        <v>750000</v>
      </c>
      <c r="AA3904" s="22">
        <v>1.0720000000000001</v>
      </c>
      <c r="AB3904" s="197">
        <f t="shared" si="1170"/>
        <v>711504.42477876123</v>
      </c>
      <c r="AC3904" s="198">
        <f t="shared" si="1174"/>
        <v>85380.530973451343</v>
      </c>
      <c r="AD3904" s="169">
        <v>0.12</v>
      </c>
      <c r="AE3904" s="199">
        <f t="shared" si="1175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68"/>
        <v>32703423.380530968</v>
      </c>
      <c r="AJ3904" s="200">
        <f t="shared" si="1169"/>
        <v>3885921.2623008853</v>
      </c>
      <c r="AK3904" s="201">
        <f t="shared" si="1176"/>
        <v>0.118823072957379</v>
      </c>
      <c r="AL3904" s="24"/>
      <c r="AM3904" s="24"/>
      <c r="AN3904" s="24"/>
      <c r="AO3904" s="24"/>
      <c r="AP3904" s="165" t="str">
        <f t="shared" si="1177"/>
        <v>20254</v>
      </c>
      <c r="AQ3904" s="203" t="str">
        <f t="shared" si="1178"/>
        <v>20254RMB</v>
      </c>
      <c r="AR3904" s="206" t="str">
        <f t="shared" si="1179"/>
        <v>YAMAHA_Mounter</v>
      </c>
      <c r="AS3904" s="22">
        <f t="shared" si="1180"/>
        <v>3</v>
      </c>
      <c r="AT3904" s="24" t="str">
        <f t="shared" si="1181"/>
        <v>0-3 months</v>
      </c>
      <c r="AU3904" s="22" t="s">
        <v>3240</v>
      </c>
    </row>
    <row r="3905" spans="1:47">
      <c r="A3905" s="33" t="str">
        <f t="shared" si="1172"/>
        <v>FY 24/25</v>
      </c>
      <c r="B3905" s="23">
        <v>2025</v>
      </c>
      <c r="C3905" s="23">
        <v>1</v>
      </c>
      <c r="D3905" s="202" t="str">
        <f t="shared" si="1183"/>
        <v>Q4</v>
      </c>
      <c r="E3905" s="33" t="str">
        <f t="shared" si="1171"/>
        <v>FY 25/26</v>
      </c>
      <c r="F3905" s="23">
        <v>2025</v>
      </c>
      <c r="G3905" s="23">
        <v>4</v>
      </c>
      <c r="H3905" s="29"/>
      <c r="I3905" s="204" t="str">
        <f t="shared" si="1173"/>
        <v>Q1</v>
      </c>
      <c r="J3905" s="188" t="s">
        <v>3683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182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185"/>
        <v>1.13</v>
      </c>
      <c r="Z3905" s="196">
        <f t="shared" si="1184"/>
        <v>750000</v>
      </c>
      <c r="AA3905" s="22">
        <v>1.0720000000000001</v>
      </c>
      <c r="AB3905" s="197">
        <f t="shared" si="1170"/>
        <v>711504.42477876123</v>
      </c>
      <c r="AC3905" s="198">
        <f t="shared" si="1174"/>
        <v>85380.530973451343</v>
      </c>
      <c r="AD3905" s="169">
        <v>0.12</v>
      </c>
      <c r="AE3905" s="199">
        <f t="shared" si="1175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68"/>
        <v>32703423.380530968</v>
      </c>
      <c r="AJ3905" s="200">
        <f t="shared" si="1169"/>
        <v>3885921.2623008853</v>
      </c>
      <c r="AK3905" s="201">
        <f t="shared" si="1176"/>
        <v>0.118823072957379</v>
      </c>
      <c r="AL3905" s="24"/>
      <c r="AM3905" s="24"/>
      <c r="AN3905" s="24"/>
      <c r="AO3905" s="24"/>
      <c r="AP3905" s="165" t="str">
        <f t="shared" si="1177"/>
        <v>20254</v>
      </c>
      <c r="AQ3905" s="203" t="str">
        <f t="shared" si="1178"/>
        <v>20254RMB</v>
      </c>
      <c r="AR3905" s="206" t="str">
        <f t="shared" si="1179"/>
        <v>YAMAHA_Mounter</v>
      </c>
      <c r="AS3905" s="22">
        <f t="shared" si="1180"/>
        <v>3</v>
      </c>
      <c r="AT3905" s="24" t="str">
        <f t="shared" si="1181"/>
        <v>0-3 months</v>
      </c>
      <c r="AU3905" s="22" t="s">
        <v>3240</v>
      </c>
    </row>
    <row r="3906" spans="1:47">
      <c r="A3906" s="33" t="str">
        <f t="shared" si="1172"/>
        <v>FY 24/25</v>
      </c>
      <c r="B3906" s="23">
        <v>2025</v>
      </c>
      <c r="C3906" s="23">
        <v>1</v>
      </c>
      <c r="D3906" s="202" t="str">
        <f t="shared" si="1183"/>
        <v>Q4</v>
      </c>
      <c r="E3906" s="33" t="str">
        <f t="shared" si="1171"/>
        <v>FY 25/26</v>
      </c>
      <c r="F3906" s="23">
        <v>2025</v>
      </c>
      <c r="G3906" s="23">
        <v>4</v>
      </c>
      <c r="H3906" s="29"/>
      <c r="I3906" s="204" t="str">
        <f t="shared" si="1173"/>
        <v>Q1</v>
      </c>
      <c r="J3906" s="188" t="s">
        <v>3683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182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185"/>
        <v>1.13</v>
      </c>
      <c r="Z3906" s="196">
        <f t="shared" si="1184"/>
        <v>734670</v>
      </c>
      <c r="AA3906" s="22">
        <v>1.0720000000000001</v>
      </c>
      <c r="AB3906" s="197">
        <f t="shared" si="1170"/>
        <v>696961.27433628333</v>
      </c>
      <c r="AC3906" s="198">
        <f t="shared" si="1174"/>
        <v>83635.352920353995</v>
      </c>
      <c r="AD3906" s="169">
        <v>0.12</v>
      </c>
      <c r="AE3906" s="199">
        <f t="shared" si="1175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13" si="1192">IF(P3906="C66 SERVICE","",SUMIFS(AB:AB,F:F,F3906,G:G,G3906,E:E,E3906))</f>
        <v>32703423.380530968</v>
      </c>
      <c r="AJ3906" s="200">
        <f t="shared" ref="AJ3906:AJ3913" si="1193">IF(P3906="C66 SERVICE","",SUMIFS(AC:AC,F:F,F3906,G:G,G3906,E:E,E3906))</f>
        <v>3885921.2623008853</v>
      </c>
      <c r="AK3906" s="201">
        <f t="shared" si="1176"/>
        <v>0.118823072957379</v>
      </c>
      <c r="AL3906" s="24"/>
      <c r="AM3906" s="24"/>
      <c r="AN3906" s="24"/>
      <c r="AO3906" s="24"/>
      <c r="AP3906" s="165" t="str">
        <f t="shared" si="1177"/>
        <v>20254</v>
      </c>
      <c r="AQ3906" s="203" t="str">
        <f t="shared" si="1178"/>
        <v>20254RMB</v>
      </c>
      <c r="AR3906" s="206" t="str">
        <f t="shared" si="1179"/>
        <v>YAMAHA_Mounter</v>
      </c>
      <c r="AS3906" s="22">
        <f t="shared" si="1180"/>
        <v>3</v>
      </c>
      <c r="AT3906" s="24" t="str">
        <f t="shared" si="1181"/>
        <v>0-3 months</v>
      </c>
      <c r="AU3906" s="22" t="s">
        <v>3240</v>
      </c>
    </row>
    <row r="3907" spans="1:47">
      <c r="A3907" s="33" t="str">
        <f t="shared" si="1172"/>
        <v>FY 24/25</v>
      </c>
      <c r="B3907" s="23">
        <v>2025</v>
      </c>
      <c r="C3907" s="23">
        <v>1</v>
      </c>
      <c r="D3907" s="202" t="str">
        <f t="shared" si="1183"/>
        <v>Q4</v>
      </c>
      <c r="E3907" s="33" t="str">
        <f t="shared" si="1171"/>
        <v>FY 25/26</v>
      </c>
      <c r="F3907" s="23">
        <v>2025</v>
      </c>
      <c r="G3907" s="23">
        <v>4</v>
      </c>
      <c r="H3907" s="29"/>
      <c r="I3907" s="204" t="str">
        <f t="shared" si="1173"/>
        <v>Q1</v>
      </c>
      <c r="J3907" s="188" t="s">
        <v>3683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182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185"/>
        <v>1.13</v>
      </c>
      <c r="Z3907" s="196">
        <f t="shared" si="1184"/>
        <v>734670</v>
      </c>
      <c r="AA3907" s="22">
        <v>1.0720000000000001</v>
      </c>
      <c r="AB3907" s="197">
        <f t="shared" si="1170"/>
        <v>696961.27433628333</v>
      </c>
      <c r="AC3907" s="198">
        <f t="shared" si="1174"/>
        <v>83635.352920353995</v>
      </c>
      <c r="AD3907" s="169">
        <v>0.12</v>
      </c>
      <c r="AE3907" s="199">
        <f t="shared" si="1175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2"/>
        <v>32703423.380530968</v>
      </c>
      <c r="AJ3907" s="200">
        <f t="shared" si="1193"/>
        <v>3885921.2623008853</v>
      </c>
      <c r="AK3907" s="201">
        <f t="shared" si="1176"/>
        <v>0.118823072957379</v>
      </c>
      <c r="AL3907" s="24"/>
      <c r="AM3907" s="24"/>
      <c r="AN3907" s="24"/>
      <c r="AO3907" s="24"/>
      <c r="AP3907" s="165" t="str">
        <f t="shared" si="1177"/>
        <v>20254</v>
      </c>
      <c r="AQ3907" s="203" t="str">
        <f t="shared" si="1178"/>
        <v>20254RMB</v>
      </c>
      <c r="AR3907" s="206" t="str">
        <f t="shared" si="1179"/>
        <v>YAMAHA_Mounter</v>
      </c>
      <c r="AS3907" s="22">
        <f t="shared" si="1180"/>
        <v>3</v>
      </c>
      <c r="AT3907" s="24" t="str">
        <f t="shared" si="1181"/>
        <v>0-3 months</v>
      </c>
      <c r="AU3907" s="22" t="s">
        <v>3240</v>
      </c>
    </row>
    <row r="3908" spans="1:47">
      <c r="A3908" s="33" t="str">
        <f t="shared" si="1172"/>
        <v>FY 24/25</v>
      </c>
      <c r="B3908" s="23">
        <v>2025</v>
      </c>
      <c r="C3908" s="23">
        <v>1</v>
      </c>
      <c r="D3908" s="202" t="str">
        <f t="shared" si="1183"/>
        <v>Q4</v>
      </c>
      <c r="E3908" s="33" t="str">
        <f t="shared" si="1171"/>
        <v>FY 25/26</v>
      </c>
      <c r="F3908" s="23">
        <v>2025</v>
      </c>
      <c r="G3908" s="23">
        <v>4</v>
      </c>
      <c r="H3908" s="29"/>
      <c r="I3908" s="204" t="str">
        <f t="shared" si="1173"/>
        <v>Q1</v>
      </c>
      <c r="J3908" s="188" t="s">
        <v>3683</v>
      </c>
      <c r="K3908" s="29" t="s">
        <v>1830</v>
      </c>
      <c r="L3908" s="24" t="s">
        <v>3685</v>
      </c>
      <c r="M3908" s="13" t="s">
        <v>60</v>
      </c>
      <c r="N3908" s="22">
        <v>1</v>
      </c>
      <c r="O3908" s="22"/>
      <c r="P3908" s="202" t="str">
        <f t="shared" si="1182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185"/>
        <v>1.13</v>
      </c>
      <c r="Z3908" s="196">
        <f t="shared" si="1184"/>
        <v>636660</v>
      </c>
      <c r="AA3908" s="22">
        <v>1.0720000000000001</v>
      </c>
      <c r="AB3908" s="197">
        <f t="shared" si="1170"/>
        <v>603981.8761061948</v>
      </c>
      <c r="AC3908" s="198">
        <f t="shared" si="1174"/>
        <v>72477.825132743368</v>
      </c>
      <c r="AD3908" s="169">
        <v>0.12</v>
      </c>
      <c r="AE3908" s="199">
        <f t="shared" si="1175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2"/>
        <v>32703423.380530968</v>
      </c>
      <c r="AJ3908" s="200">
        <f t="shared" si="1193"/>
        <v>3885921.2623008853</v>
      </c>
      <c r="AK3908" s="201">
        <f t="shared" si="1176"/>
        <v>0.118823072957379</v>
      </c>
      <c r="AL3908" s="24"/>
      <c r="AM3908" s="24"/>
      <c r="AN3908" s="24"/>
      <c r="AO3908" s="24"/>
      <c r="AP3908" s="165" t="str">
        <f t="shared" si="1177"/>
        <v>20254</v>
      </c>
      <c r="AQ3908" s="203" t="str">
        <f t="shared" si="1178"/>
        <v>20254RMB</v>
      </c>
      <c r="AR3908" s="206" t="str">
        <f t="shared" si="1179"/>
        <v>YAMAHA_Non_Mounter</v>
      </c>
      <c r="AS3908" s="22">
        <f t="shared" si="1180"/>
        <v>3</v>
      </c>
      <c r="AT3908" s="24" t="str">
        <f t="shared" si="1181"/>
        <v>0-3 months</v>
      </c>
      <c r="AU3908" s="22" t="s">
        <v>3240</v>
      </c>
    </row>
    <row r="3909" spans="1:47">
      <c r="A3909" s="33" t="str">
        <f t="shared" si="1172"/>
        <v>FY 24/25</v>
      </c>
      <c r="B3909" s="23">
        <v>2025</v>
      </c>
      <c r="C3909" s="23">
        <v>1</v>
      </c>
      <c r="D3909" s="202" t="str">
        <f t="shared" si="1183"/>
        <v>Q4</v>
      </c>
      <c r="E3909" s="33" t="str">
        <f t="shared" si="1171"/>
        <v>FY 25/26</v>
      </c>
      <c r="F3909" s="23">
        <v>2025</v>
      </c>
      <c r="G3909" s="23">
        <v>4</v>
      </c>
      <c r="H3909" s="29"/>
      <c r="I3909" s="204" t="str">
        <f t="shared" si="1173"/>
        <v>Q1</v>
      </c>
      <c r="J3909" s="188" t="s">
        <v>3683</v>
      </c>
      <c r="K3909" s="29" t="s">
        <v>1830</v>
      </c>
      <c r="L3909" s="24" t="s">
        <v>3685</v>
      </c>
      <c r="M3909" s="13" t="s">
        <v>60</v>
      </c>
      <c r="N3909" s="22">
        <v>1</v>
      </c>
      <c r="O3909" s="22"/>
      <c r="P3909" s="202" t="str">
        <f t="shared" si="1182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185"/>
        <v>1.13</v>
      </c>
      <c r="Z3909" s="196">
        <f t="shared" si="1184"/>
        <v>636660</v>
      </c>
      <c r="AA3909" s="22">
        <v>1.0720000000000001</v>
      </c>
      <c r="AB3909" s="197">
        <f t="shared" si="1170"/>
        <v>603981.8761061948</v>
      </c>
      <c r="AC3909" s="198">
        <f t="shared" si="1174"/>
        <v>72477.825132743368</v>
      </c>
      <c r="AD3909" s="169">
        <v>0.12</v>
      </c>
      <c r="AE3909" s="199">
        <f t="shared" si="1175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2"/>
        <v>32703423.380530968</v>
      </c>
      <c r="AJ3909" s="200">
        <f t="shared" si="1193"/>
        <v>3885921.2623008853</v>
      </c>
      <c r="AK3909" s="201">
        <f t="shared" si="1176"/>
        <v>0.118823072957379</v>
      </c>
      <c r="AL3909" s="24"/>
      <c r="AM3909" s="24"/>
      <c r="AN3909" s="24"/>
      <c r="AO3909" s="24"/>
      <c r="AP3909" s="165" t="str">
        <f t="shared" si="1177"/>
        <v>20254</v>
      </c>
      <c r="AQ3909" s="203" t="str">
        <f t="shared" si="1178"/>
        <v>20254RMB</v>
      </c>
      <c r="AR3909" s="206" t="str">
        <f t="shared" si="1179"/>
        <v>YAMAHA_Non_Mounter</v>
      </c>
      <c r="AS3909" s="22">
        <f t="shared" si="1180"/>
        <v>3</v>
      </c>
      <c r="AT3909" s="24" t="str">
        <f t="shared" si="1181"/>
        <v>0-3 months</v>
      </c>
      <c r="AU3909" s="22" t="s">
        <v>3240</v>
      </c>
    </row>
    <row r="3910" spans="1:47">
      <c r="A3910" s="33" t="str">
        <f t="shared" si="1172"/>
        <v>FY 24/25</v>
      </c>
      <c r="B3910" s="23">
        <v>2025</v>
      </c>
      <c r="C3910" s="23">
        <v>1</v>
      </c>
      <c r="D3910" s="202" t="str">
        <f t="shared" si="1183"/>
        <v>Q4</v>
      </c>
      <c r="E3910" s="33" t="str">
        <f t="shared" si="1171"/>
        <v>FY 25/26</v>
      </c>
      <c r="F3910" s="23">
        <v>2025</v>
      </c>
      <c r="G3910" s="23">
        <v>4</v>
      </c>
      <c r="H3910" s="29"/>
      <c r="I3910" s="204" t="str">
        <f t="shared" si="1173"/>
        <v>Q1</v>
      </c>
      <c r="J3910" s="188" t="s">
        <v>3683</v>
      </c>
      <c r="K3910" s="29" t="s">
        <v>1830</v>
      </c>
      <c r="L3910" s="24" t="s">
        <v>3685</v>
      </c>
      <c r="M3910" s="13" t="s">
        <v>60</v>
      </c>
      <c r="N3910" s="22">
        <v>1</v>
      </c>
      <c r="O3910" s="22"/>
      <c r="P3910" s="202" t="str">
        <f t="shared" si="1182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185"/>
        <v>1.13</v>
      </c>
      <c r="Z3910" s="196">
        <f t="shared" si="1184"/>
        <v>636660</v>
      </c>
      <c r="AA3910" s="22">
        <v>1.0720000000000001</v>
      </c>
      <c r="AB3910" s="197">
        <f t="shared" si="1170"/>
        <v>603981.8761061948</v>
      </c>
      <c r="AC3910" s="198">
        <f t="shared" si="1174"/>
        <v>72477.825132743368</v>
      </c>
      <c r="AD3910" s="169">
        <v>0.12</v>
      </c>
      <c r="AE3910" s="199">
        <f t="shared" si="1175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2"/>
        <v>32703423.380530968</v>
      </c>
      <c r="AJ3910" s="200">
        <f t="shared" si="1193"/>
        <v>3885921.2623008853</v>
      </c>
      <c r="AK3910" s="201">
        <f t="shared" si="1176"/>
        <v>0.118823072957379</v>
      </c>
      <c r="AL3910" s="24"/>
      <c r="AM3910" s="24"/>
      <c r="AN3910" s="24"/>
      <c r="AO3910" s="24"/>
      <c r="AP3910" s="165" t="str">
        <f t="shared" si="1177"/>
        <v>20254</v>
      </c>
      <c r="AQ3910" s="203" t="str">
        <f t="shared" si="1178"/>
        <v>20254RMB</v>
      </c>
      <c r="AR3910" s="206" t="str">
        <f t="shared" si="1179"/>
        <v>YAMAHA_Non_Mounter</v>
      </c>
      <c r="AS3910" s="22">
        <f t="shared" si="1180"/>
        <v>3</v>
      </c>
      <c r="AT3910" s="24" t="str">
        <f t="shared" si="1181"/>
        <v>0-3 months</v>
      </c>
      <c r="AU3910" s="22" t="s">
        <v>3240</v>
      </c>
    </row>
    <row r="3911" spans="1:47">
      <c r="A3911" s="33" t="str">
        <f t="shared" si="1172"/>
        <v>FY 24/25</v>
      </c>
      <c r="B3911" s="23">
        <v>2025</v>
      </c>
      <c r="C3911" s="23">
        <v>1</v>
      </c>
      <c r="D3911" s="202" t="str">
        <f t="shared" si="1183"/>
        <v>Q4</v>
      </c>
      <c r="E3911" s="33" t="str">
        <f t="shared" si="1171"/>
        <v>FY 25/26</v>
      </c>
      <c r="F3911" s="23">
        <v>2025</v>
      </c>
      <c r="G3911" s="23">
        <v>4</v>
      </c>
      <c r="H3911" s="29"/>
      <c r="I3911" s="204" t="str">
        <f t="shared" si="1173"/>
        <v>Q1</v>
      </c>
      <c r="J3911" s="188" t="s">
        <v>3683</v>
      </c>
      <c r="K3911" s="29" t="s">
        <v>1830</v>
      </c>
      <c r="L3911" s="24" t="s">
        <v>3685</v>
      </c>
      <c r="M3911" s="13" t="s">
        <v>60</v>
      </c>
      <c r="N3911" s="22">
        <v>1</v>
      </c>
      <c r="O3911" s="22"/>
      <c r="P3911" s="202" t="str">
        <f t="shared" si="1182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185"/>
        <v>1.13</v>
      </c>
      <c r="Z3911" s="196">
        <f t="shared" si="1184"/>
        <v>636660</v>
      </c>
      <c r="AA3911" s="22">
        <v>1.0720000000000001</v>
      </c>
      <c r="AB3911" s="197">
        <f t="shared" si="1170"/>
        <v>603981.8761061948</v>
      </c>
      <c r="AC3911" s="198">
        <f t="shared" si="1174"/>
        <v>72477.825132743368</v>
      </c>
      <c r="AD3911" s="169">
        <v>0.12</v>
      </c>
      <c r="AE3911" s="199">
        <f t="shared" si="1175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2"/>
        <v>32703423.380530968</v>
      </c>
      <c r="AJ3911" s="200">
        <f t="shared" si="1193"/>
        <v>3885921.2623008853</v>
      </c>
      <c r="AK3911" s="201">
        <f t="shared" si="1176"/>
        <v>0.118823072957379</v>
      </c>
      <c r="AL3911" s="24"/>
      <c r="AM3911" s="24"/>
      <c r="AN3911" s="24"/>
      <c r="AO3911" s="24"/>
      <c r="AP3911" s="165" t="str">
        <f t="shared" si="1177"/>
        <v>20254</v>
      </c>
      <c r="AQ3911" s="203" t="str">
        <f t="shared" si="1178"/>
        <v>20254RMB</v>
      </c>
      <c r="AR3911" s="206" t="str">
        <f t="shared" si="1179"/>
        <v>YAMAHA_Non_Mounter</v>
      </c>
      <c r="AS3911" s="22">
        <f t="shared" si="1180"/>
        <v>3</v>
      </c>
      <c r="AT3911" s="24" t="str">
        <f t="shared" si="1181"/>
        <v>0-3 months</v>
      </c>
      <c r="AU3911" s="22" t="s">
        <v>3240</v>
      </c>
    </row>
    <row r="3912" spans="1:47">
      <c r="A3912" s="33" t="str">
        <f t="shared" si="1172"/>
        <v>FY 24/25</v>
      </c>
      <c r="B3912" s="23">
        <v>2025</v>
      </c>
      <c r="C3912" s="23">
        <v>1</v>
      </c>
      <c r="D3912" s="202" t="str">
        <f t="shared" si="1183"/>
        <v>Q4</v>
      </c>
      <c r="E3912" s="33" t="str">
        <f t="shared" si="1171"/>
        <v>FY 25/26</v>
      </c>
      <c r="F3912" s="23">
        <v>2025</v>
      </c>
      <c r="G3912" s="23">
        <v>4</v>
      </c>
      <c r="H3912" s="29"/>
      <c r="I3912" s="204" t="str">
        <f t="shared" si="1173"/>
        <v>Q1</v>
      </c>
      <c r="J3912" s="188" t="s">
        <v>3683</v>
      </c>
      <c r="K3912" s="29" t="s">
        <v>1830</v>
      </c>
      <c r="L3912" s="24" t="s">
        <v>3685</v>
      </c>
      <c r="M3912" s="13" t="s">
        <v>60</v>
      </c>
      <c r="N3912" s="22">
        <v>1</v>
      </c>
      <c r="O3912" s="22"/>
      <c r="P3912" s="202" t="str">
        <f t="shared" si="1182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185"/>
        <v>1.13</v>
      </c>
      <c r="Z3912" s="196">
        <f t="shared" si="1184"/>
        <v>636660</v>
      </c>
      <c r="AA3912" s="22">
        <v>1.0720000000000001</v>
      </c>
      <c r="AB3912" s="197">
        <f t="shared" si="1170"/>
        <v>603981.8761061948</v>
      </c>
      <c r="AC3912" s="198">
        <f t="shared" si="1174"/>
        <v>72477.825132743368</v>
      </c>
      <c r="AD3912" s="169">
        <v>0.12</v>
      </c>
      <c r="AE3912" s="199">
        <f t="shared" si="1175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2"/>
        <v>32703423.380530968</v>
      </c>
      <c r="AJ3912" s="200">
        <f t="shared" si="1193"/>
        <v>3885921.2623008853</v>
      </c>
      <c r="AK3912" s="201">
        <f t="shared" si="1176"/>
        <v>0.118823072957379</v>
      </c>
      <c r="AL3912" s="24"/>
      <c r="AM3912" s="24"/>
      <c r="AN3912" s="24"/>
      <c r="AO3912" s="24"/>
      <c r="AP3912" s="165" t="str">
        <f t="shared" si="1177"/>
        <v>20254</v>
      </c>
      <c r="AQ3912" s="203" t="str">
        <f t="shared" si="1178"/>
        <v>20254RMB</v>
      </c>
      <c r="AR3912" s="206" t="str">
        <f t="shared" si="1179"/>
        <v>YAMAHA_Non_Mounter</v>
      </c>
      <c r="AS3912" s="22">
        <f t="shared" si="1180"/>
        <v>3</v>
      </c>
      <c r="AT3912" s="24" t="str">
        <f t="shared" si="1181"/>
        <v>0-3 months</v>
      </c>
      <c r="AU3912" s="22" t="s">
        <v>3240</v>
      </c>
    </row>
    <row r="3913" spans="1:47">
      <c r="A3913" s="33" t="str">
        <f t="shared" si="1172"/>
        <v>FY 24/25</v>
      </c>
      <c r="B3913" s="23">
        <v>2025</v>
      </c>
      <c r="C3913" s="23">
        <v>1</v>
      </c>
      <c r="D3913" s="202" t="str">
        <f t="shared" si="1183"/>
        <v>Q4</v>
      </c>
      <c r="E3913" s="33" t="str">
        <f t="shared" si="1171"/>
        <v>FY 25/26</v>
      </c>
      <c r="F3913" s="23">
        <v>2025</v>
      </c>
      <c r="G3913" s="23">
        <v>4</v>
      </c>
      <c r="H3913" s="29"/>
      <c r="I3913" s="204" t="str">
        <f t="shared" si="1173"/>
        <v>Q1</v>
      </c>
      <c r="J3913" s="188" t="s">
        <v>3683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182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185"/>
        <v>1.13</v>
      </c>
      <c r="Z3913" s="196">
        <f t="shared" si="1184"/>
        <v>544605</v>
      </c>
      <c r="AA3913" s="22">
        <v>1.0720000000000001</v>
      </c>
      <c r="AB3913" s="197">
        <f t="shared" si="1170"/>
        <v>516651.82300884963</v>
      </c>
      <c r="AC3913" s="198">
        <f t="shared" si="1174"/>
        <v>61998.218761061951</v>
      </c>
      <c r="AD3913" s="169">
        <v>0.12</v>
      </c>
      <c r="AE3913" s="199">
        <f t="shared" si="1175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2"/>
        <v>32703423.380530968</v>
      </c>
      <c r="AJ3913" s="200">
        <f t="shared" si="1193"/>
        <v>3885921.2623008853</v>
      </c>
      <c r="AK3913" s="201">
        <f t="shared" si="1176"/>
        <v>0.118823072957379</v>
      </c>
      <c r="AL3913" s="24"/>
      <c r="AM3913" s="24"/>
      <c r="AN3913" s="24"/>
      <c r="AO3913" s="24"/>
      <c r="AP3913" s="165" t="str">
        <f t="shared" si="1177"/>
        <v>20254</v>
      </c>
      <c r="AQ3913" s="203" t="str">
        <f t="shared" si="1178"/>
        <v>20254RMB</v>
      </c>
      <c r="AR3913" s="206" t="str">
        <f t="shared" si="1179"/>
        <v>HELLER</v>
      </c>
      <c r="AS3913" s="22">
        <f t="shared" si="1180"/>
        <v>3</v>
      </c>
      <c r="AT3913" s="24" t="str">
        <f t="shared" si="1181"/>
        <v>0-3 months</v>
      </c>
      <c r="AU3913" s="22" t="s">
        <v>3240</v>
      </c>
    </row>
    <row r="3914" spans="1:47">
      <c r="A3914" s="33" t="str">
        <f t="shared" si="1172"/>
        <v>FY 24/25</v>
      </c>
      <c r="B3914" s="23">
        <v>2025</v>
      </c>
      <c r="C3914" s="23">
        <v>1</v>
      </c>
      <c r="D3914" s="202" t="str">
        <f t="shared" si="1183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3683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182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185"/>
        <v>1.13</v>
      </c>
      <c r="Z3914" s="196">
        <f t="shared" si="1184"/>
        <v>544605</v>
      </c>
      <c r="AA3914" s="22">
        <v>1.0720000000000001</v>
      </c>
      <c r="AB3914" s="197">
        <f t="shared" si="1170"/>
        <v>516651.82300884963</v>
      </c>
      <c r="AC3914" s="198">
        <f t="shared" si="1174"/>
        <v>61998.218761061951</v>
      </c>
      <c r="AD3914" s="169">
        <v>0.12</v>
      </c>
      <c r="AE3914" s="199">
        <f t="shared" si="1175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32703423.380530968</v>
      </c>
      <c r="AJ3914" s="200">
        <f>IF(P3914="C66 SERVICE","",SUMIFS(AC:AC,F:F,F3914,G:G,G3896,E:E,E3914))</f>
        <v>3885921.2623008853</v>
      </c>
      <c r="AK3914" s="201">
        <f t="shared" si="1176"/>
        <v>0.118823072957379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79"/>
        <v>HELLER</v>
      </c>
      <c r="AS3914" s="22">
        <f>IFERROR(IF(OR(G3896="TBA", G3896=""), "", DATEDIF(DATE(B3914, C3914, 1), DATE(F3914, G3896, 1), "M")),"")</f>
        <v>3</v>
      </c>
      <c r="AT3914" s="24" t="str">
        <f t="shared" si="1181"/>
        <v>0-3 months</v>
      </c>
      <c r="AU3914" s="22" t="s">
        <v>3240</v>
      </c>
    </row>
    <row r="3915" spans="1:47">
      <c r="A3915" s="33" t="str">
        <f t="shared" si="1172"/>
        <v>FY 24/25</v>
      </c>
      <c r="B3915" s="23">
        <v>2025</v>
      </c>
      <c r="C3915" s="23">
        <v>1</v>
      </c>
      <c r="D3915" s="202" t="str">
        <f t="shared" si="1183"/>
        <v>Q4</v>
      </c>
      <c r="E3915" s="33" t="str">
        <f t="shared" si="1171"/>
        <v>FY 24/25</v>
      </c>
      <c r="F3915" s="23">
        <v>2025</v>
      </c>
      <c r="G3915" s="23">
        <v>2</v>
      </c>
      <c r="H3915" s="29"/>
      <c r="I3915" s="204" t="str">
        <f t="shared" si="1173"/>
        <v>Q4</v>
      </c>
      <c r="J3915" s="188" t="s">
        <v>3686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182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35">
        <v>431522</v>
      </c>
      <c r="Y3915" s="195" t="str">
        <f t="shared" si="1185"/>
        <v>1.13</v>
      </c>
      <c r="Z3915" s="196">
        <f t="shared" si="1184"/>
        <v>431522</v>
      </c>
      <c r="AA3915" s="22">
        <v>1.073</v>
      </c>
      <c r="AB3915" s="197">
        <f t="shared" si="1170"/>
        <v>409754.96106194693</v>
      </c>
      <c r="AC3915" s="198">
        <f t="shared" si="1174"/>
        <v>33722.833295398232</v>
      </c>
      <c r="AD3915" s="170">
        <v>8.2299999999999998E-2</v>
      </c>
      <c r="AE3915" s="199">
        <f t="shared" si="1175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ref="AI3915:AI3946" si="1194">IF(P3915="C66 SERVICE","",SUMIFS(AB:AB,F:F,F3915,G:G,G3915,E:E,E3915))</f>
        <v>30691842.970796466</v>
      </c>
      <c r="AJ3915" s="200">
        <f t="shared" ref="AJ3915:AJ3946" si="1195">IF(P3915="C66 SERVICE","",SUMIFS(AC:AC,F:F,F3915,G:G,G3915,E:E,E3915))</f>
        <v>4088324.205777524</v>
      </c>
      <c r="AK3915" s="201">
        <f t="shared" si="1176"/>
        <v>0.1332055624573473</v>
      </c>
      <c r="AL3915" s="24"/>
      <c r="AM3915" s="24"/>
      <c r="AN3915" s="24"/>
      <c r="AO3915" s="24"/>
      <c r="AP3915" s="165" t="str">
        <f t="shared" si="1177"/>
        <v>20252</v>
      </c>
      <c r="AQ3915" s="203" t="str">
        <f t="shared" si="1178"/>
        <v>20252RMB</v>
      </c>
      <c r="AR3915" s="206" t="str">
        <f t="shared" si="1179"/>
        <v>YAMAHA_Mounter</v>
      </c>
      <c r="AS3915" s="22">
        <f t="shared" si="1180"/>
        <v>1</v>
      </c>
      <c r="AT3915" s="24" t="str">
        <f t="shared" si="1181"/>
        <v>0-3 months</v>
      </c>
      <c r="AU3915" s="22" t="s">
        <v>3240</v>
      </c>
    </row>
    <row r="3916" spans="1:47">
      <c r="A3916" s="33" t="str">
        <f t="shared" si="1172"/>
        <v>FY 24/25</v>
      </c>
      <c r="B3916" s="23">
        <v>2025</v>
      </c>
      <c r="C3916" s="23">
        <v>1</v>
      </c>
      <c r="D3916" s="202" t="str">
        <f t="shared" si="1183"/>
        <v>Q4</v>
      </c>
      <c r="E3916" s="33" t="str">
        <f t="shared" si="1171"/>
        <v>FY 24/25</v>
      </c>
      <c r="F3916" s="23">
        <v>2025</v>
      </c>
      <c r="G3916" s="23">
        <v>2</v>
      </c>
      <c r="H3916" s="29"/>
      <c r="I3916" s="204" t="str">
        <f t="shared" si="1173"/>
        <v>Q4</v>
      </c>
      <c r="J3916" s="188" t="s">
        <v>3686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182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35">
        <v>431522</v>
      </c>
      <c r="Y3916" s="195" t="str">
        <f t="shared" si="1185"/>
        <v>1.13</v>
      </c>
      <c r="Z3916" s="196">
        <f t="shared" si="1184"/>
        <v>431522</v>
      </c>
      <c r="AA3916" s="22">
        <v>1.073</v>
      </c>
      <c r="AB3916" s="197">
        <f t="shared" si="1170"/>
        <v>409754.96106194693</v>
      </c>
      <c r="AC3916" s="198">
        <f t="shared" si="1174"/>
        <v>33722.833295398232</v>
      </c>
      <c r="AD3916" s="170">
        <v>8.2299999999999998E-2</v>
      </c>
      <c r="AE3916" s="199">
        <f t="shared" si="1175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4"/>
        <v>30691842.970796466</v>
      </c>
      <c r="AJ3916" s="200">
        <f t="shared" si="1195"/>
        <v>4088324.205777524</v>
      </c>
      <c r="AK3916" s="201">
        <f t="shared" si="1176"/>
        <v>0.1332055624573473</v>
      </c>
      <c r="AL3916" s="24"/>
      <c r="AM3916" s="24"/>
      <c r="AN3916" s="24"/>
      <c r="AO3916" s="24"/>
      <c r="AP3916" s="165" t="str">
        <f t="shared" si="1177"/>
        <v>20252</v>
      </c>
      <c r="AQ3916" s="203" t="str">
        <f t="shared" si="1178"/>
        <v>20252RMB</v>
      </c>
      <c r="AR3916" s="206" t="str">
        <f t="shared" si="1179"/>
        <v>YAMAHA_Mounter</v>
      </c>
      <c r="AS3916" s="22">
        <f t="shared" si="1180"/>
        <v>1</v>
      </c>
      <c r="AT3916" s="24" t="str">
        <f t="shared" si="1181"/>
        <v>0-3 months</v>
      </c>
      <c r="AU3916" s="22" t="s">
        <v>3240</v>
      </c>
    </row>
    <row r="3917" spans="1:47">
      <c r="A3917" s="33" t="str">
        <f t="shared" si="1172"/>
        <v>FY 24/25</v>
      </c>
      <c r="B3917" s="23">
        <v>2025</v>
      </c>
      <c r="C3917" s="23">
        <v>1</v>
      </c>
      <c r="D3917" s="202" t="str">
        <f t="shared" si="1183"/>
        <v>Q4</v>
      </c>
      <c r="E3917" s="33" t="str">
        <f t="shared" si="1171"/>
        <v>FY 25/26</v>
      </c>
      <c r="F3917" s="23">
        <v>2025</v>
      </c>
      <c r="G3917" s="23">
        <v>4</v>
      </c>
      <c r="H3917" s="29"/>
      <c r="I3917" s="204" t="str">
        <f t="shared" si="1173"/>
        <v>Q1</v>
      </c>
      <c r="J3917" s="188" t="s">
        <v>3687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182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185"/>
        <v>1.13</v>
      </c>
      <c r="Z3917" s="196">
        <f t="shared" si="1184"/>
        <v>450000</v>
      </c>
      <c r="AA3917" s="22">
        <v>1.0720000000000001</v>
      </c>
      <c r="AB3917" s="197">
        <f t="shared" si="1170"/>
        <v>426902.6548672567</v>
      </c>
      <c r="AC3917" s="198">
        <f t="shared" si="1174"/>
        <v>51228.318584070803</v>
      </c>
      <c r="AD3917" s="169">
        <v>0.12</v>
      </c>
      <c r="AE3917" s="199">
        <f t="shared" si="1175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4"/>
        <v>32703423.380530968</v>
      </c>
      <c r="AJ3917" s="200">
        <f t="shared" si="1195"/>
        <v>3885921.2623008853</v>
      </c>
      <c r="AK3917" s="201">
        <f t="shared" si="1176"/>
        <v>0.118823072957379</v>
      </c>
      <c r="AL3917" s="24"/>
      <c r="AM3917" s="24"/>
      <c r="AN3917" s="24"/>
      <c r="AO3917" s="24"/>
      <c r="AP3917" s="165" t="str">
        <f t="shared" si="1177"/>
        <v>20254</v>
      </c>
      <c r="AQ3917" s="203" t="str">
        <f t="shared" si="1178"/>
        <v>20254RMB</v>
      </c>
      <c r="AR3917" s="206" t="str">
        <f t="shared" si="1179"/>
        <v>YAMAHA_Non_Mounter</v>
      </c>
      <c r="AS3917" s="22">
        <f t="shared" si="1180"/>
        <v>3</v>
      </c>
      <c r="AT3917" s="24" t="str">
        <f t="shared" si="1181"/>
        <v>0-3 months</v>
      </c>
      <c r="AU3917" s="22" t="s">
        <v>3240</v>
      </c>
    </row>
    <row r="3918" spans="1:47">
      <c r="A3918" s="33" t="str">
        <f t="shared" si="1172"/>
        <v>FY 24/25</v>
      </c>
      <c r="B3918" s="23">
        <v>2025</v>
      </c>
      <c r="C3918" s="23">
        <v>1</v>
      </c>
      <c r="D3918" s="202" t="str">
        <f t="shared" si="1183"/>
        <v>Q4</v>
      </c>
      <c r="E3918" s="33" t="str">
        <f t="shared" si="1171"/>
        <v>FY 25/26</v>
      </c>
      <c r="F3918" s="23">
        <v>2025</v>
      </c>
      <c r="G3918" s="23">
        <v>4</v>
      </c>
      <c r="H3918" s="29"/>
      <c r="I3918" s="204" t="str">
        <f t="shared" si="1173"/>
        <v>Q1</v>
      </c>
      <c r="J3918" s="188" t="s">
        <v>3687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182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185"/>
        <v>1.13</v>
      </c>
      <c r="Z3918" s="196">
        <f t="shared" si="1184"/>
        <v>450000</v>
      </c>
      <c r="AA3918" s="22">
        <v>1.0720000000000001</v>
      </c>
      <c r="AB3918" s="197">
        <f t="shared" si="1170"/>
        <v>426902.6548672567</v>
      </c>
      <c r="AC3918" s="198">
        <f t="shared" si="1174"/>
        <v>51228.318584070803</v>
      </c>
      <c r="AD3918" s="169">
        <v>0.12</v>
      </c>
      <c r="AE3918" s="199">
        <f t="shared" si="1175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4"/>
        <v>32703423.380530968</v>
      </c>
      <c r="AJ3918" s="200">
        <f t="shared" si="1195"/>
        <v>3885921.2623008853</v>
      </c>
      <c r="AK3918" s="201">
        <f t="shared" si="1176"/>
        <v>0.118823072957379</v>
      </c>
      <c r="AL3918" s="24"/>
      <c r="AM3918" s="24"/>
      <c r="AN3918" s="24"/>
      <c r="AO3918" s="24"/>
      <c r="AP3918" s="165" t="str">
        <f t="shared" si="1177"/>
        <v>20254</v>
      </c>
      <c r="AQ3918" s="203" t="str">
        <f t="shared" si="1178"/>
        <v>20254RMB</v>
      </c>
      <c r="AR3918" s="206" t="str">
        <f t="shared" si="1179"/>
        <v>YAMAHA_Non_Mounter</v>
      </c>
      <c r="AS3918" s="22">
        <f t="shared" si="1180"/>
        <v>3</v>
      </c>
      <c r="AT3918" s="24" t="str">
        <f t="shared" si="1181"/>
        <v>0-3 months</v>
      </c>
      <c r="AU3918" s="22" t="s">
        <v>3240</v>
      </c>
    </row>
    <row r="3919" spans="1:47">
      <c r="A3919" s="33" t="str">
        <f t="shared" si="1172"/>
        <v>FY 24/25</v>
      </c>
      <c r="B3919" s="23">
        <v>2025</v>
      </c>
      <c r="C3919" s="23">
        <v>1</v>
      </c>
      <c r="D3919" s="202" t="str">
        <f t="shared" si="1183"/>
        <v>Q4</v>
      </c>
      <c r="E3919" s="33" t="str">
        <f t="shared" si="1171"/>
        <v>FY 24/25</v>
      </c>
      <c r="F3919" s="23">
        <v>2025</v>
      </c>
      <c r="G3919" s="23">
        <v>3</v>
      </c>
      <c r="H3919" s="29"/>
      <c r="I3919" s="204" t="str">
        <f t="shared" si="1173"/>
        <v>Q4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182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185"/>
        <v>1</v>
      </c>
      <c r="Z3919" s="196">
        <f t="shared" si="1184"/>
        <v>96900</v>
      </c>
      <c r="AA3919" s="22">
        <v>7.8</v>
      </c>
      <c r="AB3919" s="197">
        <f t="shared" si="1170"/>
        <v>755820</v>
      </c>
      <c r="AC3919" s="198">
        <f t="shared" si="1174"/>
        <v>98105.436000000002</v>
      </c>
      <c r="AD3919" s="169">
        <v>0.1298</v>
      </c>
      <c r="AE3919" s="199">
        <f t="shared" si="1175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4"/>
        <v>18296867.955752224</v>
      </c>
      <c r="AJ3919" s="200">
        <f t="shared" si="1195"/>
        <v>2173426.9949823013</v>
      </c>
      <c r="AK3919" s="201">
        <f t="shared" si="1176"/>
        <v>0.11878683281960357</v>
      </c>
      <c r="AL3919" s="24"/>
      <c r="AM3919" s="24"/>
      <c r="AN3919" s="24"/>
      <c r="AO3919" s="24"/>
      <c r="AP3919" s="165" t="str">
        <f t="shared" si="1177"/>
        <v>20253</v>
      </c>
      <c r="AQ3919" s="203" t="str">
        <f t="shared" si="1178"/>
        <v>20253USD</v>
      </c>
      <c r="AR3919" s="206" t="str">
        <f t="shared" si="1179"/>
        <v>HELLER</v>
      </c>
      <c r="AS3919" s="22">
        <f t="shared" si="1180"/>
        <v>2</v>
      </c>
      <c r="AT3919" s="24" t="str">
        <f t="shared" si="1181"/>
        <v>0-3 months</v>
      </c>
      <c r="AU3919" s="22" t="s">
        <v>3240</v>
      </c>
    </row>
    <row r="3920" spans="1:47" ht="39.6">
      <c r="A3920" s="33" t="str">
        <f t="shared" si="1172"/>
        <v/>
      </c>
      <c r="B3920" s="23"/>
      <c r="C3920" s="23"/>
      <c r="D3920" s="202" t="str">
        <f t="shared" si="1183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173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182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185"/>
        <v/>
      </c>
      <c r="Z3920" s="196" t="str">
        <f t="shared" si="1184"/>
        <v/>
      </c>
      <c r="AA3920" s="22"/>
      <c r="AB3920" s="197">
        <v>3000</v>
      </c>
      <c r="AC3920" s="198">
        <f t="shared" si="1174"/>
        <v>900</v>
      </c>
      <c r="AD3920" s="162">
        <v>0.3</v>
      </c>
      <c r="AE3920" s="199">
        <f t="shared" si="1175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4"/>
        <v>16190947.162761064</v>
      </c>
      <c r="AJ3920" s="200">
        <f t="shared" si="1195"/>
        <v>2256328.1660673413</v>
      </c>
      <c r="AK3920" s="201">
        <f t="shared" si="1176"/>
        <v>0.13935739171929745</v>
      </c>
      <c r="AL3920" s="24"/>
      <c r="AM3920" s="24"/>
      <c r="AN3920" s="24"/>
      <c r="AO3920" s="24"/>
      <c r="AP3920" s="165" t="str">
        <f t="shared" si="1177"/>
        <v>20251</v>
      </c>
      <c r="AQ3920" s="203" t="str">
        <f t="shared" si="1178"/>
        <v/>
      </c>
      <c r="AR3920" s="206" t="str">
        <f t="shared" si="1179"/>
        <v>C66 SERVICE</v>
      </c>
      <c r="AS3920" s="22" t="str">
        <f t="shared" si="1180"/>
        <v/>
      </c>
      <c r="AT3920" s="24" t="str">
        <f t="shared" si="1181"/>
        <v/>
      </c>
      <c r="AU3920" s="22">
        <v>0</v>
      </c>
    </row>
    <row r="3921" spans="1:47" ht="39.6">
      <c r="A3921" s="33" t="str">
        <f t="shared" si="1172"/>
        <v/>
      </c>
      <c r="B3921" s="23"/>
      <c r="C3921" s="23"/>
      <c r="D3921" s="202" t="str">
        <f t="shared" si="1183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173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182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185"/>
        <v/>
      </c>
      <c r="Z3921" s="196" t="str">
        <f t="shared" si="1184"/>
        <v/>
      </c>
      <c r="AA3921" s="22"/>
      <c r="AB3921" s="197">
        <v>7000</v>
      </c>
      <c r="AC3921" s="198">
        <f t="shared" si="1174"/>
        <v>2100</v>
      </c>
      <c r="AD3921" s="162">
        <v>0.3</v>
      </c>
      <c r="AE3921" s="199">
        <f t="shared" si="1175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4"/>
        <v>16190947.162761064</v>
      </c>
      <c r="AJ3921" s="200">
        <f t="shared" si="1195"/>
        <v>2256328.1660673413</v>
      </c>
      <c r="AK3921" s="201">
        <f t="shared" si="1176"/>
        <v>0.13935739171929745</v>
      </c>
      <c r="AL3921" s="24"/>
      <c r="AM3921" s="24"/>
      <c r="AN3921" s="24"/>
      <c r="AO3921" s="24"/>
      <c r="AP3921" s="165" t="str">
        <f t="shared" si="1177"/>
        <v>20251</v>
      </c>
      <c r="AQ3921" s="203" t="str">
        <f t="shared" si="1178"/>
        <v/>
      </c>
      <c r="AR3921" s="206" t="str">
        <f t="shared" si="1179"/>
        <v>C66 SERVICE</v>
      </c>
      <c r="AS3921" s="22" t="str">
        <f t="shared" si="1180"/>
        <v/>
      </c>
      <c r="AT3921" s="24" t="str">
        <f t="shared" si="1181"/>
        <v/>
      </c>
      <c r="AU3921" s="22">
        <v>0</v>
      </c>
    </row>
    <row r="3922" spans="1:47" ht="39.6">
      <c r="A3922" s="33" t="str">
        <f t="shared" si="1172"/>
        <v/>
      </c>
      <c r="B3922" s="23"/>
      <c r="C3922" s="23"/>
      <c r="D3922" s="202" t="str">
        <f t="shared" si="1183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173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182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185"/>
        <v/>
      </c>
      <c r="Z3922" s="196" t="str">
        <f t="shared" si="1184"/>
        <v/>
      </c>
      <c r="AA3922" s="22"/>
      <c r="AB3922" s="197">
        <v>34000</v>
      </c>
      <c r="AC3922" s="198">
        <f t="shared" si="1174"/>
        <v>10200</v>
      </c>
      <c r="AD3922" s="162">
        <v>0.3</v>
      </c>
      <c r="AE3922" s="199">
        <f t="shared" si="1175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4"/>
        <v>16190947.162761064</v>
      </c>
      <c r="AJ3922" s="200">
        <f t="shared" si="1195"/>
        <v>2256328.1660673413</v>
      </c>
      <c r="AK3922" s="201">
        <f t="shared" si="1176"/>
        <v>0.13935739171929745</v>
      </c>
      <c r="AL3922" s="24"/>
      <c r="AM3922" s="24"/>
      <c r="AN3922" s="24"/>
      <c r="AO3922" s="24"/>
      <c r="AP3922" s="165" t="str">
        <f t="shared" si="1177"/>
        <v>20251</v>
      </c>
      <c r="AQ3922" s="203" t="str">
        <f t="shared" si="1178"/>
        <v/>
      </c>
      <c r="AR3922" s="206" t="str">
        <f t="shared" si="1179"/>
        <v>C66 SERVICE</v>
      </c>
      <c r="AS3922" s="22" t="str">
        <f t="shared" si="1180"/>
        <v/>
      </c>
      <c r="AT3922" s="24" t="str">
        <f t="shared" si="1181"/>
        <v/>
      </c>
      <c r="AU3922" s="22">
        <v>0</v>
      </c>
    </row>
    <row r="3923" spans="1:47" ht="39.6">
      <c r="A3923" s="33" t="str">
        <f t="shared" si="1172"/>
        <v/>
      </c>
      <c r="B3923" s="23"/>
      <c r="C3923" s="23"/>
      <c r="D3923" s="202" t="str">
        <f t="shared" si="1183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173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182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185"/>
        <v/>
      </c>
      <c r="Z3923" s="196" t="str">
        <f t="shared" si="1184"/>
        <v/>
      </c>
      <c r="AA3923" s="22"/>
      <c r="AB3923" s="197">
        <v>120000</v>
      </c>
      <c r="AC3923" s="198">
        <f t="shared" si="1174"/>
        <v>36000</v>
      </c>
      <c r="AD3923" s="162">
        <v>0.3</v>
      </c>
      <c r="AE3923" s="199">
        <f t="shared" si="1175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4"/>
        <v>16190947.162761064</v>
      </c>
      <c r="AJ3923" s="200">
        <f t="shared" si="1195"/>
        <v>2256328.1660673413</v>
      </c>
      <c r="AK3923" s="201">
        <f t="shared" si="1176"/>
        <v>0.13935739171929745</v>
      </c>
      <c r="AL3923" s="24"/>
      <c r="AM3923" s="24"/>
      <c r="AN3923" s="24"/>
      <c r="AO3923" s="24"/>
      <c r="AP3923" s="165" t="str">
        <f t="shared" si="1177"/>
        <v>20251</v>
      </c>
      <c r="AQ3923" s="203" t="str">
        <f t="shared" si="1178"/>
        <v/>
      </c>
      <c r="AR3923" s="206" t="str">
        <f t="shared" si="1179"/>
        <v>C66 SERVICE</v>
      </c>
      <c r="AS3923" s="22" t="str">
        <f t="shared" si="1180"/>
        <v/>
      </c>
      <c r="AT3923" s="24" t="str">
        <f t="shared" si="1181"/>
        <v/>
      </c>
      <c r="AU3923" s="22">
        <v>0</v>
      </c>
    </row>
    <row r="3924" spans="1:47">
      <c r="A3924" s="33" t="str">
        <f t="shared" si="1172"/>
        <v>FY 24/25</v>
      </c>
      <c r="B3924" s="23">
        <v>2025</v>
      </c>
      <c r="C3924" s="23">
        <v>1</v>
      </c>
      <c r="D3924" s="202" t="str">
        <f t="shared" si="1183"/>
        <v>Q4</v>
      </c>
      <c r="E3924" s="33" t="str">
        <f t="shared" si="1171"/>
        <v>FY 24/25</v>
      </c>
      <c r="F3924" s="23">
        <v>2025</v>
      </c>
      <c r="G3924" s="23">
        <v>3</v>
      </c>
      <c r="H3924" s="29"/>
      <c r="I3924" s="204" t="str">
        <f t="shared" si="1173"/>
        <v>Q4</v>
      </c>
      <c r="J3924" s="188" t="s">
        <v>3688</v>
      </c>
      <c r="K3924" s="29" t="s">
        <v>3689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182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185"/>
        <v>1.13</v>
      </c>
      <c r="Z3924" s="196">
        <f t="shared" si="1184"/>
        <v>750000</v>
      </c>
      <c r="AA3924" s="22">
        <v>1.0669999999999999</v>
      </c>
      <c r="AB3924" s="197">
        <f t="shared" ref="AB3924:AB3985" si="1196">IF(AND(R3924&lt;&gt;"C66",R3924&lt;&gt;""),Z3924/Y3924*AA3924,"")</f>
        <v>708185.84070796473</v>
      </c>
      <c r="AC3924" s="198">
        <f t="shared" si="1174"/>
        <v>61895.442477876124</v>
      </c>
      <c r="AD3924" s="169">
        <v>8.7400000000000005E-2</v>
      </c>
      <c r="AE3924" s="199">
        <f t="shared" si="1175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4"/>
        <v>18296867.955752224</v>
      </c>
      <c r="AJ3924" s="200">
        <f t="shared" si="1195"/>
        <v>2173426.9949823013</v>
      </c>
      <c r="AK3924" s="201">
        <f t="shared" si="1176"/>
        <v>0.11878683281960357</v>
      </c>
      <c r="AL3924" s="24"/>
      <c r="AM3924" s="24"/>
      <c r="AN3924" s="24"/>
      <c r="AO3924" s="24"/>
      <c r="AP3924" s="165" t="str">
        <f t="shared" si="1177"/>
        <v>20253</v>
      </c>
      <c r="AQ3924" s="203" t="str">
        <f t="shared" si="1178"/>
        <v>20253RMB</v>
      </c>
      <c r="AR3924" s="206" t="str">
        <f t="shared" si="1179"/>
        <v>YAMAHA_Mounter</v>
      </c>
      <c r="AS3924" s="22">
        <f t="shared" si="1180"/>
        <v>2</v>
      </c>
      <c r="AT3924" s="24" t="str">
        <f t="shared" si="1181"/>
        <v>0-3 months</v>
      </c>
      <c r="AU3924" s="22" t="s">
        <v>3240</v>
      </c>
    </row>
    <row r="3925" spans="1:47">
      <c r="A3925" s="33" t="str">
        <f t="shared" si="1172"/>
        <v>FY 24/25</v>
      </c>
      <c r="B3925" s="23">
        <v>2025</v>
      </c>
      <c r="C3925" s="23">
        <v>1</v>
      </c>
      <c r="D3925" s="202" t="str">
        <f t="shared" si="1183"/>
        <v>Q4</v>
      </c>
      <c r="E3925" s="33" t="str">
        <f t="shared" si="1171"/>
        <v>FY 24/25</v>
      </c>
      <c r="F3925" s="23">
        <v>2025</v>
      </c>
      <c r="G3925" s="23">
        <v>3</v>
      </c>
      <c r="H3925" s="29"/>
      <c r="I3925" s="204" t="str">
        <f t="shared" si="1173"/>
        <v>Q4</v>
      </c>
      <c r="J3925" s="188" t="s">
        <v>3688</v>
      </c>
      <c r="K3925" s="29" t="s">
        <v>3689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182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185"/>
        <v>1.13</v>
      </c>
      <c r="Z3925" s="196">
        <f t="shared" si="1184"/>
        <v>620000</v>
      </c>
      <c r="AA3925" s="22">
        <v>1.0669999999999999</v>
      </c>
      <c r="AB3925" s="197">
        <f t="shared" si="1196"/>
        <v>585433.62831858417</v>
      </c>
      <c r="AC3925" s="198">
        <f t="shared" si="1174"/>
        <v>51166.89911504426</v>
      </c>
      <c r="AD3925" s="169">
        <v>8.7400000000000005E-2</v>
      </c>
      <c r="AE3925" s="199">
        <f t="shared" si="1175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4"/>
        <v>18296867.955752224</v>
      </c>
      <c r="AJ3925" s="200">
        <f t="shared" si="1195"/>
        <v>2173426.9949823013</v>
      </c>
      <c r="AK3925" s="201">
        <f t="shared" si="1176"/>
        <v>0.11878683281960357</v>
      </c>
      <c r="AL3925" s="24"/>
      <c r="AM3925" s="24"/>
      <c r="AN3925" s="24"/>
      <c r="AO3925" s="24"/>
      <c r="AP3925" s="165" t="str">
        <f t="shared" si="1177"/>
        <v>20253</v>
      </c>
      <c r="AQ3925" s="203" t="str">
        <f t="shared" si="1178"/>
        <v>20253RMB</v>
      </c>
      <c r="AR3925" s="206" t="str">
        <f t="shared" si="1179"/>
        <v>YAMAHA_Mounter</v>
      </c>
      <c r="AS3925" s="22">
        <f t="shared" si="1180"/>
        <v>2</v>
      </c>
      <c r="AT3925" s="24" t="str">
        <f t="shared" si="1181"/>
        <v>0-3 months</v>
      </c>
      <c r="AU3925" s="22" t="s">
        <v>3240</v>
      </c>
    </row>
    <row r="3926" spans="1:47">
      <c r="A3926" s="33" t="str">
        <f t="shared" si="1172"/>
        <v>FY 24/25</v>
      </c>
      <c r="B3926" s="23">
        <v>2025</v>
      </c>
      <c r="C3926" s="23">
        <v>2</v>
      </c>
      <c r="D3926" s="202" t="str">
        <f t="shared" si="1183"/>
        <v>Q4</v>
      </c>
      <c r="E3926" s="33" t="str">
        <f t="shared" si="1171"/>
        <v>FY 24/25</v>
      </c>
      <c r="F3926" s="23">
        <v>2025</v>
      </c>
      <c r="G3926" s="23">
        <v>2</v>
      </c>
      <c r="H3926" s="29"/>
      <c r="I3926" s="204" t="str">
        <f t="shared" si="1173"/>
        <v>Q4</v>
      </c>
      <c r="J3926" s="188" t="s">
        <v>3692</v>
      </c>
      <c r="K3926" s="29" t="s">
        <v>3693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182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185"/>
        <v>1.13</v>
      </c>
      <c r="Z3926" s="196">
        <f t="shared" si="1184"/>
        <v>670000</v>
      </c>
      <c r="AA3926" s="22">
        <v>1.073</v>
      </c>
      <c r="AB3926" s="197">
        <f t="shared" si="1196"/>
        <v>636203.53982300893</v>
      </c>
      <c r="AC3926" s="198">
        <f t="shared" si="1174"/>
        <v>88814.014159292055</v>
      </c>
      <c r="AD3926" s="170">
        <v>0.1396</v>
      </c>
      <c r="AE3926" s="199">
        <f t="shared" si="1175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4"/>
        <v>30691842.970796466</v>
      </c>
      <c r="AJ3926" s="200">
        <f t="shared" si="1195"/>
        <v>4088324.205777524</v>
      </c>
      <c r="AK3926" s="201">
        <f t="shared" si="1176"/>
        <v>0.1332055624573473</v>
      </c>
      <c r="AL3926" s="24"/>
      <c r="AM3926" s="24"/>
      <c r="AN3926" s="24"/>
      <c r="AO3926" s="24"/>
      <c r="AP3926" s="165" t="str">
        <f t="shared" si="1177"/>
        <v>20252</v>
      </c>
      <c r="AQ3926" s="203" t="str">
        <f t="shared" si="1178"/>
        <v>20252RMB</v>
      </c>
      <c r="AR3926" s="206" t="str">
        <f t="shared" si="1179"/>
        <v>YAMAHA_Mounter</v>
      </c>
      <c r="AS3926" s="22">
        <f t="shared" si="1180"/>
        <v>0</v>
      </c>
      <c r="AT3926" s="24" t="str">
        <f t="shared" si="1181"/>
        <v>0-3 months</v>
      </c>
      <c r="AU3926" s="22" t="s">
        <v>3750</v>
      </c>
    </row>
    <row r="3927" spans="1:47">
      <c r="A3927" s="33" t="str">
        <f t="shared" si="1172"/>
        <v>FY 24/25</v>
      </c>
      <c r="B3927" s="23">
        <v>2025</v>
      </c>
      <c r="C3927" s="23">
        <v>2</v>
      </c>
      <c r="D3927" s="202" t="str">
        <f t="shared" si="1183"/>
        <v>Q4</v>
      </c>
      <c r="E3927" s="33" t="str">
        <f t="shared" si="1171"/>
        <v>FY 25/26</v>
      </c>
      <c r="F3927" s="23">
        <v>2025</v>
      </c>
      <c r="G3927" s="23">
        <v>5</v>
      </c>
      <c r="H3927" s="29"/>
      <c r="I3927" s="204" t="str">
        <f t="shared" si="1173"/>
        <v>Q1</v>
      </c>
      <c r="J3927" s="188" t="s">
        <v>3694</v>
      </c>
      <c r="K3927" s="29" t="s">
        <v>3695</v>
      </c>
      <c r="L3927" s="24" t="s">
        <v>3698</v>
      </c>
      <c r="M3927" s="13" t="s">
        <v>60</v>
      </c>
      <c r="N3927" s="22">
        <v>1</v>
      </c>
      <c r="O3927" s="22"/>
      <c r="P3927" s="202" t="str">
        <f t="shared" si="1182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185"/>
        <v>1</v>
      </c>
      <c r="Z3927" s="196">
        <f t="shared" si="1184"/>
        <v>29837877</v>
      </c>
      <c r="AA3927" s="22">
        <v>5.3100000000000001E-2</v>
      </c>
      <c r="AB3927" s="197">
        <f t="shared" si="1196"/>
        <v>1584391.2687000001</v>
      </c>
      <c r="AC3927" s="198">
        <f t="shared" si="1174"/>
        <v>190126.95224400001</v>
      </c>
      <c r="AD3927" s="169">
        <v>0.12</v>
      </c>
      <c r="AE3927" s="199">
        <f t="shared" si="1175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4"/>
        <v>25644924.956447776</v>
      </c>
      <c r="AJ3927" s="200">
        <f t="shared" si="1195"/>
        <v>3058146.223092318</v>
      </c>
      <c r="AK3927" s="201">
        <f t="shared" si="1176"/>
        <v>0.11924956802509276</v>
      </c>
      <c r="AL3927" s="24"/>
      <c r="AM3927" s="24"/>
      <c r="AN3927" s="24"/>
      <c r="AO3927" s="24"/>
      <c r="AP3927" s="165" t="str">
        <f t="shared" si="1177"/>
        <v>20255</v>
      </c>
      <c r="AQ3927" s="203" t="str">
        <f t="shared" si="1178"/>
        <v>20255JPY</v>
      </c>
      <c r="AR3927" s="206" t="str">
        <f t="shared" si="1179"/>
        <v>YAMAHA_Mounter</v>
      </c>
      <c r="AS3927" s="22">
        <f t="shared" si="1180"/>
        <v>3</v>
      </c>
      <c r="AT3927" s="24" t="str">
        <f t="shared" si="1181"/>
        <v>0-3 months</v>
      </c>
      <c r="AU3927" s="22" t="s">
        <v>3744</v>
      </c>
    </row>
    <row r="3928" spans="1:47">
      <c r="A3928" s="33" t="str">
        <f t="shared" si="1172"/>
        <v>FY 24/25</v>
      </c>
      <c r="B3928" s="23">
        <v>2025</v>
      </c>
      <c r="C3928" s="23">
        <v>2</v>
      </c>
      <c r="D3928" s="202" t="str">
        <f t="shared" si="1183"/>
        <v>Q4</v>
      </c>
      <c r="E3928" s="33" t="str">
        <f t="shared" ref="E3928:E3991" si="1197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3"/>
        <v>Q1</v>
      </c>
      <c r="J3928" s="188" t="s">
        <v>3694</v>
      </c>
      <c r="K3928" s="29" t="s">
        <v>3695</v>
      </c>
      <c r="L3928" s="24" t="s">
        <v>3698</v>
      </c>
      <c r="M3928" s="13" t="s">
        <v>60</v>
      </c>
      <c r="N3928" s="22">
        <v>1</v>
      </c>
      <c r="O3928" s="22"/>
      <c r="P3928" s="202" t="str">
        <f t="shared" si="1182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185"/>
        <v>1</v>
      </c>
      <c r="Z3928" s="196">
        <f t="shared" si="1184"/>
        <v>29837877</v>
      </c>
      <c r="AA3928" s="22">
        <v>5.3100000000000001E-2</v>
      </c>
      <c r="AB3928" s="197">
        <f t="shared" si="1196"/>
        <v>1584391.2687000001</v>
      </c>
      <c r="AC3928" s="198">
        <f t="shared" si="1174"/>
        <v>190126.95224400001</v>
      </c>
      <c r="AD3928" s="169">
        <v>0.12</v>
      </c>
      <c r="AE3928" s="199">
        <f t="shared" si="1175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4"/>
        <v>25644924.956447776</v>
      </c>
      <c r="AJ3928" s="200">
        <f t="shared" si="1195"/>
        <v>3058146.223092318</v>
      </c>
      <c r="AK3928" s="201">
        <f t="shared" si="1176"/>
        <v>0.11924956802509276</v>
      </c>
      <c r="AL3928" s="24"/>
      <c r="AM3928" s="24"/>
      <c r="AN3928" s="24"/>
      <c r="AO3928" s="24"/>
      <c r="AP3928" s="165" t="str">
        <f t="shared" si="1177"/>
        <v>20255</v>
      </c>
      <c r="AQ3928" s="203" t="str">
        <f t="shared" si="1178"/>
        <v>20255JPY</v>
      </c>
      <c r="AR3928" s="206" t="str">
        <f t="shared" si="1179"/>
        <v>YAMAHA_Mounter</v>
      </c>
      <c r="AS3928" s="22">
        <f t="shared" si="1180"/>
        <v>3</v>
      </c>
      <c r="AT3928" s="24" t="str">
        <f t="shared" si="1181"/>
        <v>0-3 months</v>
      </c>
      <c r="AU3928" s="22" t="s">
        <v>3744</v>
      </c>
    </row>
    <row r="3929" spans="1:47">
      <c r="A3929" s="33" t="str">
        <f t="shared" si="1172"/>
        <v>FY 24/25</v>
      </c>
      <c r="B3929" s="23">
        <v>2025</v>
      </c>
      <c r="C3929" s="23">
        <v>2</v>
      </c>
      <c r="D3929" s="202" t="str">
        <f t="shared" si="1183"/>
        <v>Q4</v>
      </c>
      <c r="E3929" s="33" t="str">
        <f t="shared" si="1197"/>
        <v>FY 25/26</v>
      </c>
      <c r="F3929" s="23">
        <v>2025</v>
      </c>
      <c r="G3929" s="23">
        <v>5</v>
      </c>
      <c r="H3929" s="29"/>
      <c r="I3929" s="204" t="str">
        <f t="shared" si="1173"/>
        <v>Q1</v>
      </c>
      <c r="J3929" s="188" t="s">
        <v>3694</v>
      </c>
      <c r="K3929" s="29" t="s">
        <v>3695</v>
      </c>
      <c r="L3929" s="24" t="s">
        <v>3698</v>
      </c>
      <c r="M3929" s="13" t="s">
        <v>60</v>
      </c>
      <c r="N3929" s="22">
        <v>1</v>
      </c>
      <c r="O3929" s="22"/>
      <c r="P3929" s="202" t="str">
        <f t="shared" si="1182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185"/>
        <v>1</v>
      </c>
      <c r="Z3929" s="196">
        <f t="shared" si="1184"/>
        <v>29837877</v>
      </c>
      <c r="AA3929" s="22">
        <v>5.3100000000000001E-2</v>
      </c>
      <c r="AB3929" s="197">
        <f t="shared" si="1196"/>
        <v>1584391.2687000001</v>
      </c>
      <c r="AC3929" s="198">
        <f t="shared" si="1174"/>
        <v>190126.95224400001</v>
      </c>
      <c r="AD3929" s="169">
        <v>0.12</v>
      </c>
      <c r="AE3929" s="199">
        <f t="shared" si="1175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4"/>
        <v>25644924.956447776</v>
      </c>
      <c r="AJ3929" s="200">
        <f t="shared" si="1195"/>
        <v>3058146.223092318</v>
      </c>
      <c r="AK3929" s="201">
        <f t="shared" si="1176"/>
        <v>0.11924956802509276</v>
      </c>
      <c r="AL3929" s="24"/>
      <c r="AM3929" s="24"/>
      <c r="AN3929" s="24"/>
      <c r="AO3929" s="24"/>
      <c r="AP3929" s="165" t="str">
        <f t="shared" si="1177"/>
        <v>20255</v>
      </c>
      <c r="AQ3929" s="203" t="str">
        <f t="shared" si="1178"/>
        <v>20255JPY</v>
      </c>
      <c r="AR3929" s="206" t="str">
        <f t="shared" si="1179"/>
        <v>YAMAHA_Mounter</v>
      </c>
      <c r="AS3929" s="22">
        <f t="shared" si="1180"/>
        <v>3</v>
      </c>
      <c r="AT3929" s="24" t="str">
        <f t="shared" si="1181"/>
        <v>0-3 months</v>
      </c>
      <c r="AU3929" s="22" t="s">
        <v>3744</v>
      </c>
    </row>
    <row r="3930" spans="1:47">
      <c r="A3930" s="33" t="str">
        <f t="shared" si="1172"/>
        <v>FY 24/25</v>
      </c>
      <c r="B3930" s="23">
        <v>2025</v>
      </c>
      <c r="C3930" s="23">
        <v>2</v>
      </c>
      <c r="D3930" s="202" t="str">
        <f t="shared" si="1183"/>
        <v>Q4</v>
      </c>
      <c r="E3930" s="33" t="str">
        <f t="shared" si="1197"/>
        <v>FY 25/26</v>
      </c>
      <c r="F3930" s="23">
        <v>2025</v>
      </c>
      <c r="G3930" s="23">
        <v>5</v>
      </c>
      <c r="H3930" s="29"/>
      <c r="I3930" s="204" t="str">
        <f t="shared" si="1173"/>
        <v>Q1</v>
      </c>
      <c r="J3930" s="188" t="s">
        <v>3694</v>
      </c>
      <c r="K3930" s="29" t="s">
        <v>3695</v>
      </c>
      <c r="L3930" s="24" t="s">
        <v>3698</v>
      </c>
      <c r="M3930" s="13" t="s">
        <v>60</v>
      </c>
      <c r="N3930" s="22">
        <v>1</v>
      </c>
      <c r="O3930" s="22"/>
      <c r="P3930" s="202" t="str">
        <f t="shared" si="1182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185"/>
        <v>1</v>
      </c>
      <c r="Z3930" s="196">
        <f t="shared" si="1184"/>
        <v>29837877</v>
      </c>
      <c r="AA3930" s="22">
        <v>5.3100000000000001E-2</v>
      </c>
      <c r="AB3930" s="197">
        <f t="shared" si="1196"/>
        <v>1584391.2687000001</v>
      </c>
      <c r="AC3930" s="198">
        <f t="shared" si="1174"/>
        <v>190126.95224400001</v>
      </c>
      <c r="AD3930" s="169">
        <v>0.12</v>
      </c>
      <c r="AE3930" s="199">
        <f t="shared" si="1175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4"/>
        <v>25644924.956447776</v>
      </c>
      <c r="AJ3930" s="200">
        <f t="shared" si="1195"/>
        <v>3058146.223092318</v>
      </c>
      <c r="AK3930" s="201">
        <f t="shared" si="1176"/>
        <v>0.11924956802509276</v>
      </c>
      <c r="AL3930" s="24"/>
      <c r="AM3930" s="24"/>
      <c r="AN3930" s="24"/>
      <c r="AO3930" s="24"/>
      <c r="AP3930" s="165" t="str">
        <f t="shared" si="1177"/>
        <v>20255</v>
      </c>
      <c r="AQ3930" s="203" t="str">
        <f t="shared" si="1178"/>
        <v>20255JPY</v>
      </c>
      <c r="AR3930" s="206" t="str">
        <f t="shared" si="1179"/>
        <v>YAMAHA_Mounter</v>
      </c>
      <c r="AS3930" s="22">
        <f t="shared" si="1180"/>
        <v>3</v>
      </c>
      <c r="AT3930" s="24" t="str">
        <f t="shared" si="1181"/>
        <v>0-3 months</v>
      </c>
      <c r="AU3930" s="22" t="s">
        <v>3744</v>
      </c>
    </row>
    <row r="3931" spans="1:47">
      <c r="A3931" s="33" t="str">
        <f t="shared" si="1172"/>
        <v>FY 24/25</v>
      </c>
      <c r="B3931" s="23">
        <v>2025</v>
      </c>
      <c r="C3931" s="23">
        <v>2</v>
      </c>
      <c r="D3931" s="202" t="str">
        <f t="shared" si="1183"/>
        <v>Q4</v>
      </c>
      <c r="E3931" s="33" t="str">
        <f t="shared" si="1197"/>
        <v>FY 25/26</v>
      </c>
      <c r="F3931" s="23">
        <v>2025</v>
      </c>
      <c r="G3931" s="23">
        <v>5</v>
      </c>
      <c r="H3931" s="29"/>
      <c r="I3931" s="204" t="str">
        <f t="shared" si="1173"/>
        <v>Q1</v>
      </c>
      <c r="J3931" s="188" t="s">
        <v>3694</v>
      </c>
      <c r="K3931" s="29" t="s">
        <v>3695</v>
      </c>
      <c r="L3931" s="24" t="s">
        <v>3698</v>
      </c>
      <c r="M3931" s="13" t="s">
        <v>60</v>
      </c>
      <c r="N3931" s="22">
        <v>1</v>
      </c>
      <c r="O3931" s="22"/>
      <c r="P3931" s="202" t="str">
        <f t="shared" si="1182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185"/>
        <v>1</v>
      </c>
      <c r="Z3931" s="196">
        <f t="shared" si="1184"/>
        <v>29837877</v>
      </c>
      <c r="AA3931" s="22">
        <v>5.3100000000000001E-2</v>
      </c>
      <c r="AB3931" s="197">
        <f t="shared" si="1196"/>
        <v>1584391.2687000001</v>
      </c>
      <c r="AC3931" s="198">
        <f t="shared" si="1174"/>
        <v>190126.95224400001</v>
      </c>
      <c r="AD3931" s="169">
        <v>0.12</v>
      </c>
      <c r="AE3931" s="199">
        <f t="shared" si="1175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4"/>
        <v>25644924.956447776</v>
      </c>
      <c r="AJ3931" s="200">
        <f t="shared" si="1195"/>
        <v>3058146.223092318</v>
      </c>
      <c r="AK3931" s="201">
        <f t="shared" si="1176"/>
        <v>0.11924956802509276</v>
      </c>
      <c r="AL3931" s="24"/>
      <c r="AM3931" s="24"/>
      <c r="AN3931" s="24"/>
      <c r="AO3931" s="24"/>
      <c r="AP3931" s="165" t="str">
        <f t="shared" si="1177"/>
        <v>20255</v>
      </c>
      <c r="AQ3931" s="203" t="str">
        <f t="shared" si="1178"/>
        <v>20255JPY</v>
      </c>
      <c r="AR3931" s="206" t="str">
        <f t="shared" si="1179"/>
        <v>YAMAHA_Mounter</v>
      </c>
      <c r="AS3931" s="22">
        <f t="shared" si="1180"/>
        <v>3</v>
      </c>
      <c r="AT3931" s="24" t="str">
        <f t="shared" si="1181"/>
        <v>0-3 months</v>
      </c>
      <c r="AU3931" s="22" t="s">
        <v>3744</v>
      </c>
    </row>
    <row r="3932" spans="1:47">
      <c r="A3932" s="33" t="str">
        <f t="shared" si="1172"/>
        <v>FY 24/25</v>
      </c>
      <c r="B3932" s="23">
        <v>2025</v>
      </c>
      <c r="C3932" s="23">
        <v>2</v>
      </c>
      <c r="D3932" s="202" t="str">
        <f t="shared" si="1183"/>
        <v>Q4</v>
      </c>
      <c r="E3932" s="33" t="str">
        <f t="shared" si="1197"/>
        <v>FY 25/26</v>
      </c>
      <c r="F3932" s="23">
        <v>2025</v>
      </c>
      <c r="G3932" s="23">
        <v>5</v>
      </c>
      <c r="H3932" s="29"/>
      <c r="I3932" s="204" t="str">
        <f t="shared" si="1173"/>
        <v>Q1</v>
      </c>
      <c r="J3932" s="188" t="s">
        <v>3694</v>
      </c>
      <c r="K3932" s="29" t="s">
        <v>3695</v>
      </c>
      <c r="L3932" s="24" t="s">
        <v>3698</v>
      </c>
      <c r="M3932" s="13" t="s">
        <v>60</v>
      </c>
      <c r="N3932" s="22">
        <v>1</v>
      </c>
      <c r="O3932" s="22"/>
      <c r="P3932" s="202" t="str">
        <f t="shared" si="1182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185"/>
        <v>1</v>
      </c>
      <c r="Z3932" s="196">
        <f t="shared" si="1184"/>
        <v>29837877</v>
      </c>
      <c r="AA3932" s="22">
        <v>5.3100000000000001E-2</v>
      </c>
      <c r="AB3932" s="197">
        <f t="shared" si="1196"/>
        <v>1584391.2687000001</v>
      </c>
      <c r="AC3932" s="198">
        <f t="shared" si="1174"/>
        <v>190126.95224400001</v>
      </c>
      <c r="AD3932" s="169">
        <v>0.12</v>
      </c>
      <c r="AE3932" s="199">
        <f t="shared" si="1175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4"/>
        <v>25644924.956447776</v>
      </c>
      <c r="AJ3932" s="200">
        <f t="shared" si="1195"/>
        <v>3058146.223092318</v>
      </c>
      <c r="AK3932" s="201">
        <f t="shared" si="1176"/>
        <v>0.11924956802509276</v>
      </c>
      <c r="AL3932" s="24"/>
      <c r="AM3932" s="24"/>
      <c r="AN3932" s="24"/>
      <c r="AO3932" s="24"/>
      <c r="AP3932" s="165" t="str">
        <f t="shared" si="1177"/>
        <v>20255</v>
      </c>
      <c r="AQ3932" s="203" t="str">
        <f t="shared" si="1178"/>
        <v>20255JPY</v>
      </c>
      <c r="AR3932" s="206" t="str">
        <f t="shared" si="1179"/>
        <v>YAMAHA_Mounter</v>
      </c>
      <c r="AS3932" s="22">
        <f t="shared" si="1180"/>
        <v>3</v>
      </c>
      <c r="AT3932" s="24" t="str">
        <f t="shared" si="1181"/>
        <v>0-3 months</v>
      </c>
      <c r="AU3932" s="22" t="s">
        <v>3744</v>
      </c>
    </row>
    <row r="3933" spans="1:47">
      <c r="A3933" s="33" t="str">
        <f t="shared" si="1172"/>
        <v>FY 24/25</v>
      </c>
      <c r="B3933" s="23">
        <v>2025</v>
      </c>
      <c r="C3933" s="23">
        <v>2</v>
      </c>
      <c r="D3933" s="202" t="str">
        <f t="shared" si="1183"/>
        <v>Q4</v>
      </c>
      <c r="E3933" s="33" t="str">
        <f t="shared" si="1197"/>
        <v>FY 25/26</v>
      </c>
      <c r="F3933" s="23">
        <v>2025</v>
      </c>
      <c r="G3933" s="23">
        <v>4</v>
      </c>
      <c r="H3933" s="29"/>
      <c r="I3933" s="204" t="str">
        <f t="shared" si="1173"/>
        <v>Q1</v>
      </c>
      <c r="J3933" s="188" t="s">
        <v>3696</v>
      </c>
      <c r="K3933" s="237" t="s">
        <v>3697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182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185"/>
        <v>1.13</v>
      </c>
      <c r="Z3933" s="196">
        <f t="shared" si="1184"/>
        <v>423800</v>
      </c>
      <c r="AA3933" s="22">
        <v>1.0720000000000001</v>
      </c>
      <c r="AB3933" s="197">
        <f t="shared" si="1196"/>
        <v>402047.4336283186</v>
      </c>
      <c r="AC3933" s="198">
        <f t="shared" si="1174"/>
        <v>48245.692035398228</v>
      </c>
      <c r="AD3933" s="169">
        <v>0.12</v>
      </c>
      <c r="AE3933" s="199">
        <f t="shared" si="1175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4"/>
        <v>32703423.380530968</v>
      </c>
      <c r="AJ3933" s="200">
        <f t="shared" si="1195"/>
        <v>3885921.2623008853</v>
      </c>
      <c r="AK3933" s="201">
        <f t="shared" si="1176"/>
        <v>0.118823072957379</v>
      </c>
      <c r="AL3933" s="24"/>
      <c r="AM3933" s="24"/>
      <c r="AN3933" s="24"/>
      <c r="AO3933" s="24"/>
      <c r="AP3933" s="165" t="str">
        <f t="shared" si="1177"/>
        <v>20254</v>
      </c>
      <c r="AQ3933" s="203" t="str">
        <f t="shared" si="1178"/>
        <v>20254RMB</v>
      </c>
      <c r="AR3933" s="206" t="str">
        <f t="shared" si="1179"/>
        <v>YAMAHA_Mounter</v>
      </c>
      <c r="AS3933" s="22">
        <f t="shared" si="1180"/>
        <v>2</v>
      </c>
      <c r="AT3933" s="24" t="str">
        <f t="shared" si="1181"/>
        <v>0-3 months</v>
      </c>
      <c r="AU3933" s="22" t="s">
        <v>3240</v>
      </c>
    </row>
    <row r="3934" spans="1:47">
      <c r="A3934" s="33" t="str">
        <f t="shared" si="1172"/>
        <v>FY 24/25</v>
      </c>
      <c r="B3934" s="23">
        <v>2025</v>
      </c>
      <c r="C3934" s="23">
        <v>2</v>
      </c>
      <c r="D3934" s="202" t="str">
        <f t="shared" si="1183"/>
        <v>Q4</v>
      </c>
      <c r="E3934" s="33" t="str">
        <f t="shared" si="1197"/>
        <v>FY 25/26</v>
      </c>
      <c r="F3934" s="23">
        <v>2025</v>
      </c>
      <c r="G3934" s="23">
        <v>5</v>
      </c>
      <c r="H3934" s="29"/>
      <c r="I3934" s="204" t="str">
        <f t="shared" si="1173"/>
        <v>Q1</v>
      </c>
      <c r="J3934" s="188" t="s">
        <v>3699</v>
      </c>
      <c r="K3934" s="29" t="s">
        <v>3700</v>
      </c>
      <c r="L3934" s="24" t="s">
        <v>3698</v>
      </c>
      <c r="M3934" s="13" t="s">
        <v>60</v>
      </c>
      <c r="N3934" s="22">
        <v>1</v>
      </c>
      <c r="O3934" s="22"/>
      <c r="P3934" s="202" t="str">
        <f t="shared" si="1182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185"/>
        <v>1</v>
      </c>
      <c r="Z3934" s="196">
        <f t="shared" si="1184"/>
        <v>15000000</v>
      </c>
      <c r="AA3934" s="22">
        <v>5.3100000000000001E-2</v>
      </c>
      <c r="AB3934" s="197">
        <f t="shared" si="1196"/>
        <v>796500</v>
      </c>
      <c r="AC3934" s="198">
        <f t="shared" si="1174"/>
        <v>95580</v>
      </c>
      <c r="AD3934" s="169">
        <v>0.12</v>
      </c>
      <c r="AE3934" s="199">
        <f t="shared" si="1175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4"/>
        <v>25644924.956447776</v>
      </c>
      <c r="AJ3934" s="200">
        <f t="shared" si="1195"/>
        <v>3058146.223092318</v>
      </c>
      <c r="AK3934" s="201">
        <f t="shared" si="1176"/>
        <v>0.11924956802509276</v>
      </c>
      <c r="AL3934" s="24"/>
      <c r="AM3934" s="24"/>
      <c r="AN3934" s="24"/>
      <c r="AO3934" s="24"/>
      <c r="AP3934" s="165" t="str">
        <f t="shared" si="1177"/>
        <v>20255</v>
      </c>
      <c r="AQ3934" s="203" t="str">
        <f t="shared" si="1178"/>
        <v>20255JPY</v>
      </c>
      <c r="AR3934" s="206" t="str">
        <f t="shared" si="1179"/>
        <v>YAMAHA_Mounter</v>
      </c>
      <c r="AS3934" s="22">
        <f t="shared" si="1180"/>
        <v>3</v>
      </c>
      <c r="AT3934" s="24" t="str">
        <f t="shared" si="1181"/>
        <v>0-3 months</v>
      </c>
      <c r="AU3934" s="22" t="s">
        <v>3744</v>
      </c>
    </row>
    <row r="3935" spans="1:47">
      <c r="A3935" s="33" t="str">
        <f t="shared" si="1172"/>
        <v>FY 24/25</v>
      </c>
      <c r="B3935" s="23">
        <v>2025</v>
      </c>
      <c r="C3935" s="23">
        <v>2</v>
      </c>
      <c r="D3935" s="202" t="str">
        <f t="shared" si="1183"/>
        <v>Q4</v>
      </c>
      <c r="E3935" s="33" t="str">
        <f t="shared" si="1197"/>
        <v>FY 25/26</v>
      </c>
      <c r="F3935" s="23">
        <v>2025</v>
      </c>
      <c r="G3935" s="23">
        <v>5</v>
      </c>
      <c r="H3935" s="29"/>
      <c r="I3935" s="204" t="str">
        <f t="shared" si="1173"/>
        <v>Q1</v>
      </c>
      <c r="J3935" s="188" t="s">
        <v>3699</v>
      </c>
      <c r="K3935" s="29" t="s">
        <v>3700</v>
      </c>
      <c r="L3935" s="24" t="s">
        <v>3698</v>
      </c>
      <c r="M3935" s="13" t="s">
        <v>60</v>
      </c>
      <c r="N3935" s="22">
        <v>1</v>
      </c>
      <c r="O3935" s="22"/>
      <c r="P3935" s="202" t="str">
        <f t="shared" si="1182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185"/>
        <v>1</v>
      </c>
      <c r="Z3935" s="196">
        <f t="shared" si="1184"/>
        <v>15000000</v>
      </c>
      <c r="AA3935" s="22">
        <v>5.3100000000000001E-2</v>
      </c>
      <c r="AB3935" s="197">
        <f t="shared" si="1196"/>
        <v>796500</v>
      </c>
      <c r="AC3935" s="198">
        <f t="shared" si="1174"/>
        <v>95580</v>
      </c>
      <c r="AD3935" s="169">
        <v>0.12</v>
      </c>
      <c r="AE3935" s="199">
        <f t="shared" si="1175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4"/>
        <v>25644924.956447776</v>
      </c>
      <c r="AJ3935" s="200">
        <f t="shared" si="1195"/>
        <v>3058146.223092318</v>
      </c>
      <c r="AK3935" s="201">
        <f t="shared" si="1176"/>
        <v>0.11924956802509276</v>
      </c>
      <c r="AL3935" s="24"/>
      <c r="AM3935" s="24"/>
      <c r="AN3935" s="24"/>
      <c r="AO3935" s="24"/>
      <c r="AP3935" s="165" t="str">
        <f t="shared" si="1177"/>
        <v>20255</v>
      </c>
      <c r="AQ3935" s="203" t="str">
        <f t="shared" si="1178"/>
        <v>20255JPY</v>
      </c>
      <c r="AR3935" s="206" t="str">
        <f t="shared" si="1179"/>
        <v>YAMAHA_Mounter</v>
      </c>
      <c r="AS3935" s="22">
        <f t="shared" si="1180"/>
        <v>3</v>
      </c>
      <c r="AT3935" s="24" t="str">
        <f t="shared" si="1181"/>
        <v>0-3 months</v>
      </c>
      <c r="AU3935" s="22" t="s">
        <v>3744</v>
      </c>
    </row>
    <row r="3936" spans="1:47">
      <c r="A3936" s="33" t="str">
        <f t="shared" ref="A3936:A3999" si="1198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3"/>
        <v>Q4</v>
      </c>
      <c r="E3936" s="33" t="str">
        <f t="shared" si="1197"/>
        <v>FY 25/26</v>
      </c>
      <c r="F3936" s="23">
        <v>2025</v>
      </c>
      <c r="G3936" s="23">
        <v>5</v>
      </c>
      <c r="H3936" s="29"/>
      <c r="I3936" s="204" t="str">
        <f t="shared" ref="I3936:I3999" si="1199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3699</v>
      </c>
      <c r="K3936" s="29" t="s">
        <v>3700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182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185"/>
        <v>1</v>
      </c>
      <c r="Z3936" s="196">
        <f t="shared" si="1184"/>
        <v>8336500</v>
      </c>
      <c r="AA3936" s="22">
        <v>5.3100000000000001E-2</v>
      </c>
      <c r="AB3936" s="197">
        <f t="shared" si="1196"/>
        <v>442668.15</v>
      </c>
      <c r="AC3936" s="198">
        <f t="shared" ref="AC3936:AC3994" si="1200">IF(R3936&lt;&gt;"",AB3936*AD3936,"")</f>
        <v>53120.178</v>
      </c>
      <c r="AD3936" s="169">
        <v>0.12</v>
      </c>
      <c r="AE3936" s="199">
        <f t="shared" ref="AE3936:AE3994" si="1201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4"/>
        <v>25644924.956447776</v>
      </c>
      <c r="AJ3936" s="200">
        <f t="shared" si="1195"/>
        <v>3058146.223092318</v>
      </c>
      <c r="AK3936" s="201">
        <f t="shared" ref="AK3936:AK3994" si="1202">IF(AJ3936&gt;0,AJ3936/AI3936,"")</f>
        <v>0.11924956802509276</v>
      </c>
      <c r="AL3936" s="24"/>
      <c r="AM3936" s="24"/>
      <c r="AN3936" s="24"/>
      <c r="AO3936" s="24"/>
      <c r="AP3936" s="165" t="str">
        <f t="shared" ref="AP3936:AP3996" si="1203">IF(F3936="","",F3936&amp;G3936)</f>
        <v>20255</v>
      </c>
      <c r="AQ3936" s="203" t="str">
        <f t="shared" ref="AQ3936:AQ3996" si="1204">IF(W3936="","",F3936&amp;G3936&amp;W3936)</f>
        <v>20255JPY</v>
      </c>
      <c r="AR3936" s="206" t="str">
        <f t="shared" ref="AR3936:AR3996" si="1205">IFERROR(IF(AND(M3936="YAMAHA", R3936="C28"), "YAMAHA_Non_Mounter", IF(AND(M3936="YAMAHA", R3936="C49"), "YAMAHA_Mounter", M3936)),"")</f>
        <v>YAMAHA_Mounter</v>
      </c>
      <c r="AS3936" s="22">
        <f t="shared" ref="AS3936:AS3996" si="1206">IFERROR(IF(OR(G3936="TBA", G3936=""), "", DATEDIF(DATE(B3936, C3936, 1), DATE(F3936, G3936, 1), "M")),"")</f>
        <v>3</v>
      </c>
      <c r="AT3936" s="24" t="str">
        <f t="shared" ref="AT3936:AT3996" si="1207">IF(ISNUMBER(AS3936), IF(AS3936&gt;=0, IF(AS3936&lt;=3, "0-3 months", IF(AS3936&lt;=6, "4-6 months", "&gt; 6 months"))), "")</f>
        <v>0-3 months</v>
      </c>
      <c r="AU3936" s="22" t="s">
        <v>3744</v>
      </c>
    </row>
    <row r="3937" spans="1:47">
      <c r="A3937" s="33" t="str">
        <f t="shared" si="1198"/>
        <v>FY 24/25</v>
      </c>
      <c r="B3937" s="23">
        <v>2025</v>
      </c>
      <c r="C3937" s="23">
        <v>2</v>
      </c>
      <c r="D3937" s="202" t="str">
        <f t="shared" si="1183"/>
        <v>Q4</v>
      </c>
      <c r="E3937" s="33" t="str">
        <f t="shared" si="1197"/>
        <v>FY 25/26</v>
      </c>
      <c r="F3937" s="23">
        <v>2025</v>
      </c>
      <c r="G3937" s="23">
        <v>5</v>
      </c>
      <c r="H3937" s="29"/>
      <c r="I3937" s="204" t="str">
        <f t="shared" si="1199"/>
        <v>Q1</v>
      </c>
      <c r="J3937" s="188" t="s">
        <v>3699</v>
      </c>
      <c r="K3937" s="29" t="s">
        <v>3700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4000" si="1208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185"/>
        <v>1</v>
      </c>
      <c r="Z3937" s="196">
        <f t="shared" si="1184"/>
        <v>8336500</v>
      </c>
      <c r="AA3937" s="22">
        <v>5.3100000000000001E-2</v>
      </c>
      <c r="AB3937" s="197">
        <f t="shared" si="1196"/>
        <v>442668.15</v>
      </c>
      <c r="AC3937" s="198">
        <f t="shared" si="1200"/>
        <v>53120.178</v>
      </c>
      <c r="AD3937" s="169">
        <v>0.12</v>
      </c>
      <c r="AE3937" s="199">
        <f t="shared" si="1201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4"/>
        <v>25644924.956447776</v>
      </c>
      <c r="AJ3937" s="200">
        <f t="shared" si="1195"/>
        <v>3058146.223092318</v>
      </c>
      <c r="AK3937" s="201">
        <f t="shared" si="1202"/>
        <v>0.11924956802509276</v>
      </c>
      <c r="AL3937" s="24"/>
      <c r="AM3937" s="24"/>
      <c r="AN3937" s="24"/>
      <c r="AO3937" s="24"/>
      <c r="AP3937" s="165" t="str">
        <f t="shared" si="1203"/>
        <v>20255</v>
      </c>
      <c r="AQ3937" s="203" t="str">
        <f t="shared" si="1204"/>
        <v>20255JPY</v>
      </c>
      <c r="AR3937" s="206" t="str">
        <f t="shared" si="1205"/>
        <v>YAMAHA_Mounter</v>
      </c>
      <c r="AS3937" s="22">
        <f t="shared" si="1206"/>
        <v>3</v>
      </c>
      <c r="AT3937" s="24" t="str">
        <f t="shared" si="1207"/>
        <v>0-3 months</v>
      </c>
      <c r="AU3937" s="22" t="s">
        <v>3744</v>
      </c>
    </row>
    <row r="3938" spans="1:47">
      <c r="A3938" s="33" t="str">
        <f t="shared" si="1198"/>
        <v>FY 24/25</v>
      </c>
      <c r="B3938" s="23">
        <v>2025</v>
      </c>
      <c r="C3938" s="23">
        <v>2</v>
      </c>
      <c r="D3938" s="202" t="str">
        <f t="shared" si="1183"/>
        <v>Q4</v>
      </c>
      <c r="E3938" s="33" t="str">
        <f t="shared" si="1197"/>
        <v>FY 24/25</v>
      </c>
      <c r="F3938" s="23">
        <v>2025</v>
      </c>
      <c r="G3938" s="23">
        <v>2</v>
      </c>
      <c r="H3938" s="29"/>
      <c r="I3938" s="204" t="str">
        <f t="shared" si="1199"/>
        <v>Q4</v>
      </c>
      <c r="J3938" s="188" t="s">
        <v>3701</v>
      </c>
      <c r="K3938" s="29" t="s">
        <v>3702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208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185"/>
        <v>1</v>
      </c>
      <c r="Z3938" s="196">
        <f t="shared" si="1184"/>
        <v>11400000</v>
      </c>
      <c r="AA3938" s="22">
        <v>5.11E-2</v>
      </c>
      <c r="AB3938" s="197">
        <f t="shared" si="1196"/>
        <v>582540</v>
      </c>
      <c r="AC3938" s="198">
        <f t="shared" si="1200"/>
        <v>59710.35</v>
      </c>
      <c r="AD3938" s="170">
        <v>0.10249999999999999</v>
      </c>
      <c r="AE3938" s="199">
        <f t="shared" si="1201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4"/>
        <v>30691842.970796466</v>
      </c>
      <c r="AJ3938" s="200">
        <f t="shared" si="1195"/>
        <v>4088324.205777524</v>
      </c>
      <c r="AK3938" s="201">
        <f t="shared" si="1202"/>
        <v>0.1332055624573473</v>
      </c>
      <c r="AL3938" s="24"/>
      <c r="AM3938" s="24"/>
      <c r="AN3938" s="24"/>
      <c r="AO3938" s="24"/>
      <c r="AP3938" s="165" t="str">
        <f t="shared" si="1203"/>
        <v>20252</v>
      </c>
      <c r="AQ3938" s="203" t="str">
        <f t="shared" si="1204"/>
        <v>20252JPY</v>
      </c>
      <c r="AR3938" s="206" t="str">
        <f t="shared" si="1205"/>
        <v>YAMAHA_Mounter</v>
      </c>
      <c r="AS3938" s="22">
        <f t="shared" si="1206"/>
        <v>0</v>
      </c>
      <c r="AT3938" s="24" t="str">
        <f t="shared" si="1207"/>
        <v>0-3 months</v>
      </c>
      <c r="AU3938" s="22" t="s">
        <v>3744</v>
      </c>
    </row>
    <row r="3939" spans="1:47">
      <c r="A3939" s="33" t="str">
        <f t="shared" si="1198"/>
        <v>FY 24/25</v>
      </c>
      <c r="B3939" s="23">
        <v>2025</v>
      </c>
      <c r="C3939" s="23">
        <v>2</v>
      </c>
      <c r="D3939" s="202" t="str">
        <f t="shared" si="1183"/>
        <v>Q4</v>
      </c>
      <c r="E3939" s="33" t="str">
        <f t="shared" si="1197"/>
        <v>FY 24/25</v>
      </c>
      <c r="F3939" s="23">
        <v>2025</v>
      </c>
      <c r="G3939" s="23">
        <v>2</v>
      </c>
      <c r="H3939" s="29"/>
      <c r="I3939" s="204" t="str">
        <f t="shared" si="1199"/>
        <v>Q4</v>
      </c>
      <c r="J3939" s="188" t="s">
        <v>3703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208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185"/>
        <v>1.13</v>
      </c>
      <c r="Z3939" s="196">
        <f t="shared" si="1184"/>
        <v>700000</v>
      </c>
      <c r="AA3939" s="22">
        <v>1.073</v>
      </c>
      <c r="AB3939" s="197">
        <f t="shared" si="1196"/>
        <v>664690.26548672561</v>
      </c>
      <c r="AC3939" s="198">
        <f t="shared" si="1200"/>
        <v>44401.30973451327</v>
      </c>
      <c r="AD3939" s="170">
        <v>6.6799999999999998E-2</v>
      </c>
      <c r="AE3939" s="199">
        <f t="shared" si="1201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4"/>
        <v>30691842.970796466</v>
      </c>
      <c r="AJ3939" s="200">
        <f t="shared" si="1195"/>
        <v>4088324.205777524</v>
      </c>
      <c r="AK3939" s="201">
        <f t="shared" si="1202"/>
        <v>0.1332055624573473</v>
      </c>
      <c r="AL3939" s="24"/>
      <c r="AM3939" s="24"/>
      <c r="AN3939" s="24"/>
      <c r="AO3939" s="24"/>
      <c r="AP3939" s="165" t="str">
        <f t="shared" si="1203"/>
        <v>20252</v>
      </c>
      <c r="AQ3939" s="203" t="str">
        <f t="shared" si="1204"/>
        <v>20252RMB</v>
      </c>
      <c r="AR3939" s="206" t="str">
        <f t="shared" si="1205"/>
        <v>YAMAHA_Mounter</v>
      </c>
      <c r="AS3939" s="22">
        <f t="shared" si="1206"/>
        <v>0</v>
      </c>
      <c r="AT3939" s="24" t="str">
        <f t="shared" si="1207"/>
        <v>0-3 months</v>
      </c>
      <c r="AU3939" s="22" t="s">
        <v>3240</v>
      </c>
    </row>
    <row r="3940" spans="1:47">
      <c r="A3940" s="33" t="str">
        <f t="shared" si="1198"/>
        <v>FY 24/25</v>
      </c>
      <c r="B3940" s="23">
        <v>2025</v>
      </c>
      <c r="C3940" s="23">
        <v>2</v>
      </c>
      <c r="D3940" s="202" t="str">
        <f t="shared" si="1183"/>
        <v>Q4</v>
      </c>
      <c r="E3940" s="33" t="str">
        <f t="shared" si="1197"/>
        <v>FY 24/25</v>
      </c>
      <c r="F3940" s="23">
        <v>2025</v>
      </c>
      <c r="G3940" s="23">
        <v>2</v>
      </c>
      <c r="H3940" s="29"/>
      <c r="I3940" s="204" t="str">
        <f t="shared" si="1199"/>
        <v>Q4</v>
      </c>
      <c r="J3940" s="188" t="s">
        <v>3703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208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185"/>
        <v>1.13</v>
      </c>
      <c r="Z3940" s="196">
        <f t="shared" si="1184"/>
        <v>700000</v>
      </c>
      <c r="AA3940" s="22">
        <v>1.073</v>
      </c>
      <c r="AB3940" s="197">
        <f t="shared" si="1196"/>
        <v>664690.26548672561</v>
      </c>
      <c r="AC3940" s="198">
        <f t="shared" si="1200"/>
        <v>44401.30973451327</v>
      </c>
      <c r="AD3940" s="170">
        <v>6.6799999999999998E-2</v>
      </c>
      <c r="AE3940" s="199">
        <f t="shared" si="1201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4"/>
        <v>30691842.970796466</v>
      </c>
      <c r="AJ3940" s="200">
        <f t="shared" si="1195"/>
        <v>4088324.205777524</v>
      </c>
      <c r="AK3940" s="201">
        <f t="shared" si="1202"/>
        <v>0.1332055624573473</v>
      </c>
      <c r="AL3940" s="24"/>
      <c r="AM3940" s="24"/>
      <c r="AN3940" s="24"/>
      <c r="AO3940" s="24"/>
      <c r="AP3940" s="165" t="str">
        <f t="shared" si="1203"/>
        <v>20252</v>
      </c>
      <c r="AQ3940" s="203" t="str">
        <f t="shared" si="1204"/>
        <v>20252RMB</v>
      </c>
      <c r="AR3940" s="206" t="str">
        <f t="shared" si="1205"/>
        <v>YAMAHA_Mounter</v>
      </c>
      <c r="AS3940" s="22">
        <f t="shared" si="1206"/>
        <v>0</v>
      </c>
      <c r="AT3940" s="24" t="str">
        <f t="shared" si="1207"/>
        <v>0-3 months</v>
      </c>
      <c r="AU3940" s="22" t="s">
        <v>3240</v>
      </c>
    </row>
    <row r="3941" spans="1:47">
      <c r="A3941" s="33" t="str">
        <f t="shared" si="1198"/>
        <v>FY 24/25</v>
      </c>
      <c r="B3941" s="23">
        <v>2025</v>
      </c>
      <c r="C3941" s="23">
        <v>2</v>
      </c>
      <c r="D3941" s="202" t="str">
        <f t="shared" si="1183"/>
        <v>Q4</v>
      </c>
      <c r="E3941" s="33" t="str">
        <f t="shared" si="1197"/>
        <v>FY 24/25</v>
      </c>
      <c r="F3941" s="23">
        <v>2025</v>
      </c>
      <c r="G3941" s="23">
        <v>2</v>
      </c>
      <c r="H3941" s="29"/>
      <c r="I3941" s="204" t="str">
        <f t="shared" si="1199"/>
        <v>Q4</v>
      </c>
      <c r="J3941" s="188" t="s">
        <v>3703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208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185"/>
        <v>1.13</v>
      </c>
      <c r="Z3941" s="196">
        <f t="shared" si="1184"/>
        <v>500000</v>
      </c>
      <c r="AA3941" s="22">
        <v>1.073</v>
      </c>
      <c r="AB3941" s="197">
        <f t="shared" si="1196"/>
        <v>474778.76106194692</v>
      </c>
      <c r="AC3941" s="198">
        <f t="shared" si="1200"/>
        <v>31715.221238938055</v>
      </c>
      <c r="AD3941" s="170">
        <v>6.6799999999999998E-2</v>
      </c>
      <c r="AE3941" s="199">
        <f t="shared" si="1201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4"/>
        <v>30691842.970796466</v>
      </c>
      <c r="AJ3941" s="200">
        <f t="shared" si="1195"/>
        <v>4088324.205777524</v>
      </c>
      <c r="AK3941" s="201">
        <f t="shared" si="1202"/>
        <v>0.1332055624573473</v>
      </c>
      <c r="AL3941" s="24"/>
      <c r="AM3941" s="24"/>
      <c r="AN3941" s="24"/>
      <c r="AO3941" s="24"/>
      <c r="AP3941" s="165" t="str">
        <f t="shared" si="1203"/>
        <v>20252</v>
      </c>
      <c r="AQ3941" s="203" t="str">
        <f t="shared" si="1204"/>
        <v>20252RMB</v>
      </c>
      <c r="AR3941" s="206" t="str">
        <f t="shared" si="1205"/>
        <v>YAMAHA_Mounter</v>
      </c>
      <c r="AS3941" s="22">
        <f t="shared" si="1206"/>
        <v>0</v>
      </c>
      <c r="AT3941" s="24" t="str">
        <f t="shared" si="1207"/>
        <v>0-3 months</v>
      </c>
      <c r="AU3941" s="22" t="s">
        <v>3240</v>
      </c>
    </row>
    <row r="3942" spans="1:47">
      <c r="A3942" s="33" t="str">
        <f t="shared" si="1198"/>
        <v>FY 24/25</v>
      </c>
      <c r="B3942" s="23">
        <v>2025</v>
      </c>
      <c r="C3942" s="23">
        <v>2</v>
      </c>
      <c r="D3942" s="202" t="str">
        <f t="shared" si="1183"/>
        <v>Q4</v>
      </c>
      <c r="E3942" s="33" t="str">
        <f t="shared" si="1197"/>
        <v>FY 24/25</v>
      </c>
      <c r="F3942" s="23">
        <v>2025</v>
      </c>
      <c r="G3942" s="23">
        <v>3</v>
      </c>
      <c r="H3942" s="29"/>
      <c r="I3942" s="204" t="str">
        <f t="shared" si="1199"/>
        <v>Q4</v>
      </c>
      <c r="J3942" s="188" t="s">
        <v>3704</v>
      </c>
      <c r="K3942" s="29" t="s">
        <v>3706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208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185"/>
        <v>1.13</v>
      </c>
      <c r="Z3942" s="196">
        <f t="shared" si="1184"/>
        <v>390000</v>
      </c>
      <c r="AA3942" s="22">
        <v>1.0669999999999999</v>
      </c>
      <c r="AB3942" s="197">
        <f t="shared" si="1196"/>
        <v>368256.63716814161</v>
      </c>
      <c r="AC3942" s="198">
        <f t="shared" si="1200"/>
        <v>27287.816814159294</v>
      </c>
      <c r="AD3942" s="169">
        <v>7.4099999999999999E-2</v>
      </c>
      <c r="AE3942" s="199">
        <f t="shared" si="1201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4"/>
        <v>18296867.955752224</v>
      </c>
      <c r="AJ3942" s="200">
        <f t="shared" si="1195"/>
        <v>2173426.9949823013</v>
      </c>
      <c r="AK3942" s="201">
        <f t="shared" si="1202"/>
        <v>0.11878683281960357</v>
      </c>
      <c r="AL3942" s="24"/>
      <c r="AM3942" s="24"/>
      <c r="AN3942" s="24"/>
      <c r="AO3942" s="24"/>
      <c r="AP3942" s="165" t="str">
        <f t="shared" si="1203"/>
        <v>20253</v>
      </c>
      <c r="AQ3942" s="203" t="str">
        <f t="shared" si="1204"/>
        <v>20253RMB</v>
      </c>
      <c r="AR3942" s="206" t="str">
        <f t="shared" si="1205"/>
        <v>YAMAHA_Mounter</v>
      </c>
      <c r="AS3942" s="22">
        <f t="shared" si="1206"/>
        <v>1</v>
      </c>
      <c r="AT3942" s="24" t="str">
        <f t="shared" si="1207"/>
        <v>0-3 months</v>
      </c>
      <c r="AU3942" s="22" t="s">
        <v>3240</v>
      </c>
    </row>
    <row r="3943" spans="1:47">
      <c r="A3943" s="33" t="str">
        <f t="shared" si="1198"/>
        <v>FY 24/25</v>
      </c>
      <c r="B3943" s="23">
        <v>2025</v>
      </c>
      <c r="C3943" s="23">
        <v>2</v>
      </c>
      <c r="D3943" s="202" t="str">
        <f t="shared" si="1183"/>
        <v>Q4</v>
      </c>
      <c r="E3943" s="33" t="str">
        <f t="shared" si="1197"/>
        <v>FY 25/26</v>
      </c>
      <c r="F3943" s="23">
        <v>2025</v>
      </c>
      <c r="G3943" s="23">
        <v>4</v>
      </c>
      <c r="H3943" s="29"/>
      <c r="I3943" s="204" t="str">
        <f t="shared" si="1199"/>
        <v>Q1</v>
      </c>
      <c r="J3943" s="188" t="s">
        <v>3705</v>
      </c>
      <c r="K3943" s="29" t="s">
        <v>3587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208"/>
        <v>MAIN UNIT</v>
      </c>
      <c r="Q3943" s="22" t="s">
        <v>61</v>
      </c>
      <c r="R3943" s="22" t="s">
        <v>62</v>
      </c>
      <c r="S3943" s="22" t="s">
        <v>51</v>
      </c>
      <c r="T3943" s="22" t="s">
        <v>3559</v>
      </c>
      <c r="U3943" s="22" t="s">
        <v>149</v>
      </c>
      <c r="V3943" s="22" t="s">
        <v>134</v>
      </c>
      <c r="W3943" s="22" t="s">
        <v>64</v>
      </c>
      <c r="X3943" s="104">
        <v>810000</v>
      </c>
      <c r="Y3943" s="195" t="str">
        <f t="shared" si="1185"/>
        <v>1.13</v>
      </c>
      <c r="Z3943" s="196">
        <f t="shared" si="1184"/>
        <v>810000</v>
      </c>
      <c r="AA3943" s="22">
        <v>1.0720000000000001</v>
      </c>
      <c r="AB3943" s="197">
        <f t="shared" si="1196"/>
        <v>768424.77876106207</v>
      </c>
      <c r="AC3943" s="198">
        <f t="shared" si="1200"/>
        <v>92210.973451327445</v>
      </c>
      <c r="AD3943" s="169">
        <v>0.12</v>
      </c>
      <c r="AE3943" s="199">
        <f t="shared" si="1201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4"/>
        <v>32703423.380530968</v>
      </c>
      <c r="AJ3943" s="200">
        <f t="shared" si="1195"/>
        <v>3885921.2623008853</v>
      </c>
      <c r="AK3943" s="201">
        <f t="shared" si="1202"/>
        <v>0.118823072957379</v>
      </c>
      <c r="AL3943" s="24"/>
      <c r="AM3943" s="24"/>
      <c r="AN3943" s="24"/>
      <c r="AO3943" s="24"/>
      <c r="AP3943" s="165" t="str">
        <f t="shared" si="1203"/>
        <v>20254</v>
      </c>
      <c r="AQ3943" s="203" t="str">
        <f t="shared" si="1204"/>
        <v>20254RMB</v>
      </c>
      <c r="AR3943" s="206" t="str">
        <f t="shared" si="1205"/>
        <v>YAMAHA_Mounter</v>
      </c>
      <c r="AS3943" s="22">
        <f t="shared" si="1206"/>
        <v>2</v>
      </c>
      <c r="AT3943" s="24" t="str">
        <f t="shared" si="1207"/>
        <v>0-3 months</v>
      </c>
      <c r="AU3943" s="22" t="s">
        <v>3240</v>
      </c>
    </row>
    <row r="3944" spans="1:47">
      <c r="A3944" s="33" t="str">
        <f t="shared" si="1198"/>
        <v>FY 24/25</v>
      </c>
      <c r="B3944" s="23">
        <v>2025</v>
      </c>
      <c r="C3944" s="23">
        <v>2</v>
      </c>
      <c r="D3944" s="202" t="str">
        <f t="shared" si="1183"/>
        <v>Q4</v>
      </c>
      <c r="E3944" s="33" t="str">
        <f t="shared" si="1197"/>
        <v>FY 25/26</v>
      </c>
      <c r="F3944" s="23">
        <v>2025</v>
      </c>
      <c r="G3944" s="23">
        <v>4</v>
      </c>
      <c r="H3944" s="29"/>
      <c r="I3944" s="204" t="str">
        <f t="shared" si="1199"/>
        <v>Q1</v>
      </c>
      <c r="J3944" s="188" t="s">
        <v>3705</v>
      </c>
      <c r="K3944" s="29" t="s">
        <v>3587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208"/>
        <v>MAIN UNIT</v>
      </c>
      <c r="Q3944" s="22" t="s">
        <v>61</v>
      </c>
      <c r="R3944" s="22" t="s">
        <v>62</v>
      </c>
      <c r="S3944" s="22" t="s">
        <v>51</v>
      </c>
      <c r="T3944" s="22" t="s">
        <v>3559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185"/>
        <v>1.13</v>
      </c>
      <c r="Z3944" s="196">
        <f t="shared" si="1184"/>
        <v>720000</v>
      </c>
      <c r="AA3944" s="22">
        <v>1.0720000000000001</v>
      </c>
      <c r="AB3944" s="197">
        <f t="shared" si="1196"/>
        <v>683044.24778761074</v>
      </c>
      <c r="AC3944" s="198">
        <f t="shared" si="1200"/>
        <v>81965.309734513285</v>
      </c>
      <c r="AD3944" s="169">
        <v>0.12</v>
      </c>
      <c r="AE3944" s="199">
        <f t="shared" si="1201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4"/>
        <v>32703423.380530968</v>
      </c>
      <c r="AJ3944" s="200">
        <f t="shared" si="1195"/>
        <v>3885921.2623008853</v>
      </c>
      <c r="AK3944" s="201">
        <f t="shared" si="1202"/>
        <v>0.118823072957379</v>
      </c>
      <c r="AL3944" s="24"/>
      <c r="AM3944" s="24"/>
      <c r="AN3944" s="24"/>
      <c r="AO3944" s="24"/>
      <c r="AP3944" s="165" t="str">
        <f t="shared" si="1203"/>
        <v>20254</v>
      </c>
      <c r="AQ3944" s="203" t="str">
        <f t="shared" si="1204"/>
        <v>20254RMB</v>
      </c>
      <c r="AR3944" s="206" t="str">
        <f t="shared" si="1205"/>
        <v>YAMAHA_Mounter</v>
      </c>
      <c r="AS3944" s="22">
        <f t="shared" si="1206"/>
        <v>2</v>
      </c>
      <c r="AT3944" s="24" t="str">
        <f t="shared" si="1207"/>
        <v>0-3 months</v>
      </c>
      <c r="AU3944" s="22" t="s">
        <v>3240</v>
      </c>
    </row>
    <row r="3945" spans="1:47">
      <c r="A3945" s="33" t="str">
        <f t="shared" si="1198"/>
        <v>FY 24/25</v>
      </c>
      <c r="B3945" s="23">
        <v>2025</v>
      </c>
      <c r="C3945" s="23">
        <v>2</v>
      </c>
      <c r="D3945" s="202" t="str">
        <f t="shared" si="1183"/>
        <v>Q4</v>
      </c>
      <c r="E3945" s="33" t="str">
        <f t="shared" si="1197"/>
        <v>FY 24/25</v>
      </c>
      <c r="F3945" s="23">
        <v>2025</v>
      </c>
      <c r="G3945" s="23">
        <v>2</v>
      </c>
      <c r="H3945" s="29"/>
      <c r="I3945" s="204" t="str">
        <f t="shared" si="1199"/>
        <v>Q4</v>
      </c>
      <c r="J3945" s="188" t="s">
        <v>3707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208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185"/>
        <v>1</v>
      </c>
      <c r="Z3945" s="196">
        <f t="shared" si="1184"/>
        <v>9800000</v>
      </c>
      <c r="AA3945" s="22">
        <v>5.11E-2</v>
      </c>
      <c r="AB3945" s="197">
        <f t="shared" si="1196"/>
        <v>500780</v>
      </c>
      <c r="AC3945" s="198">
        <f t="shared" si="1200"/>
        <v>55536.502</v>
      </c>
      <c r="AD3945" s="170">
        <v>0.1109</v>
      </c>
      <c r="AE3945" s="199">
        <f t="shared" si="1201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4"/>
        <v>30691842.970796466</v>
      </c>
      <c r="AJ3945" s="200">
        <f t="shared" si="1195"/>
        <v>4088324.205777524</v>
      </c>
      <c r="AK3945" s="201">
        <f t="shared" si="1202"/>
        <v>0.1332055624573473</v>
      </c>
      <c r="AL3945" s="24"/>
      <c r="AM3945" s="24"/>
      <c r="AN3945" s="24"/>
      <c r="AO3945" s="24"/>
      <c r="AP3945" s="165" t="str">
        <f t="shared" si="1203"/>
        <v>20252</v>
      </c>
      <c r="AQ3945" s="203" t="str">
        <f t="shared" si="1204"/>
        <v>20252JPY</v>
      </c>
      <c r="AR3945" s="206" t="str">
        <f t="shared" si="1205"/>
        <v>YAMAHA_Mounter</v>
      </c>
      <c r="AS3945" s="22">
        <f t="shared" si="1206"/>
        <v>0</v>
      </c>
      <c r="AT3945" s="24" t="str">
        <f t="shared" si="1207"/>
        <v>0-3 months</v>
      </c>
      <c r="AU3945" s="22" t="s">
        <v>3744</v>
      </c>
    </row>
    <row r="3946" spans="1:47">
      <c r="A3946" s="33" t="str">
        <f t="shared" si="1198"/>
        <v>FY 24/25</v>
      </c>
      <c r="B3946" s="23">
        <v>2025</v>
      </c>
      <c r="C3946" s="23">
        <v>2</v>
      </c>
      <c r="D3946" s="202" t="str">
        <f t="shared" si="1183"/>
        <v>Q4</v>
      </c>
      <c r="E3946" s="33" t="str">
        <f t="shared" si="1197"/>
        <v>FY 24/25</v>
      </c>
      <c r="F3946" s="23">
        <v>2025</v>
      </c>
      <c r="G3946" s="23">
        <v>2</v>
      </c>
      <c r="H3946" s="29"/>
      <c r="I3946" s="204" t="str">
        <f t="shared" si="1199"/>
        <v>Q4</v>
      </c>
      <c r="J3946" s="188" t="s">
        <v>3708</v>
      </c>
      <c r="K3946" s="29" t="s">
        <v>3709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208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185"/>
        <v>1.13</v>
      </c>
      <c r="Z3946" s="196">
        <f t="shared" si="1184"/>
        <v>700000</v>
      </c>
      <c r="AA3946" s="22">
        <v>1.073</v>
      </c>
      <c r="AB3946" s="197">
        <f t="shared" si="1196"/>
        <v>664690.26548672561</v>
      </c>
      <c r="AC3946" s="198">
        <f t="shared" si="1200"/>
        <v>57362.769911504423</v>
      </c>
      <c r="AD3946" s="170">
        <v>8.6300000000000002E-2</v>
      </c>
      <c r="AE3946" s="199">
        <f t="shared" si="1201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4"/>
        <v>30691842.970796466</v>
      </c>
      <c r="AJ3946" s="200">
        <f t="shared" si="1195"/>
        <v>4088324.205777524</v>
      </c>
      <c r="AK3946" s="201">
        <f t="shared" si="1202"/>
        <v>0.1332055624573473</v>
      </c>
      <c r="AL3946" s="24"/>
      <c r="AM3946" s="24"/>
      <c r="AN3946" s="24"/>
      <c r="AO3946" s="24"/>
      <c r="AP3946" s="165" t="str">
        <f t="shared" si="1203"/>
        <v>20252</v>
      </c>
      <c r="AQ3946" s="203" t="str">
        <f t="shared" si="1204"/>
        <v>20252RMB</v>
      </c>
      <c r="AR3946" s="206" t="str">
        <f t="shared" si="1205"/>
        <v>YAMAHA_Mounter</v>
      </c>
      <c r="AS3946" s="22">
        <f t="shared" si="1206"/>
        <v>0</v>
      </c>
      <c r="AT3946" s="24" t="str">
        <f t="shared" si="1207"/>
        <v>0-3 months</v>
      </c>
      <c r="AU3946" s="22" t="s">
        <v>3240</v>
      </c>
    </row>
    <row r="3947" spans="1:47">
      <c r="A3947" s="33" t="str">
        <f t="shared" si="1198"/>
        <v>FY 24/25</v>
      </c>
      <c r="B3947" s="23">
        <v>2025</v>
      </c>
      <c r="C3947" s="23">
        <v>2</v>
      </c>
      <c r="D3947" s="202" t="str">
        <f t="shared" si="1183"/>
        <v>Q4</v>
      </c>
      <c r="E3947" s="33" t="str">
        <f t="shared" si="1197"/>
        <v>FY 24/25</v>
      </c>
      <c r="F3947" s="23">
        <v>2025</v>
      </c>
      <c r="G3947" s="23">
        <v>2</v>
      </c>
      <c r="H3947" s="29"/>
      <c r="I3947" s="204" t="str">
        <f t="shared" si="1199"/>
        <v>Q4</v>
      </c>
      <c r="J3947" s="188" t="s">
        <v>3708</v>
      </c>
      <c r="K3947" s="29" t="s">
        <v>3709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208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185"/>
        <v>1.13</v>
      </c>
      <c r="Z3947" s="196">
        <f t="shared" si="1184"/>
        <v>450000</v>
      </c>
      <c r="AA3947" s="22">
        <v>1.073</v>
      </c>
      <c r="AB3947" s="197">
        <f t="shared" si="1196"/>
        <v>427300.88495575223</v>
      </c>
      <c r="AC3947" s="198">
        <f t="shared" si="1200"/>
        <v>36876.066371681416</v>
      </c>
      <c r="AD3947" s="170">
        <v>8.6300000000000002E-2</v>
      </c>
      <c r="AE3947" s="199">
        <f t="shared" si="1201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ref="AI3947:AI3978" si="1209">IF(P3947="C66 SERVICE","",SUMIFS(AB:AB,F:F,F3947,G:G,G3947,E:E,E3947))</f>
        <v>30691842.970796466</v>
      </c>
      <c r="AJ3947" s="200">
        <f t="shared" ref="AJ3947:AJ3978" si="1210">IF(P3947="C66 SERVICE","",SUMIFS(AC:AC,F:F,F3947,G:G,G3947,E:E,E3947))</f>
        <v>4088324.205777524</v>
      </c>
      <c r="AK3947" s="201">
        <f t="shared" si="1202"/>
        <v>0.1332055624573473</v>
      </c>
      <c r="AL3947" s="24"/>
      <c r="AM3947" s="24"/>
      <c r="AN3947" s="24"/>
      <c r="AO3947" s="24"/>
      <c r="AP3947" s="165" t="str">
        <f t="shared" si="1203"/>
        <v>20252</v>
      </c>
      <c r="AQ3947" s="203" t="str">
        <f t="shared" si="1204"/>
        <v>20252RMB</v>
      </c>
      <c r="AR3947" s="206" t="str">
        <f t="shared" si="1205"/>
        <v>YAMAHA_Mounter</v>
      </c>
      <c r="AS3947" s="22">
        <f t="shared" si="1206"/>
        <v>0</v>
      </c>
      <c r="AT3947" s="24" t="str">
        <f t="shared" si="1207"/>
        <v>0-3 months</v>
      </c>
      <c r="AU3947" s="22" t="s">
        <v>3240</v>
      </c>
    </row>
    <row r="3948" spans="1:47">
      <c r="A3948" s="33" t="str">
        <f t="shared" si="1198"/>
        <v>FY 24/25</v>
      </c>
      <c r="B3948" s="23">
        <v>2025</v>
      </c>
      <c r="C3948" s="23">
        <v>2</v>
      </c>
      <c r="D3948" s="202" t="str">
        <f t="shared" si="1183"/>
        <v>Q4</v>
      </c>
      <c r="E3948" s="33" t="str">
        <f t="shared" si="1197"/>
        <v>FY 24/25</v>
      </c>
      <c r="F3948" s="23">
        <v>2025</v>
      </c>
      <c r="G3948" s="23">
        <v>3</v>
      </c>
      <c r="H3948" s="29"/>
      <c r="I3948" s="204" t="str">
        <f t="shared" si="1199"/>
        <v>Q4</v>
      </c>
      <c r="J3948" s="188" t="s">
        <v>3710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208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185"/>
        <v>1.13</v>
      </c>
      <c r="Z3948" s="196">
        <f t="shared" si="1184"/>
        <v>900000</v>
      </c>
      <c r="AA3948" s="22">
        <v>1.0669999999999999</v>
      </c>
      <c r="AB3948" s="197">
        <f t="shared" si="1196"/>
        <v>849823.00884955749</v>
      </c>
      <c r="AC3948" s="198">
        <f t="shared" si="1200"/>
        <v>87701.734513274336</v>
      </c>
      <c r="AD3948" s="169">
        <v>0.1032</v>
      </c>
      <c r="AE3948" s="199">
        <f t="shared" si="1201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209"/>
        <v>18296867.955752224</v>
      </c>
      <c r="AJ3948" s="200">
        <f t="shared" si="1210"/>
        <v>2173426.9949823013</v>
      </c>
      <c r="AK3948" s="201">
        <f t="shared" si="1202"/>
        <v>0.11878683281960357</v>
      </c>
      <c r="AL3948" s="24"/>
      <c r="AM3948" s="24"/>
      <c r="AN3948" s="24"/>
      <c r="AO3948" s="24"/>
      <c r="AP3948" s="165" t="str">
        <f t="shared" si="1203"/>
        <v>20253</v>
      </c>
      <c r="AQ3948" s="203" t="str">
        <f t="shared" si="1204"/>
        <v>20253RMB</v>
      </c>
      <c r="AR3948" s="206" t="str">
        <f t="shared" si="1205"/>
        <v>YAMAHA_Mounter</v>
      </c>
      <c r="AS3948" s="22">
        <f t="shared" si="1206"/>
        <v>1</v>
      </c>
      <c r="AT3948" s="24" t="str">
        <f t="shared" si="1207"/>
        <v>0-3 months</v>
      </c>
      <c r="AU3948" s="22" t="s">
        <v>3750</v>
      </c>
    </row>
    <row r="3949" spans="1:47">
      <c r="A3949" s="33" t="str">
        <f t="shared" si="1198"/>
        <v>FY 24/25</v>
      </c>
      <c r="B3949" s="23">
        <v>2025</v>
      </c>
      <c r="C3949" s="23">
        <v>2</v>
      </c>
      <c r="D3949" s="202" t="str">
        <f t="shared" si="1183"/>
        <v>Q4</v>
      </c>
      <c r="E3949" s="33" t="str">
        <f t="shared" si="1197"/>
        <v>FY 24/25</v>
      </c>
      <c r="F3949" s="23">
        <v>2025</v>
      </c>
      <c r="G3949" s="23">
        <v>3</v>
      </c>
      <c r="H3949" s="29"/>
      <c r="I3949" s="204" t="str">
        <f t="shared" si="1199"/>
        <v>Q4</v>
      </c>
      <c r="J3949" s="188" t="s">
        <v>3710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208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185"/>
        <v>1.13</v>
      </c>
      <c r="Z3949" s="196">
        <f t="shared" si="1184"/>
        <v>900000</v>
      </c>
      <c r="AA3949" s="22">
        <v>1.0669999999999999</v>
      </c>
      <c r="AB3949" s="197">
        <f t="shared" si="1196"/>
        <v>849823.00884955749</v>
      </c>
      <c r="AC3949" s="198">
        <f t="shared" si="1200"/>
        <v>87701.734513274336</v>
      </c>
      <c r="AD3949" s="169">
        <v>0.1032</v>
      </c>
      <c r="AE3949" s="199">
        <f t="shared" si="1201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209"/>
        <v>18296867.955752224</v>
      </c>
      <c r="AJ3949" s="200">
        <f t="shared" si="1210"/>
        <v>2173426.9949823013</v>
      </c>
      <c r="AK3949" s="201">
        <f t="shared" si="1202"/>
        <v>0.11878683281960357</v>
      </c>
      <c r="AL3949" s="24"/>
      <c r="AM3949" s="24"/>
      <c r="AN3949" s="24"/>
      <c r="AO3949" s="24"/>
      <c r="AP3949" s="165" t="str">
        <f t="shared" si="1203"/>
        <v>20253</v>
      </c>
      <c r="AQ3949" s="203" t="str">
        <f t="shared" si="1204"/>
        <v>20253RMB</v>
      </c>
      <c r="AR3949" s="206" t="str">
        <f t="shared" si="1205"/>
        <v>YAMAHA_Mounter</v>
      </c>
      <c r="AS3949" s="22">
        <f t="shared" si="1206"/>
        <v>1</v>
      </c>
      <c r="AT3949" s="24" t="str">
        <f t="shared" si="1207"/>
        <v>0-3 months</v>
      </c>
      <c r="AU3949" s="22" t="s">
        <v>3750</v>
      </c>
    </row>
    <row r="3950" spans="1:47">
      <c r="A3950" s="33" t="str">
        <f t="shared" si="1198"/>
        <v>FY 24/25</v>
      </c>
      <c r="B3950" s="23">
        <v>2025</v>
      </c>
      <c r="C3950" s="23">
        <v>2</v>
      </c>
      <c r="D3950" s="202" t="str">
        <f t="shared" si="1183"/>
        <v>Q4</v>
      </c>
      <c r="E3950" s="33" t="str">
        <f t="shared" si="1197"/>
        <v>FY 24/25</v>
      </c>
      <c r="F3950" s="23">
        <v>2025</v>
      </c>
      <c r="G3950" s="23">
        <v>3</v>
      </c>
      <c r="H3950" s="29"/>
      <c r="I3950" s="204" t="str">
        <f t="shared" si="1199"/>
        <v>Q4</v>
      </c>
      <c r="J3950" s="188" t="s">
        <v>3711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208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185"/>
        <v>1.13</v>
      </c>
      <c r="Z3950" s="196">
        <f t="shared" si="1184"/>
        <v>391100</v>
      </c>
      <c r="AA3950" s="22">
        <v>1.0669999999999999</v>
      </c>
      <c r="AB3950" s="197">
        <f t="shared" si="1196"/>
        <v>369295.30973451328</v>
      </c>
      <c r="AC3950" s="198">
        <f t="shared" si="1200"/>
        <v>27290.923389380529</v>
      </c>
      <c r="AD3950" s="169">
        <v>7.3899999999999993E-2</v>
      </c>
      <c r="AE3950" s="199">
        <f t="shared" si="1201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209"/>
        <v>18296867.955752224</v>
      </c>
      <c r="AJ3950" s="200">
        <f t="shared" si="1210"/>
        <v>2173426.9949823013</v>
      </c>
      <c r="AK3950" s="201">
        <f t="shared" si="1202"/>
        <v>0.11878683281960357</v>
      </c>
      <c r="AL3950" s="24"/>
      <c r="AM3950" s="24"/>
      <c r="AN3950" s="24"/>
      <c r="AO3950" s="24"/>
      <c r="AP3950" s="165" t="str">
        <f t="shared" si="1203"/>
        <v>20253</v>
      </c>
      <c r="AQ3950" s="203" t="str">
        <f t="shared" si="1204"/>
        <v>20253RMB</v>
      </c>
      <c r="AR3950" s="206" t="str">
        <f t="shared" si="1205"/>
        <v>YAMAHA_Mounter</v>
      </c>
      <c r="AS3950" s="22">
        <f t="shared" si="1206"/>
        <v>1</v>
      </c>
      <c r="AT3950" s="24" t="str">
        <f t="shared" si="1207"/>
        <v>0-3 months</v>
      </c>
      <c r="AU3950" s="22" t="s">
        <v>3750</v>
      </c>
    </row>
    <row r="3951" spans="1:47">
      <c r="A3951" s="33" t="str">
        <f t="shared" si="1198"/>
        <v>FY 24/25</v>
      </c>
      <c r="B3951" s="23">
        <v>2025</v>
      </c>
      <c r="C3951" s="23">
        <v>2</v>
      </c>
      <c r="D3951" s="202" t="str">
        <f t="shared" si="1183"/>
        <v>Q4</v>
      </c>
      <c r="E3951" s="33" t="str">
        <f t="shared" si="1197"/>
        <v>FY 24/25</v>
      </c>
      <c r="F3951" s="23">
        <v>2025</v>
      </c>
      <c r="G3951" s="23">
        <v>3</v>
      </c>
      <c r="H3951" s="29"/>
      <c r="I3951" s="204" t="str">
        <f t="shared" si="1199"/>
        <v>Q4</v>
      </c>
      <c r="J3951" s="188" t="s">
        <v>3711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208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185"/>
        <v>1.13</v>
      </c>
      <c r="Z3951" s="196">
        <f t="shared" si="1184"/>
        <v>391100</v>
      </c>
      <c r="AA3951" s="22">
        <v>1.0669999999999999</v>
      </c>
      <c r="AB3951" s="197">
        <f t="shared" si="1196"/>
        <v>369295.30973451328</v>
      </c>
      <c r="AC3951" s="198">
        <f t="shared" si="1200"/>
        <v>27290.923389380529</v>
      </c>
      <c r="AD3951" s="169">
        <v>7.3899999999999993E-2</v>
      </c>
      <c r="AE3951" s="199">
        <f t="shared" si="1201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209"/>
        <v>18296867.955752224</v>
      </c>
      <c r="AJ3951" s="200">
        <f t="shared" si="1210"/>
        <v>2173426.9949823013</v>
      </c>
      <c r="AK3951" s="201">
        <f t="shared" si="1202"/>
        <v>0.11878683281960357</v>
      </c>
      <c r="AL3951" s="24"/>
      <c r="AM3951" s="24"/>
      <c r="AN3951" s="24"/>
      <c r="AO3951" s="24"/>
      <c r="AP3951" s="165" t="str">
        <f t="shared" si="1203"/>
        <v>20253</v>
      </c>
      <c r="AQ3951" s="203" t="str">
        <f t="shared" si="1204"/>
        <v>20253RMB</v>
      </c>
      <c r="AR3951" s="206" t="str">
        <f t="shared" si="1205"/>
        <v>YAMAHA_Mounter</v>
      </c>
      <c r="AS3951" s="22">
        <f t="shared" si="1206"/>
        <v>1</v>
      </c>
      <c r="AT3951" s="24" t="str">
        <f t="shared" si="1207"/>
        <v>0-3 months</v>
      </c>
      <c r="AU3951" s="22" t="s">
        <v>3750</v>
      </c>
    </row>
    <row r="3952" spans="1:47">
      <c r="A3952" s="33" t="str">
        <f t="shared" si="1198"/>
        <v>FY 24/25</v>
      </c>
      <c r="B3952" s="23">
        <v>2025</v>
      </c>
      <c r="C3952" s="23">
        <v>2</v>
      </c>
      <c r="D3952" s="202" t="str">
        <f t="shared" si="1183"/>
        <v>Q4</v>
      </c>
      <c r="E3952" s="33" t="str">
        <f t="shared" si="1197"/>
        <v>FY 25/26</v>
      </c>
      <c r="F3952" s="23">
        <v>2025</v>
      </c>
      <c r="G3952" s="23">
        <v>5</v>
      </c>
      <c r="H3952" s="29"/>
      <c r="I3952" s="204" t="str">
        <f t="shared" si="1199"/>
        <v>Q1</v>
      </c>
      <c r="J3952" s="188" t="s">
        <v>3756</v>
      </c>
      <c r="K3952" s="29" t="s">
        <v>3757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208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370000</v>
      </c>
      <c r="Y3952" s="195" t="str">
        <f t="shared" si="1185"/>
        <v>1.13</v>
      </c>
      <c r="Z3952" s="196">
        <f t="shared" si="1184"/>
        <v>370000</v>
      </c>
      <c r="AA3952" s="22">
        <v>1.0720000000000001</v>
      </c>
      <c r="AB3952" s="197">
        <f t="shared" si="1196"/>
        <v>351008.84955752222</v>
      </c>
      <c r="AC3952" s="198">
        <f t="shared" si="1200"/>
        <v>42121.061946902664</v>
      </c>
      <c r="AD3952" s="169">
        <v>0.12</v>
      </c>
      <c r="AE3952" s="199">
        <f t="shared" si="1201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209"/>
        <v>25644924.956447776</v>
      </c>
      <c r="AJ3952" s="200">
        <f t="shared" si="1210"/>
        <v>3058146.223092318</v>
      </c>
      <c r="AK3952" s="201">
        <f t="shared" si="1202"/>
        <v>0.11924956802509276</v>
      </c>
      <c r="AL3952" s="24"/>
      <c r="AM3952" s="24"/>
      <c r="AN3952" s="24"/>
      <c r="AO3952" s="24"/>
      <c r="AP3952" s="165" t="str">
        <f t="shared" si="1203"/>
        <v>20255</v>
      </c>
      <c r="AQ3952" s="203" t="str">
        <f t="shared" si="1204"/>
        <v>20255RMB</v>
      </c>
      <c r="AR3952" s="206" t="str">
        <f t="shared" si="1205"/>
        <v>YAMAHA_Mounter</v>
      </c>
      <c r="AS3952" s="22">
        <f t="shared" si="1206"/>
        <v>3</v>
      </c>
      <c r="AT3952" s="24" t="str">
        <f t="shared" si="1207"/>
        <v>0-3 months</v>
      </c>
      <c r="AU3952" s="22" t="s">
        <v>3750</v>
      </c>
    </row>
    <row r="3953" spans="1:47">
      <c r="A3953" s="33" t="str">
        <f t="shared" si="1198"/>
        <v>FY 24/25</v>
      </c>
      <c r="B3953" s="23">
        <v>2025</v>
      </c>
      <c r="C3953" s="23">
        <v>2</v>
      </c>
      <c r="D3953" s="202" t="str">
        <f t="shared" si="1183"/>
        <v>Q4</v>
      </c>
      <c r="E3953" s="33" t="str">
        <f t="shared" si="1197"/>
        <v>FY 25/26</v>
      </c>
      <c r="F3953" s="23">
        <v>2025</v>
      </c>
      <c r="G3953" s="23">
        <v>5</v>
      </c>
      <c r="H3953" s="29"/>
      <c r="I3953" s="204" t="str">
        <f t="shared" si="1199"/>
        <v>Q1</v>
      </c>
      <c r="J3953" s="188" t="s">
        <v>3756</v>
      </c>
      <c r="K3953" s="29" t="s">
        <v>3757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208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370000</v>
      </c>
      <c r="Y3953" s="195" t="str">
        <f t="shared" si="1185"/>
        <v>1.13</v>
      </c>
      <c r="Z3953" s="196">
        <f t="shared" si="1184"/>
        <v>370000</v>
      </c>
      <c r="AA3953" s="22">
        <v>1.0720000000000001</v>
      </c>
      <c r="AB3953" s="197">
        <f t="shared" si="1196"/>
        <v>351008.84955752222</v>
      </c>
      <c r="AC3953" s="198">
        <f t="shared" si="1200"/>
        <v>42121.061946902664</v>
      </c>
      <c r="AD3953" s="169">
        <v>0.12</v>
      </c>
      <c r="AE3953" s="199">
        <f t="shared" si="1201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209"/>
        <v>25644924.956447776</v>
      </c>
      <c r="AJ3953" s="200">
        <f t="shared" si="1210"/>
        <v>3058146.223092318</v>
      </c>
      <c r="AK3953" s="201">
        <f t="shared" si="1202"/>
        <v>0.11924956802509276</v>
      </c>
      <c r="AL3953" s="24"/>
      <c r="AM3953" s="24"/>
      <c r="AN3953" s="24"/>
      <c r="AO3953" s="24"/>
      <c r="AP3953" s="165" t="str">
        <f t="shared" si="1203"/>
        <v>20255</v>
      </c>
      <c r="AQ3953" s="203" t="str">
        <f t="shared" si="1204"/>
        <v>20255RMB</v>
      </c>
      <c r="AR3953" s="206" t="str">
        <f t="shared" si="1205"/>
        <v>YAMAHA_Mounter</v>
      </c>
      <c r="AS3953" s="22">
        <f t="shared" si="1206"/>
        <v>3</v>
      </c>
      <c r="AT3953" s="24" t="str">
        <f t="shared" si="1207"/>
        <v>0-3 months</v>
      </c>
      <c r="AU3953" s="22" t="s">
        <v>3750</v>
      </c>
    </row>
    <row r="3954" spans="1:47">
      <c r="A3954" s="33" t="str">
        <f t="shared" si="1198"/>
        <v>FY 24/25</v>
      </c>
      <c r="B3954" s="23">
        <v>2025</v>
      </c>
      <c r="C3954" s="23">
        <v>2</v>
      </c>
      <c r="D3954" s="202" t="str">
        <f t="shared" ref="D3954:D4001" si="1211">IF(B3954="","",IF(AND(C3954&gt;=10,C3954&lt;=12),"Q3",IF(AND(C3954&gt;=1,C3954&lt;=3),"Q4",IF(AND(C3954&gt;=7,C3954&lt;=9),"Q2",IF(AND(C3954&gt;=4,C3954&lt;=6),"Q1")))))</f>
        <v>Q4</v>
      </c>
      <c r="E3954" s="33" t="str">
        <f t="shared" si="1197"/>
        <v>FY 25/26</v>
      </c>
      <c r="F3954" s="23">
        <v>2025</v>
      </c>
      <c r="G3954" s="23">
        <v>5</v>
      </c>
      <c r="H3954" s="29"/>
      <c r="I3954" s="204" t="str">
        <f t="shared" si="1199"/>
        <v>Q1</v>
      </c>
      <c r="J3954" s="188" t="s">
        <v>3713</v>
      </c>
      <c r="K3954" s="29" t="s">
        <v>3714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208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185"/>
        <v>1</v>
      </c>
      <c r="Z3954" s="196">
        <f t="shared" ref="Z3954:Z3994" si="1212">IF(X3954="","",X3954*MAX(O3954,N3954))</f>
        <v>8180000</v>
      </c>
      <c r="AA3954" s="22">
        <v>5.3100000000000001E-2</v>
      </c>
      <c r="AB3954" s="197">
        <f t="shared" si="1196"/>
        <v>434358</v>
      </c>
      <c r="AC3954" s="198">
        <f t="shared" si="1200"/>
        <v>52122.96</v>
      </c>
      <c r="AD3954" s="169">
        <v>0.12</v>
      </c>
      <c r="AE3954" s="199">
        <f t="shared" si="1201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209"/>
        <v>25644924.956447776</v>
      </c>
      <c r="AJ3954" s="200">
        <f t="shared" si="1210"/>
        <v>3058146.223092318</v>
      </c>
      <c r="AK3954" s="201">
        <f t="shared" si="1202"/>
        <v>0.11924956802509276</v>
      </c>
      <c r="AL3954" s="24"/>
      <c r="AM3954" s="24"/>
      <c r="AN3954" s="24"/>
      <c r="AO3954" s="24"/>
      <c r="AP3954" s="165" t="str">
        <f t="shared" si="1203"/>
        <v>20255</v>
      </c>
      <c r="AQ3954" s="203" t="str">
        <f t="shared" si="1204"/>
        <v>20255JPY</v>
      </c>
      <c r="AR3954" s="206" t="str">
        <f t="shared" si="1205"/>
        <v>YAMAHA_Mounter</v>
      </c>
      <c r="AS3954" s="22">
        <f t="shared" si="1206"/>
        <v>3</v>
      </c>
      <c r="AT3954" s="24" t="str">
        <f t="shared" si="1207"/>
        <v>0-3 months</v>
      </c>
      <c r="AU3954" s="22" t="s">
        <v>3744</v>
      </c>
    </row>
    <row r="3955" spans="1:47">
      <c r="A3955" s="33" t="str">
        <f t="shared" si="1198"/>
        <v>FY 24/25</v>
      </c>
      <c r="B3955" s="23">
        <v>2025</v>
      </c>
      <c r="C3955" s="23">
        <v>2</v>
      </c>
      <c r="D3955" s="202" t="str">
        <f t="shared" si="1211"/>
        <v>Q4</v>
      </c>
      <c r="E3955" s="33" t="str">
        <f t="shared" si="1197"/>
        <v>FY 24/25</v>
      </c>
      <c r="F3955" s="23">
        <v>2025</v>
      </c>
      <c r="G3955" s="23">
        <v>3</v>
      </c>
      <c r="H3955" s="29"/>
      <c r="I3955" s="204" t="str">
        <f t="shared" si="1199"/>
        <v>Q4</v>
      </c>
      <c r="J3955" s="188" t="s">
        <v>3712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208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185"/>
        <v>1.13</v>
      </c>
      <c r="Z3955" s="196">
        <f t="shared" si="1212"/>
        <v>453250</v>
      </c>
      <c r="AA3955" s="22">
        <v>1.0669999999999999</v>
      </c>
      <c r="AB3955" s="197">
        <f t="shared" si="1196"/>
        <v>427980.30973451328</v>
      </c>
      <c r="AC3955" s="198">
        <f t="shared" si="1200"/>
        <v>47548.612411504429</v>
      </c>
      <c r="AD3955" s="169">
        <v>0.1111</v>
      </c>
      <c r="AE3955" s="199">
        <f t="shared" si="1201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209"/>
        <v>18296867.955752224</v>
      </c>
      <c r="AJ3955" s="200">
        <f t="shared" si="1210"/>
        <v>2173426.9949823013</v>
      </c>
      <c r="AK3955" s="201">
        <f t="shared" si="1202"/>
        <v>0.11878683281960357</v>
      </c>
      <c r="AL3955" s="24"/>
      <c r="AM3955" s="24"/>
      <c r="AN3955" s="24"/>
      <c r="AO3955" s="24"/>
      <c r="AP3955" s="165" t="str">
        <f t="shared" si="1203"/>
        <v>20253</v>
      </c>
      <c r="AQ3955" s="203" t="str">
        <f t="shared" si="1204"/>
        <v>20253RMB</v>
      </c>
      <c r="AR3955" s="206" t="str">
        <f t="shared" si="1205"/>
        <v>YAMAHA_Mounter</v>
      </c>
      <c r="AS3955" s="22">
        <f t="shared" si="1206"/>
        <v>1</v>
      </c>
      <c r="AT3955" s="24" t="str">
        <f t="shared" si="1207"/>
        <v>0-3 months</v>
      </c>
      <c r="AU3955" s="22" t="s">
        <v>3750</v>
      </c>
    </row>
    <row r="3956" spans="1:47">
      <c r="A3956" s="33" t="str">
        <f t="shared" si="1198"/>
        <v>FY 24/25</v>
      </c>
      <c r="B3956" s="23">
        <v>2025</v>
      </c>
      <c r="C3956" s="23">
        <v>2</v>
      </c>
      <c r="D3956" s="202" t="str">
        <f t="shared" si="1211"/>
        <v>Q4</v>
      </c>
      <c r="E3956" s="33" t="str">
        <f t="shared" si="1197"/>
        <v>FY 24/25</v>
      </c>
      <c r="F3956" s="23">
        <v>2025</v>
      </c>
      <c r="G3956" s="23">
        <v>3</v>
      </c>
      <c r="H3956" s="29"/>
      <c r="I3956" s="204" t="str">
        <f t="shared" si="1199"/>
        <v>Q4</v>
      </c>
      <c r="J3956" s="188" t="s">
        <v>3712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208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213">IF(W3956="","",IF(W3956="RMB","1.13", "1"))</f>
        <v>1.13</v>
      </c>
      <c r="Z3956" s="196">
        <f t="shared" si="1212"/>
        <v>453250</v>
      </c>
      <c r="AA3956" s="22">
        <v>1.0669999999999999</v>
      </c>
      <c r="AB3956" s="197">
        <f t="shared" si="1196"/>
        <v>427980.30973451328</v>
      </c>
      <c r="AC3956" s="198">
        <f t="shared" si="1200"/>
        <v>47548.612411504429</v>
      </c>
      <c r="AD3956" s="169">
        <v>0.1111</v>
      </c>
      <c r="AE3956" s="199">
        <f t="shared" si="1201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209"/>
        <v>18296867.955752224</v>
      </c>
      <c r="AJ3956" s="200">
        <f t="shared" si="1210"/>
        <v>2173426.9949823013</v>
      </c>
      <c r="AK3956" s="201">
        <f t="shared" si="1202"/>
        <v>0.11878683281960357</v>
      </c>
      <c r="AL3956" s="24"/>
      <c r="AM3956" s="24"/>
      <c r="AN3956" s="24"/>
      <c r="AO3956" s="24"/>
      <c r="AP3956" s="165" t="str">
        <f t="shared" si="1203"/>
        <v>20253</v>
      </c>
      <c r="AQ3956" s="203" t="str">
        <f t="shared" si="1204"/>
        <v>20253RMB</v>
      </c>
      <c r="AR3956" s="206" t="str">
        <f t="shared" si="1205"/>
        <v>YAMAHA_Mounter</v>
      </c>
      <c r="AS3956" s="22">
        <f t="shared" si="1206"/>
        <v>1</v>
      </c>
      <c r="AT3956" s="24" t="str">
        <f t="shared" si="1207"/>
        <v>0-3 months</v>
      </c>
      <c r="AU3956" s="22" t="s">
        <v>3750</v>
      </c>
    </row>
    <row r="3957" spans="1:47">
      <c r="A3957" s="33" t="str">
        <f t="shared" si="1198"/>
        <v>FY 24/25</v>
      </c>
      <c r="B3957" s="23">
        <v>2025</v>
      </c>
      <c r="C3957" s="23">
        <v>2</v>
      </c>
      <c r="D3957" s="202" t="str">
        <f t="shared" si="1211"/>
        <v>Q4</v>
      </c>
      <c r="E3957" s="33" t="str">
        <f t="shared" si="1197"/>
        <v>FY 24/25</v>
      </c>
      <c r="F3957" s="23">
        <v>2025</v>
      </c>
      <c r="G3957" s="23">
        <v>3</v>
      </c>
      <c r="H3957" s="29"/>
      <c r="I3957" s="204" t="str">
        <f t="shared" si="1199"/>
        <v>Q4</v>
      </c>
      <c r="J3957" s="188" t="s">
        <v>3715</v>
      </c>
      <c r="K3957" s="164" t="s">
        <v>3717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208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213"/>
        <v>1.13</v>
      </c>
      <c r="Z3957" s="196">
        <f t="shared" si="1212"/>
        <v>650000</v>
      </c>
      <c r="AA3957" s="22">
        <v>1.0669999999999999</v>
      </c>
      <c r="AB3957" s="197">
        <f t="shared" si="1196"/>
        <v>613761.06194690266</v>
      </c>
      <c r="AC3957" s="198">
        <f t="shared" si="1200"/>
        <v>68127.47787610619</v>
      </c>
      <c r="AD3957" s="169">
        <v>0.111</v>
      </c>
      <c r="AE3957" s="199">
        <f t="shared" si="1201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209"/>
        <v>18296867.955752224</v>
      </c>
      <c r="AJ3957" s="200">
        <f t="shared" si="1210"/>
        <v>2173426.9949823013</v>
      </c>
      <c r="AK3957" s="201">
        <f t="shared" si="1202"/>
        <v>0.11878683281960357</v>
      </c>
      <c r="AL3957" s="24"/>
      <c r="AM3957" s="24"/>
      <c r="AN3957" s="24"/>
      <c r="AO3957" s="24"/>
      <c r="AP3957" s="165" t="str">
        <f t="shared" si="1203"/>
        <v>20253</v>
      </c>
      <c r="AQ3957" s="203" t="str">
        <f t="shared" si="1204"/>
        <v>20253RMB</v>
      </c>
      <c r="AR3957" s="206" t="str">
        <f t="shared" si="1205"/>
        <v>YAMAHA_Mounter</v>
      </c>
      <c r="AS3957" s="22">
        <f t="shared" si="1206"/>
        <v>1</v>
      </c>
      <c r="AT3957" s="24" t="str">
        <f t="shared" si="1207"/>
        <v>0-3 months</v>
      </c>
      <c r="AU3957" s="22" t="s">
        <v>3240</v>
      </c>
    </row>
    <row r="3958" spans="1:47">
      <c r="A3958" s="33" t="str">
        <f t="shared" si="1198"/>
        <v>FY 24/25</v>
      </c>
      <c r="B3958" s="23">
        <v>2025</v>
      </c>
      <c r="C3958" s="23">
        <v>2</v>
      </c>
      <c r="D3958" s="202" t="str">
        <f t="shared" si="1211"/>
        <v>Q4</v>
      </c>
      <c r="E3958" s="33" t="str">
        <f t="shared" si="1197"/>
        <v>FY 24/25</v>
      </c>
      <c r="F3958" s="23">
        <v>2025</v>
      </c>
      <c r="G3958" s="23">
        <v>3</v>
      </c>
      <c r="H3958" s="29"/>
      <c r="I3958" s="204" t="str">
        <f t="shared" si="1199"/>
        <v>Q4</v>
      </c>
      <c r="J3958" s="188" t="s">
        <v>3715</v>
      </c>
      <c r="K3958" s="164" t="s">
        <v>3717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208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213"/>
        <v>1.13</v>
      </c>
      <c r="Z3958" s="196">
        <f t="shared" si="1212"/>
        <v>389000</v>
      </c>
      <c r="AA3958" s="22">
        <v>1.0669999999999999</v>
      </c>
      <c r="AB3958" s="197">
        <f t="shared" si="1196"/>
        <v>367312.38938053098</v>
      </c>
      <c r="AC3958" s="198">
        <f t="shared" si="1200"/>
        <v>40771.67522123894</v>
      </c>
      <c r="AD3958" s="169">
        <v>0.111</v>
      </c>
      <c r="AE3958" s="199">
        <f t="shared" si="1201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209"/>
        <v>18296867.955752224</v>
      </c>
      <c r="AJ3958" s="200">
        <f t="shared" si="1210"/>
        <v>2173426.9949823013</v>
      </c>
      <c r="AK3958" s="201">
        <f t="shared" si="1202"/>
        <v>0.11878683281960357</v>
      </c>
      <c r="AL3958" s="24"/>
      <c r="AM3958" s="24"/>
      <c r="AN3958" s="24"/>
      <c r="AO3958" s="24"/>
      <c r="AP3958" s="165" t="str">
        <f t="shared" si="1203"/>
        <v>20253</v>
      </c>
      <c r="AQ3958" s="203" t="str">
        <f t="shared" si="1204"/>
        <v>20253RMB</v>
      </c>
      <c r="AR3958" s="206" t="str">
        <f t="shared" si="1205"/>
        <v>YAMAHA_Mounter</v>
      </c>
      <c r="AS3958" s="22">
        <f t="shared" si="1206"/>
        <v>1</v>
      </c>
      <c r="AT3958" s="24" t="str">
        <f t="shared" si="1207"/>
        <v>0-3 months</v>
      </c>
      <c r="AU3958" s="22" t="s">
        <v>3240</v>
      </c>
    </row>
    <row r="3959" spans="1:47" ht="26.4">
      <c r="A3959" s="33" t="str">
        <f t="shared" si="1198"/>
        <v>FY 24/25</v>
      </c>
      <c r="B3959" s="23">
        <v>2025</v>
      </c>
      <c r="C3959" s="23">
        <v>2</v>
      </c>
      <c r="D3959" s="202" t="str">
        <f t="shared" si="1211"/>
        <v>Q4</v>
      </c>
      <c r="E3959" s="33" t="str">
        <f t="shared" si="1197"/>
        <v>FY 24/25</v>
      </c>
      <c r="F3959" s="23">
        <v>2025</v>
      </c>
      <c r="G3959" s="23">
        <v>3</v>
      </c>
      <c r="H3959" s="29"/>
      <c r="I3959" s="204" t="str">
        <f t="shared" si="1199"/>
        <v>Q4</v>
      </c>
      <c r="J3959" s="188" t="s">
        <v>3715</v>
      </c>
      <c r="K3959" s="164" t="s">
        <v>3717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208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213"/>
        <v>1.13</v>
      </c>
      <c r="Z3959" s="196">
        <f t="shared" si="1212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200"/>
        <v>16874.652212389381</v>
      </c>
      <c r="AD3959" s="169">
        <v>0.111</v>
      </c>
      <c r="AE3959" s="199">
        <f t="shared" si="1201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209"/>
        <v>18296867.955752224</v>
      </c>
      <c r="AJ3959" s="200">
        <f t="shared" si="1210"/>
        <v>2173426.9949823013</v>
      </c>
      <c r="AK3959" s="201">
        <f t="shared" si="1202"/>
        <v>0.11878683281960357</v>
      </c>
      <c r="AL3959" s="24"/>
      <c r="AM3959" s="24"/>
      <c r="AN3959" s="24"/>
      <c r="AO3959" s="24"/>
      <c r="AP3959" s="165" t="str">
        <f t="shared" si="1203"/>
        <v>20253</v>
      </c>
      <c r="AQ3959" s="203" t="str">
        <f t="shared" si="1204"/>
        <v>20253RMB</v>
      </c>
      <c r="AR3959" s="206" t="str">
        <f t="shared" si="1205"/>
        <v>YAMAHA_Mounter</v>
      </c>
      <c r="AS3959" s="22">
        <f t="shared" si="1206"/>
        <v>1</v>
      </c>
      <c r="AT3959" s="24" t="str">
        <f t="shared" si="1207"/>
        <v>0-3 months</v>
      </c>
      <c r="AU3959" s="22" t="s">
        <v>3240</v>
      </c>
    </row>
    <row r="3960" spans="1:47">
      <c r="A3960" s="33" t="str">
        <f t="shared" si="1198"/>
        <v>FY 24/25</v>
      </c>
      <c r="B3960" s="23">
        <v>2025</v>
      </c>
      <c r="C3960" s="23">
        <v>2</v>
      </c>
      <c r="D3960" s="202" t="str">
        <f t="shared" si="1211"/>
        <v>Q4</v>
      </c>
      <c r="E3960" s="33" t="str">
        <f t="shared" si="1197"/>
        <v>FY 25/26</v>
      </c>
      <c r="F3960" s="23">
        <v>2025</v>
      </c>
      <c r="G3960" s="23">
        <v>5</v>
      </c>
      <c r="H3960" s="29"/>
      <c r="I3960" s="204" t="str">
        <f t="shared" si="1199"/>
        <v>Q1</v>
      </c>
      <c r="J3960" s="188" t="s">
        <v>3716</v>
      </c>
      <c r="K3960" s="164" t="s">
        <v>3718</v>
      </c>
      <c r="L3960" s="24" t="s">
        <v>3698</v>
      </c>
      <c r="M3960" s="13" t="s">
        <v>60</v>
      </c>
      <c r="N3960" s="22">
        <v>1</v>
      </c>
      <c r="O3960" s="22"/>
      <c r="P3960" s="202" t="str">
        <f t="shared" si="1208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213"/>
        <v>1.13</v>
      </c>
      <c r="Z3960" s="196">
        <f t="shared" si="1212"/>
        <v>750000</v>
      </c>
      <c r="AA3960" s="22">
        <v>1.0720000000000001</v>
      </c>
      <c r="AB3960" s="197">
        <f t="shared" si="1196"/>
        <v>711504.42477876123</v>
      </c>
      <c r="AC3960" s="198">
        <f t="shared" si="1200"/>
        <v>85380.530973451343</v>
      </c>
      <c r="AD3960" s="169">
        <v>0.12</v>
      </c>
      <c r="AE3960" s="199">
        <f t="shared" si="1201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209"/>
        <v>25644924.956447776</v>
      </c>
      <c r="AJ3960" s="200">
        <f t="shared" si="1210"/>
        <v>3058146.223092318</v>
      </c>
      <c r="AK3960" s="201">
        <f t="shared" si="1202"/>
        <v>0.11924956802509276</v>
      </c>
      <c r="AL3960" s="24"/>
      <c r="AM3960" s="24"/>
      <c r="AN3960" s="24"/>
      <c r="AO3960" s="24"/>
      <c r="AP3960" s="165" t="str">
        <f t="shared" si="1203"/>
        <v>20255</v>
      </c>
      <c r="AQ3960" s="203" t="str">
        <f t="shared" si="1204"/>
        <v>20255RMB</v>
      </c>
      <c r="AR3960" s="206" t="str">
        <f t="shared" si="1205"/>
        <v>YAMAHA_Mounter</v>
      </c>
      <c r="AS3960" s="22">
        <f t="shared" si="1206"/>
        <v>3</v>
      </c>
      <c r="AT3960" s="24" t="str">
        <f t="shared" si="1207"/>
        <v>0-3 months</v>
      </c>
      <c r="AU3960" s="22" t="s">
        <v>3240</v>
      </c>
    </row>
    <row r="3961" spans="1:47">
      <c r="A3961" s="33" t="str">
        <f t="shared" si="1198"/>
        <v>FY 24/25</v>
      </c>
      <c r="B3961" s="23">
        <v>2025</v>
      </c>
      <c r="C3961" s="23">
        <v>2</v>
      </c>
      <c r="D3961" s="202" t="str">
        <f t="shared" si="1211"/>
        <v>Q4</v>
      </c>
      <c r="E3961" s="33" t="str">
        <f t="shared" si="1197"/>
        <v>FY 25/26</v>
      </c>
      <c r="F3961" s="23">
        <v>2025</v>
      </c>
      <c r="G3961" s="23">
        <v>5</v>
      </c>
      <c r="H3961" s="29"/>
      <c r="I3961" s="204" t="str">
        <f t="shared" si="1199"/>
        <v>Q1</v>
      </c>
      <c r="J3961" s="188" t="s">
        <v>3716</v>
      </c>
      <c r="K3961" s="164" t="s">
        <v>3718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208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213"/>
        <v>1.13</v>
      </c>
      <c r="Z3961" s="196">
        <f t="shared" si="1212"/>
        <v>420000</v>
      </c>
      <c r="AA3961" s="22">
        <v>1.0720000000000001</v>
      </c>
      <c r="AB3961" s="197">
        <f t="shared" si="1196"/>
        <v>398442.47787610622</v>
      </c>
      <c r="AC3961" s="198">
        <f t="shared" si="1200"/>
        <v>47813.097345132745</v>
      </c>
      <c r="AD3961" s="169">
        <v>0.12</v>
      </c>
      <c r="AE3961" s="199">
        <f t="shared" si="1201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209"/>
        <v>25644924.956447776</v>
      </c>
      <c r="AJ3961" s="200">
        <f t="shared" si="1210"/>
        <v>3058146.223092318</v>
      </c>
      <c r="AK3961" s="201">
        <f t="shared" si="1202"/>
        <v>0.11924956802509276</v>
      </c>
      <c r="AL3961" s="24"/>
      <c r="AM3961" s="24"/>
      <c r="AN3961" s="24"/>
      <c r="AO3961" s="24"/>
      <c r="AP3961" s="165" t="str">
        <f t="shared" si="1203"/>
        <v>20255</v>
      </c>
      <c r="AQ3961" s="203" t="str">
        <f t="shared" si="1204"/>
        <v>20255RMB</v>
      </c>
      <c r="AR3961" s="206" t="str">
        <f t="shared" si="1205"/>
        <v>YAMAHA_Mounter</v>
      </c>
      <c r="AS3961" s="22">
        <f t="shared" si="1206"/>
        <v>3</v>
      </c>
      <c r="AT3961" s="24" t="str">
        <f t="shared" si="1207"/>
        <v>0-3 months</v>
      </c>
      <c r="AU3961" s="22" t="s">
        <v>3240</v>
      </c>
    </row>
    <row r="3962" spans="1:47">
      <c r="A3962" s="33" t="str">
        <f t="shared" si="1198"/>
        <v>FY 24/25</v>
      </c>
      <c r="B3962" s="23">
        <v>2025</v>
      </c>
      <c r="C3962" s="23">
        <v>2</v>
      </c>
      <c r="D3962" s="202" t="str">
        <f t="shared" si="1211"/>
        <v>Q4</v>
      </c>
      <c r="E3962" s="33" t="str">
        <f t="shared" si="1197"/>
        <v>FY 24/25</v>
      </c>
      <c r="F3962" s="23">
        <v>2025</v>
      </c>
      <c r="G3962" s="23">
        <v>3</v>
      </c>
      <c r="H3962" s="29"/>
      <c r="I3962" s="204" t="str">
        <f t="shared" si="1199"/>
        <v>Q4</v>
      </c>
      <c r="J3962" s="188" t="s">
        <v>3719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208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213"/>
        <v>1.13</v>
      </c>
      <c r="Z3962" s="196">
        <f t="shared" si="1212"/>
        <v>402500</v>
      </c>
      <c r="AA3962" s="22">
        <v>1.0669999999999999</v>
      </c>
      <c r="AB3962" s="197">
        <f t="shared" si="1196"/>
        <v>380059.73451327439</v>
      </c>
      <c r="AC3962" s="198">
        <f t="shared" si="1200"/>
        <v>24551.858849557528</v>
      </c>
      <c r="AD3962" s="169">
        <v>6.4600000000000005E-2</v>
      </c>
      <c r="AE3962" s="199">
        <f t="shared" si="1201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209"/>
        <v>18296867.955752224</v>
      </c>
      <c r="AJ3962" s="200">
        <f t="shared" si="1210"/>
        <v>2173426.9949823013</v>
      </c>
      <c r="AK3962" s="201">
        <f t="shared" si="1202"/>
        <v>0.11878683281960357</v>
      </c>
      <c r="AL3962" s="24"/>
      <c r="AM3962" s="24"/>
      <c r="AN3962" s="24"/>
      <c r="AO3962" s="24"/>
      <c r="AP3962" s="165" t="str">
        <f t="shared" si="1203"/>
        <v>20253</v>
      </c>
      <c r="AQ3962" s="203" t="str">
        <f t="shared" si="1204"/>
        <v>20253RMB</v>
      </c>
      <c r="AR3962" s="206" t="str">
        <f t="shared" si="1205"/>
        <v>YAMAHA_Mounter</v>
      </c>
      <c r="AS3962" s="22">
        <f t="shared" si="1206"/>
        <v>1</v>
      </c>
      <c r="AT3962" s="24" t="str">
        <f t="shared" si="1207"/>
        <v>0-3 months</v>
      </c>
      <c r="AU3962" s="22" t="s">
        <v>3750</v>
      </c>
    </row>
    <row r="3963" spans="1:47">
      <c r="A3963" s="33" t="str">
        <f t="shared" si="1198"/>
        <v>FY 24/25</v>
      </c>
      <c r="B3963" s="23">
        <v>2025</v>
      </c>
      <c r="C3963" s="23">
        <v>2</v>
      </c>
      <c r="D3963" s="202" t="str">
        <f t="shared" si="1211"/>
        <v>Q4</v>
      </c>
      <c r="E3963" s="33" t="str">
        <f t="shared" si="1197"/>
        <v>FY 24/25</v>
      </c>
      <c r="F3963" s="23">
        <v>2025</v>
      </c>
      <c r="G3963" s="23">
        <v>3</v>
      </c>
      <c r="H3963" s="29"/>
      <c r="I3963" s="204" t="str">
        <f t="shared" si="1199"/>
        <v>Q4</v>
      </c>
      <c r="J3963" s="188" t="s">
        <v>3719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208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213"/>
        <v>1.13</v>
      </c>
      <c r="Z3963" s="196">
        <f t="shared" si="1212"/>
        <v>402500</v>
      </c>
      <c r="AA3963" s="22">
        <v>1.0669999999999999</v>
      </c>
      <c r="AB3963" s="197">
        <f t="shared" si="1196"/>
        <v>380059.73451327439</v>
      </c>
      <c r="AC3963" s="198">
        <f t="shared" si="1200"/>
        <v>24551.858849557528</v>
      </c>
      <c r="AD3963" s="169">
        <v>6.4600000000000005E-2</v>
      </c>
      <c r="AE3963" s="199">
        <f t="shared" si="1201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209"/>
        <v>18296867.955752224</v>
      </c>
      <c r="AJ3963" s="200">
        <f t="shared" si="1210"/>
        <v>2173426.9949823013</v>
      </c>
      <c r="AK3963" s="201">
        <f t="shared" si="1202"/>
        <v>0.11878683281960357</v>
      </c>
      <c r="AL3963" s="24"/>
      <c r="AM3963" s="24"/>
      <c r="AN3963" s="24"/>
      <c r="AO3963" s="24"/>
      <c r="AP3963" s="165" t="str">
        <f t="shared" si="1203"/>
        <v>20253</v>
      </c>
      <c r="AQ3963" s="203" t="str">
        <f t="shared" si="1204"/>
        <v>20253RMB</v>
      </c>
      <c r="AR3963" s="206" t="str">
        <f t="shared" si="1205"/>
        <v>YAMAHA_Mounter</v>
      </c>
      <c r="AS3963" s="22">
        <f t="shared" si="1206"/>
        <v>1</v>
      </c>
      <c r="AT3963" s="24" t="str">
        <f t="shared" si="1207"/>
        <v>0-3 months</v>
      </c>
      <c r="AU3963" s="22" t="s">
        <v>3750</v>
      </c>
    </row>
    <row r="3964" spans="1:47">
      <c r="A3964" s="33" t="str">
        <f t="shared" si="1198"/>
        <v>FY 24/25</v>
      </c>
      <c r="B3964" s="23">
        <v>2025</v>
      </c>
      <c r="C3964" s="23">
        <v>2</v>
      </c>
      <c r="D3964" s="202" t="str">
        <f t="shared" si="1211"/>
        <v>Q4</v>
      </c>
      <c r="E3964" s="33" t="str">
        <f t="shared" si="1197"/>
        <v>FY 24/25</v>
      </c>
      <c r="F3964" s="23">
        <v>2025</v>
      </c>
      <c r="G3964" s="23">
        <v>3</v>
      </c>
      <c r="H3964" s="29"/>
      <c r="I3964" s="204" t="str">
        <f t="shared" si="1199"/>
        <v>Q4</v>
      </c>
      <c r="J3964" s="186" t="s">
        <v>3720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208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213"/>
        <v>1.13</v>
      </c>
      <c r="Z3964" s="196">
        <f t="shared" si="1212"/>
        <v>375000</v>
      </c>
      <c r="AA3964" s="22">
        <v>1.0669999999999999</v>
      </c>
      <c r="AB3964" s="197">
        <f t="shared" si="1196"/>
        <v>354092.92035398236</v>
      </c>
      <c r="AC3964" s="198">
        <f t="shared" si="1200"/>
        <v>22414.08185840708</v>
      </c>
      <c r="AD3964" s="169">
        <v>6.3299999999999995E-2</v>
      </c>
      <c r="AE3964" s="199">
        <f t="shared" si="1201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209"/>
        <v>18296867.955752224</v>
      </c>
      <c r="AJ3964" s="200">
        <f t="shared" si="1210"/>
        <v>2173426.9949823013</v>
      </c>
      <c r="AK3964" s="201">
        <f t="shared" si="1202"/>
        <v>0.11878683281960357</v>
      </c>
      <c r="AL3964" s="24"/>
      <c r="AM3964" s="24"/>
      <c r="AN3964" s="24"/>
      <c r="AO3964" s="24"/>
      <c r="AP3964" s="165" t="str">
        <f t="shared" si="1203"/>
        <v>20253</v>
      </c>
      <c r="AQ3964" s="203" t="str">
        <f t="shared" si="1204"/>
        <v>20253RMB</v>
      </c>
      <c r="AR3964" s="206" t="str">
        <f t="shared" si="1205"/>
        <v>YAMAHA_Mounter</v>
      </c>
      <c r="AS3964" s="22">
        <f t="shared" si="1206"/>
        <v>1</v>
      </c>
      <c r="AT3964" s="24" t="str">
        <f t="shared" si="1207"/>
        <v>0-3 months</v>
      </c>
      <c r="AU3964" s="22" t="s">
        <v>3240</v>
      </c>
    </row>
    <row r="3965" spans="1:47">
      <c r="A3965" s="33" t="str">
        <f t="shared" si="1198"/>
        <v>FY 24/25</v>
      </c>
      <c r="B3965" s="23">
        <v>2025</v>
      </c>
      <c r="C3965" s="23">
        <v>2</v>
      </c>
      <c r="D3965" s="202" t="str">
        <f t="shared" si="1211"/>
        <v>Q4</v>
      </c>
      <c r="E3965" s="33" t="str">
        <f t="shared" si="1197"/>
        <v>FY 25/26</v>
      </c>
      <c r="F3965" s="23">
        <v>2025</v>
      </c>
      <c r="G3965" s="23">
        <v>4</v>
      </c>
      <c r="H3965" s="29"/>
      <c r="I3965" s="204" t="str">
        <f t="shared" si="1199"/>
        <v>Q1</v>
      </c>
      <c r="J3965" s="188" t="s">
        <v>3721</v>
      </c>
      <c r="K3965" s="29" t="s">
        <v>3700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208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213"/>
        <v>1.13</v>
      </c>
      <c r="Z3965" s="196">
        <f t="shared" si="1212"/>
        <v>480000</v>
      </c>
      <c r="AA3965" s="22">
        <v>1.0720000000000001</v>
      </c>
      <c r="AB3965" s="197">
        <f t="shared" si="1196"/>
        <v>455362.83185840712</v>
      </c>
      <c r="AC3965" s="198">
        <f t="shared" si="1200"/>
        <v>54643.539823008854</v>
      </c>
      <c r="AD3965" s="169">
        <v>0.12</v>
      </c>
      <c r="AE3965" s="199">
        <f t="shared" si="1201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209"/>
        <v>32703423.380530968</v>
      </c>
      <c r="AJ3965" s="200">
        <f t="shared" si="1210"/>
        <v>3885921.2623008853</v>
      </c>
      <c r="AK3965" s="201">
        <f t="shared" si="1202"/>
        <v>0.118823072957379</v>
      </c>
      <c r="AL3965" s="24"/>
      <c r="AM3965" s="24"/>
      <c r="AN3965" s="24"/>
      <c r="AO3965" s="24"/>
      <c r="AP3965" s="165" t="str">
        <f t="shared" si="1203"/>
        <v>20254</v>
      </c>
      <c r="AQ3965" s="203" t="str">
        <f t="shared" si="1204"/>
        <v>20254RMB</v>
      </c>
      <c r="AR3965" s="206" t="str">
        <f t="shared" si="1205"/>
        <v>YAMAHA_Mounter</v>
      </c>
      <c r="AS3965" s="22">
        <f t="shared" si="1206"/>
        <v>2</v>
      </c>
      <c r="AT3965" s="24" t="str">
        <f t="shared" si="1207"/>
        <v>0-3 months</v>
      </c>
      <c r="AU3965" s="22" t="s">
        <v>3750</v>
      </c>
    </row>
    <row r="3966" spans="1:47">
      <c r="A3966" s="33" t="str">
        <f t="shared" si="1198"/>
        <v>FY 24/25</v>
      </c>
      <c r="B3966" s="23">
        <v>2025</v>
      </c>
      <c r="C3966" s="23">
        <v>2</v>
      </c>
      <c r="D3966" s="202" t="str">
        <f t="shared" si="1211"/>
        <v>Q4</v>
      </c>
      <c r="E3966" s="33" t="str">
        <f t="shared" si="1197"/>
        <v>FY 25/26</v>
      </c>
      <c r="F3966" s="23">
        <v>2025</v>
      </c>
      <c r="G3966" s="23">
        <v>4</v>
      </c>
      <c r="H3966" s="29"/>
      <c r="I3966" s="204" t="str">
        <f t="shared" si="1199"/>
        <v>Q1</v>
      </c>
      <c r="J3966" s="188" t="s">
        <v>3721</v>
      </c>
      <c r="K3966" s="29" t="s">
        <v>3700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208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213"/>
        <v>1.13</v>
      </c>
      <c r="Z3966" s="196">
        <f t="shared" si="1212"/>
        <v>480000</v>
      </c>
      <c r="AA3966" s="22">
        <v>1.0720000000000001</v>
      </c>
      <c r="AB3966" s="197">
        <f t="shared" si="1196"/>
        <v>455362.83185840712</v>
      </c>
      <c r="AC3966" s="198">
        <f t="shared" si="1200"/>
        <v>54643.539823008854</v>
      </c>
      <c r="AD3966" s="169">
        <v>0.12</v>
      </c>
      <c r="AE3966" s="199">
        <f t="shared" si="1201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209"/>
        <v>32703423.380530968</v>
      </c>
      <c r="AJ3966" s="200">
        <f t="shared" si="1210"/>
        <v>3885921.2623008853</v>
      </c>
      <c r="AK3966" s="201">
        <f t="shared" si="1202"/>
        <v>0.118823072957379</v>
      </c>
      <c r="AL3966" s="24"/>
      <c r="AM3966" s="24"/>
      <c r="AN3966" s="24"/>
      <c r="AO3966" s="24"/>
      <c r="AP3966" s="165" t="str">
        <f t="shared" si="1203"/>
        <v>20254</v>
      </c>
      <c r="AQ3966" s="203" t="str">
        <f t="shared" si="1204"/>
        <v>20254RMB</v>
      </c>
      <c r="AR3966" s="206" t="str">
        <f t="shared" si="1205"/>
        <v>YAMAHA_Mounter</v>
      </c>
      <c r="AS3966" s="22">
        <f t="shared" si="1206"/>
        <v>2</v>
      </c>
      <c r="AT3966" s="24" t="str">
        <f t="shared" si="1207"/>
        <v>0-3 months</v>
      </c>
      <c r="AU3966" s="22" t="s">
        <v>3750</v>
      </c>
    </row>
    <row r="3967" spans="1:47">
      <c r="A3967" s="33" t="str">
        <f t="shared" si="1198"/>
        <v>FY 24/25</v>
      </c>
      <c r="B3967" s="23">
        <v>2025</v>
      </c>
      <c r="C3967" s="23">
        <v>3</v>
      </c>
      <c r="D3967" s="202" t="str">
        <f t="shared" si="1211"/>
        <v>Q4</v>
      </c>
      <c r="E3967" s="33" t="str">
        <f t="shared" si="1197"/>
        <v>FY 24/25</v>
      </c>
      <c r="F3967" s="23">
        <v>2025</v>
      </c>
      <c r="G3967" s="23">
        <v>3</v>
      </c>
      <c r="H3967" s="29"/>
      <c r="I3967" s="204" t="str">
        <f t="shared" si="1199"/>
        <v>Q4</v>
      </c>
      <c r="J3967" s="188" t="s">
        <v>3722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208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213"/>
        <v>1.13</v>
      </c>
      <c r="Z3967" s="196">
        <f t="shared" si="1212"/>
        <v>395000</v>
      </c>
      <c r="AA3967" s="22">
        <v>1.0669999999999999</v>
      </c>
      <c r="AB3967" s="197">
        <f t="shared" si="1196"/>
        <v>372977.87610619469</v>
      </c>
      <c r="AC3967" s="198">
        <f t="shared" si="1200"/>
        <v>38752.401327433632</v>
      </c>
      <c r="AD3967" s="169">
        <v>0.10390000000000001</v>
      </c>
      <c r="AE3967" s="199">
        <f t="shared" si="1201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209"/>
        <v>18296867.955752224</v>
      </c>
      <c r="AJ3967" s="200">
        <f t="shared" si="1210"/>
        <v>2173426.9949823013</v>
      </c>
      <c r="AK3967" s="201">
        <f t="shared" si="1202"/>
        <v>0.11878683281960357</v>
      </c>
      <c r="AL3967" s="24"/>
      <c r="AM3967" s="24"/>
      <c r="AN3967" s="24"/>
      <c r="AO3967" s="24"/>
      <c r="AP3967" s="165" t="str">
        <f t="shared" si="1203"/>
        <v>20253</v>
      </c>
      <c r="AQ3967" s="203" t="str">
        <f t="shared" si="1204"/>
        <v>20253RMB</v>
      </c>
      <c r="AR3967" s="206" t="str">
        <f t="shared" si="1205"/>
        <v>YAMAHA_Mounter</v>
      </c>
      <c r="AS3967" s="22">
        <f t="shared" si="1206"/>
        <v>0</v>
      </c>
      <c r="AT3967" s="24" t="str">
        <f t="shared" si="1207"/>
        <v>0-3 months</v>
      </c>
      <c r="AU3967" s="22" t="s">
        <v>3750</v>
      </c>
    </row>
    <row r="3968" spans="1:47">
      <c r="A3968" s="33" t="str">
        <f t="shared" si="1198"/>
        <v>FY 24/25</v>
      </c>
      <c r="B3968" s="23">
        <v>2025</v>
      </c>
      <c r="C3968" s="23">
        <v>3</v>
      </c>
      <c r="D3968" s="202" t="str">
        <f t="shared" si="1211"/>
        <v>Q4</v>
      </c>
      <c r="E3968" s="33" t="str">
        <f t="shared" si="1197"/>
        <v>FY 24/25</v>
      </c>
      <c r="F3968" s="23">
        <v>2025</v>
      </c>
      <c r="G3968" s="23">
        <v>3</v>
      </c>
      <c r="H3968" s="29"/>
      <c r="I3968" s="204" t="str">
        <f t="shared" si="1199"/>
        <v>Q4</v>
      </c>
      <c r="J3968" s="188" t="s">
        <v>3722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208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213"/>
        <v>1.13</v>
      </c>
      <c r="Z3968" s="196">
        <f t="shared" si="1212"/>
        <v>155000</v>
      </c>
      <c r="AA3968" s="22">
        <v>1.0669999999999999</v>
      </c>
      <c r="AB3968" s="197">
        <f t="shared" si="1196"/>
        <v>146358.40707964604</v>
      </c>
      <c r="AC3968" s="198">
        <f t="shared" si="1200"/>
        <v>18792.41946902655</v>
      </c>
      <c r="AD3968" s="169">
        <v>0.12839999999999999</v>
      </c>
      <c r="AE3968" s="199">
        <f t="shared" si="1201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209"/>
        <v>18296867.955752224</v>
      </c>
      <c r="AJ3968" s="200">
        <f t="shared" si="1210"/>
        <v>2173426.9949823013</v>
      </c>
      <c r="AK3968" s="201">
        <f t="shared" si="1202"/>
        <v>0.11878683281960357</v>
      </c>
      <c r="AL3968" s="24"/>
      <c r="AM3968" s="24"/>
      <c r="AN3968" s="24"/>
      <c r="AO3968" s="24"/>
      <c r="AP3968" s="165" t="str">
        <f t="shared" si="1203"/>
        <v>20253</v>
      </c>
      <c r="AQ3968" s="203" t="str">
        <f t="shared" si="1204"/>
        <v>20253RMB</v>
      </c>
      <c r="AR3968" s="206" t="str">
        <f t="shared" si="1205"/>
        <v>YAMAHA_Non_Mounter</v>
      </c>
      <c r="AS3968" s="22">
        <f t="shared" si="1206"/>
        <v>0</v>
      </c>
      <c r="AT3968" s="24" t="str">
        <f t="shared" si="1207"/>
        <v>0-3 months</v>
      </c>
      <c r="AU3968" s="22" t="s">
        <v>3750</v>
      </c>
    </row>
    <row r="3969" spans="1:47">
      <c r="A3969" s="33" t="str">
        <f t="shared" si="1198"/>
        <v>FY 24/25</v>
      </c>
      <c r="B3969" s="23">
        <v>2025</v>
      </c>
      <c r="C3969" s="23">
        <v>2</v>
      </c>
      <c r="D3969" s="202" t="str">
        <f t="shared" si="1211"/>
        <v>Q4</v>
      </c>
      <c r="E3969" s="33" t="str">
        <f t="shared" si="1197"/>
        <v>FY 24/25</v>
      </c>
      <c r="F3969" s="23">
        <v>2025</v>
      </c>
      <c r="G3969" s="23">
        <v>3</v>
      </c>
      <c r="H3969" s="29"/>
      <c r="I3969" s="204" t="str">
        <f t="shared" si="1199"/>
        <v>Q4</v>
      </c>
      <c r="J3969" s="188" t="s">
        <v>3724</v>
      </c>
      <c r="K3969" s="237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208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213"/>
        <v>1.13</v>
      </c>
      <c r="Z3969" s="196">
        <f t="shared" si="1212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200"/>
        <v>31431.931504424781</v>
      </c>
      <c r="AD3969" s="169">
        <v>8.2600000000000007E-2</v>
      </c>
      <c r="AE3969" s="199">
        <f t="shared" si="1201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209"/>
        <v>18296867.955752224</v>
      </c>
      <c r="AJ3969" s="200">
        <f t="shared" si="1210"/>
        <v>2173426.9949823013</v>
      </c>
      <c r="AK3969" s="201">
        <f t="shared" si="1202"/>
        <v>0.11878683281960357</v>
      </c>
      <c r="AL3969" s="24"/>
      <c r="AM3969" s="24"/>
      <c r="AN3969" s="24"/>
      <c r="AO3969" s="24"/>
      <c r="AP3969" s="165" t="str">
        <f t="shared" si="1203"/>
        <v>20253</v>
      </c>
      <c r="AQ3969" s="203" t="str">
        <f t="shared" si="1204"/>
        <v>20253RMB</v>
      </c>
      <c r="AR3969" s="206" t="str">
        <f t="shared" si="1205"/>
        <v>YAMAHA_Mounter</v>
      </c>
      <c r="AS3969" s="22">
        <f t="shared" si="1206"/>
        <v>1</v>
      </c>
      <c r="AT3969" s="24" t="str">
        <f t="shared" si="1207"/>
        <v>0-3 months</v>
      </c>
      <c r="AU3969" s="22" t="s">
        <v>3240</v>
      </c>
    </row>
    <row r="3970" spans="1:47">
      <c r="A3970" s="33" t="str">
        <f t="shared" si="1198"/>
        <v>FY 24/25</v>
      </c>
      <c r="B3970" s="23">
        <v>2025</v>
      </c>
      <c r="C3970" s="23">
        <v>3</v>
      </c>
      <c r="D3970" s="202" t="str">
        <f t="shared" si="1211"/>
        <v>Q4</v>
      </c>
      <c r="E3970" s="33" t="str">
        <f t="shared" si="1197"/>
        <v>FY 24/25</v>
      </c>
      <c r="F3970" s="23">
        <v>2025</v>
      </c>
      <c r="G3970" s="23">
        <v>3</v>
      </c>
      <c r="H3970" s="29"/>
      <c r="I3970" s="204" t="str">
        <f t="shared" si="1199"/>
        <v>Q4</v>
      </c>
      <c r="J3970" s="188" t="s">
        <v>3723</v>
      </c>
      <c r="K3970" s="237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208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213"/>
        <v>1.13</v>
      </c>
      <c r="Z3970" s="196">
        <f t="shared" si="1212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200"/>
        <v>47996.115044247788</v>
      </c>
      <c r="AD3970" s="169">
        <v>0.14949999999999999</v>
      </c>
      <c r="AE3970" s="199">
        <f t="shared" si="1201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si="1209"/>
        <v>18296867.955752224</v>
      </c>
      <c r="AJ3970" s="200">
        <f t="shared" si="1210"/>
        <v>2173426.9949823013</v>
      </c>
      <c r="AK3970" s="201">
        <f t="shared" si="1202"/>
        <v>0.11878683281960357</v>
      </c>
      <c r="AL3970" s="24"/>
      <c r="AM3970" s="24"/>
      <c r="AN3970" s="24"/>
      <c r="AO3970" s="24"/>
      <c r="AP3970" s="165" t="str">
        <f t="shared" si="1203"/>
        <v>20253</v>
      </c>
      <c r="AQ3970" s="203" t="str">
        <f t="shared" si="1204"/>
        <v>20253RMB</v>
      </c>
      <c r="AR3970" s="206" t="str">
        <f t="shared" si="1205"/>
        <v>YAMAHA_Non_Mounter</v>
      </c>
      <c r="AS3970" s="22">
        <f t="shared" si="1206"/>
        <v>0</v>
      </c>
      <c r="AT3970" s="24" t="str">
        <f t="shared" si="1207"/>
        <v>0-3 months</v>
      </c>
      <c r="AU3970" s="22" t="s">
        <v>3240</v>
      </c>
    </row>
    <row r="3971" spans="1:47">
      <c r="A3971" s="33" t="str">
        <f t="shared" si="1198"/>
        <v>FY 24/25</v>
      </c>
      <c r="B3971" s="23">
        <v>2025</v>
      </c>
      <c r="C3971" s="23">
        <v>3</v>
      </c>
      <c r="D3971" s="202" t="str">
        <f t="shared" si="1211"/>
        <v>Q4</v>
      </c>
      <c r="E3971" s="33" t="str">
        <f t="shared" si="1197"/>
        <v>FY 25/26</v>
      </c>
      <c r="F3971" s="23">
        <v>2025</v>
      </c>
      <c r="G3971" s="23">
        <v>5</v>
      </c>
      <c r="H3971" s="29"/>
      <c r="I3971" s="204" t="str">
        <f t="shared" si="1199"/>
        <v>Q1</v>
      </c>
      <c r="J3971" s="188" t="s">
        <v>3725</v>
      </c>
      <c r="K3971" s="237" t="s">
        <v>3726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208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213"/>
        <v>1.13</v>
      </c>
      <c r="Z3971" s="196">
        <f t="shared" si="1212"/>
        <v>500000</v>
      </c>
      <c r="AA3971" s="22">
        <v>1.0720000000000001</v>
      </c>
      <c r="AB3971" s="197">
        <f>IF(AND(R3971&lt;&gt;"C66",R3971&lt;&gt;""),Z3971/Y3971*AA3971,"")</f>
        <v>474336.28318584082</v>
      </c>
      <c r="AC3971" s="198">
        <f t="shared" si="1200"/>
        <v>56920.353982300898</v>
      </c>
      <c r="AD3971" s="169">
        <v>0.12</v>
      </c>
      <c r="AE3971" s="199">
        <f t="shared" si="1201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209"/>
        <v>25644924.956447776</v>
      </c>
      <c r="AJ3971" s="200">
        <f t="shared" si="1210"/>
        <v>3058146.223092318</v>
      </c>
      <c r="AK3971" s="201">
        <f t="shared" si="1202"/>
        <v>0.11924956802509276</v>
      </c>
      <c r="AL3971" s="24"/>
      <c r="AM3971" s="24"/>
      <c r="AN3971" s="24"/>
      <c r="AO3971" s="24"/>
      <c r="AP3971" s="165" t="str">
        <f t="shared" si="1203"/>
        <v>20255</v>
      </c>
      <c r="AQ3971" s="203" t="str">
        <f t="shared" si="1204"/>
        <v>20255RMB</v>
      </c>
      <c r="AR3971" s="206" t="str">
        <f t="shared" si="1205"/>
        <v>YAMAHA_Mounter</v>
      </c>
      <c r="AS3971" s="22">
        <f t="shared" si="1206"/>
        <v>2</v>
      </c>
      <c r="AT3971" s="24" t="str">
        <f t="shared" si="1207"/>
        <v>0-3 months</v>
      </c>
      <c r="AU3971" s="22" t="s">
        <v>3240</v>
      </c>
    </row>
    <row r="3972" spans="1:47" ht="39.6">
      <c r="A3972" s="33" t="str">
        <f t="shared" si="1198"/>
        <v/>
      </c>
      <c r="B3972" s="23"/>
      <c r="C3972" s="23"/>
      <c r="D3972" s="202" t="str">
        <f t="shared" si="1211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214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215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216">IF(W3972="","",IF(W3972="RMB","1.13", "1"))</f>
        <v/>
      </c>
      <c r="Z3972" s="196" t="str">
        <f t="shared" ref="Z3972:Z3975" si="1217">IF(X3972="","",X3972*MAX(O3972,N3972))</f>
        <v/>
      </c>
      <c r="AA3972" s="22"/>
      <c r="AB3972" s="197">
        <v>13000</v>
      </c>
      <c r="AC3972" s="198">
        <f t="shared" ref="AC3972:AC3975" si="1218">IF(R3972&lt;&gt;"",AB3972*AD3972,"")</f>
        <v>3900</v>
      </c>
      <c r="AD3972" s="162">
        <v>0.3</v>
      </c>
      <c r="AE3972" s="199">
        <f t="shared" ref="AE3972:AE3975" si="1219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9"/>
        <v>30691842.970796466</v>
      </c>
      <c r="AJ3972" s="200">
        <f t="shared" si="1210"/>
        <v>4088324.205777524</v>
      </c>
      <c r="AK3972" s="201">
        <f t="shared" ref="AK3972:AK3975" si="1220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21">IF(F3972="","",F3972&amp;G3972)</f>
        <v>20252</v>
      </c>
      <c r="AQ3972" s="203" t="str">
        <f t="shared" ref="AQ3972:AQ3975" si="1222">IF(W3972="","",F3972&amp;G3972&amp;W3972)</f>
        <v/>
      </c>
      <c r="AR3972" s="206" t="str">
        <f t="shared" ref="AR3972:AR3975" si="1223">IFERROR(IF(AND(M3972="YAMAHA", R3972="C28"), "YAMAHA_Non_Mounter", IF(AND(M3972="YAMAHA", R3972="C49"), "YAMAHA_Mounter", M3972)),"")</f>
        <v>C66 SERVICE</v>
      </c>
      <c r="AS3972" s="22" t="str">
        <f t="shared" ref="AS3972:AS3975" si="1224">IFERROR(IF(OR(G3972="TBA", G3972=""), "", DATEDIF(DATE(B3972, C3972, 1), DATE(F3972, G3972, 1), "M")),"")</f>
        <v/>
      </c>
      <c r="AT3972" s="24" t="str">
        <f t="shared" ref="AT3972:AT3975" si="1225">IF(ISNUMBER(AS3972), IF(AS3972&gt;=0, IF(AS3972&lt;=3, "0-3 months", IF(AS3972&lt;=6, "4-6 months", "&gt; 6 months"))), "")</f>
        <v/>
      </c>
      <c r="AU3972" s="22">
        <v>0</v>
      </c>
    </row>
    <row r="3973" spans="1:47" ht="39.6">
      <c r="A3973" s="33" t="str">
        <f t="shared" si="1198"/>
        <v/>
      </c>
      <c r="B3973" s="23"/>
      <c r="C3973" s="23"/>
      <c r="D3973" s="202" t="str">
        <f t="shared" si="1211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214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215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216"/>
        <v/>
      </c>
      <c r="Z3973" s="196" t="str">
        <f t="shared" si="1217"/>
        <v/>
      </c>
      <c r="AA3973" s="22"/>
      <c r="AB3973" s="197">
        <v>19000</v>
      </c>
      <c r="AC3973" s="198">
        <f t="shared" si="1218"/>
        <v>5700</v>
      </c>
      <c r="AD3973" s="162">
        <v>0.3</v>
      </c>
      <c r="AE3973" s="199">
        <f t="shared" si="1219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9"/>
        <v>30691842.970796466</v>
      </c>
      <c r="AJ3973" s="200">
        <f t="shared" si="1210"/>
        <v>4088324.205777524</v>
      </c>
      <c r="AK3973" s="201">
        <f t="shared" si="1220"/>
        <v>0.1332055624573473</v>
      </c>
      <c r="AL3973" s="24"/>
      <c r="AM3973" s="24"/>
      <c r="AN3973" s="24"/>
      <c r="AO3973" s="24"/>
      <c r="AP3973" s="165" t="str">
        <f t="shared" si="1221"/>
        <v>20252</v>
      </c>
      <c r="AQ3973" s="203" t="str">
        <f t="shared" si="1222"/>
        <v/>
      </c>
      <c r="AR3973" s="206" t="str">
        <f t="shared" si="1223"/>
        <v>C66 SERVICE</v>
      </c>
      <c r="AS3973" s="22" t="str">
        <f t="shared" si="1224"/>
        <v/>
      </c>
      <c r="AT3973" s="24" t="str">
        <f t="shared" si="1225"/>
        <v/>
      </c>
      <c r="AU3973" s="22">
        <v>0</v>
      </c>
    </row>
    <row r="3974" spans="1:47" ht="39.6">
      <c r="A3974" s="33" t="str">
        <f t="shared" si="1198"/>
        <v/>
      </c>
      <c r="B3974" s="23"/>
      <c r="C3974" s="23"/>
      <c r="D3974" s="202" t="str">
        <f t="shared" si="1211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214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215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216"/>
        <v/>
      </c>
      <c r="Z3974" s="196" t="str">
        <f t="shared" si="1217"/>
        <v/>
      </c>
      <c r="AA3974" s="22"/>
      <c r="AB3974" s="197">
        <v>17000</v>
      </c>
      <c r="AC3974" s="198">
        <f t="shared" si="1218"/>
        <v>5100</v>
      </c>
      <c r="AD3974" s="162">
        <v>0.3</v>
      </c>
      <c r="AE3974" s="199">
        <f t="shared" si="1219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9"/>
        <v>30691842.970796466</v>
      </c>
      <c r="AJ3974" s="200">
        <f t="shared" si="1210"/>
        <v>4088324.205777524</v>
      </c>
      <c r="AK3974" s="201">
        <f t="shared" si="1220"/>
        <v>0.1332055624573473</v>
      </c>
      <c r="AL3974" s="24"/>
      <c r="AM3974" s="24"/>
      <c r="AN3974" s="24"/>
      <c r="AO3974" s="24"/>
      <c r="AP3974" s="165" t="str">
        <f t="shared" si="1221"/>
        <v>20252</v>
      </c>
      <c r="AQ3974" s="203" t="str">
        <f t="shared" si="1222"/>
        <v/>
      </c>
      <c r="AR3974" s="206" t="str">
        <f t="shared" si="1223"/>
        <v>C66 SERVICE</v>
      </c>
      <c r="AS3974" s="22" t="str">
        <f t="shared" si="1224"/>
        <v/>
      </c>
      <c r="AT3974" s="24" t="str">
        <f t="shared" si="1225"/>
        <v/>
      </c>
      <c r="AU3974" s="22">
        <v>0</v>
      </c>
    </row>
    <row r="3975" spans="1:47" ht="39.6">
      <c r="A3975" s="33" t="str">
        <f t="shared" si="1198"/>
        <v/>
      </c>
      <c r="B3975" s="23"/>
      <c r="C3975" s="23"/>
      <c r="D3975" s="202" t="str">
        <f t="shared" si="1211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214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215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216"/>
        <v/>
      </c>
      <c r="Z3975" s="196" t="str">
        <f t="shared" si="1217"/>
        <v/>
      </c>
      <c r="AA3975" s="22"/>
      <c r="AB3975" s="197">
        <v>336000</v>
      </c>
      <c r="AC3975" s="198">
        <f t="shared" si="1218"/>
        <v>100800</v>
      </c>
      <c r="AD3975" s="162">
        <v>0.3</v>
      </c>
      <c r="AE3975" s="199">
        <f t="shared" si="1219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9"/>
        <v>30691842.970796466</v>
      </c>
      <c r="AJ3975" s="200">
        <f t="shared" si="1210"/>
        <v>4088324.205777524</v>
      </c>
      <c r="AK3975" s="201">
        <f t="shared" si="1220"/>
        <v>0.1332055624573473</v>
      </c>
      <c r="AL3975" s="24"/>
      <c r="AM3975" s="24"/>
      <c r="AN3975" s="24"/>
      <c r="AO3975" s="24"/>
      <c r="AP3975" s="165" t="str">
        <f t="shared" si="1221"/>
        <v>20252</v>
      </c>
      <c r="AQ3975" s="203" t="str">
        <f t="shared" si="1222"/>
        <v/>
      </c>
      <c r="AR3975" s="206" t="str">
        <f t="shared" si="1223"/>
        <v>C66 SERVICE</v>
      </c>
      <c r="AS3975" s="22" t="str">
        <f t="shared" si="1224"/>
        <v/>
      </c>
      <c r="AT3975" s="24" t="str">
        <f t="shared" si="1225"/>
        <v/>
      </c>
      <c r="AU3975" s="22">
        <v>0</v>
      </c>
    </row>
    <row r="3976" spans="1:47">
      <c r="A3976" s="33" t="str">
        <f t="shared" si="1198"/>
        <v>FY 24/25</v>
      </c>
      <c r="B3976" s="23">
        <v>2025</v>
      </c>
      <c r="C3976" s="23">
        <v>3</v>
      </c>
      <c r="D3976" s="202" t="str">
        <f t="shared" si="1211"/>
        <v>Q4</v>
      </c>
      <c r="E3976" s="33" t="str">
        <f t="shared" si="1197"/>
        <v>FY 24/25</v>
      </c>
      <c r="F3976" s="23">
        <v>2025</v>
      </c>
      <c r="G3976" s="23">
        <v>3</v>
      </c>
      <c r="H3976" s="29"/>
      <c r="I3976" s="204" t="str">
        <f t="shared" si="1214"/>
        <v>Q4</v>
      </c>
      <c r="J3976" s="188" t="s">
        <v>3727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215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226">IF(W3976="","",IF(W3976="RMB","1.13", "1"))</f>
        <v>1.13</v>
      </c>
      <c r="Z3976" s="196">
        <f t="shared" ref="Z3976" si="1227">IF(X3976="","",X3976*MAX(O3976,N3976))</f>
        <v>389000</v>
      </c>
      <c r="AA3976" s="22">
        <v>1.0669999999999999</v>
      </c>
      <c r="AB3976" s="197">
        <f>IF(AND(R3976&lt;&gt;"C66",R3976&lt;&gt;""),Z3976/Y3976*AA3976,"")</f>
        <v>367312.38938053098</v>
      </c>
      <c r="AC3976" s="198">
        <f t="shared" ref="AC3976" si="1228">IF(R3976&lt;&gt;"",AB3976*AD3976,"")</f>
        <v>36510.851504424783</v>
      </c>
      <c r="AD3976" s="169">
        <v>9.9400000000000002E-2</v>
      </c>
      <c r="AE3976" s="199">
        <f t="shared" ref="AE3976:AE3990" si="1229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si="1209"/>
        <v>18296867.955752224</v>
      </c>
      <c r="AJ3976" s="200">
        <f t="shared" si="1210"/>
        <v>2173426.9949823013</v>
      </c>
      <c r="AK3976" s="201">
        <f t="shared" ref="AK3976:AK3990" si="1230">IF(AJ3976&gt;0,AJ3976/AI3976,"")</f>
        <v>0.11878683281960357</v>
      </c>
      <c r="AL3976" s="24"/>
      <c r="AM3976" s="24"/>
      <c r="AN3976" s="24"/>
      <c r="AO3976" s="24"/>
      <c r="AP3976" s="165" t="str">
        <f t="shared" ref="AP3976:AP3986" si="1231">IF(F3976="","",F3976&amp;G3976)</f>
        <v>20253</v>
      </c>
      <c r="AQ3976" s="203" t="str">
        <f t="shared" ref="AQ3976:AQ3986" si="1232">IF(W3976="","",F3976&amp;G3976&amp;W3976)</f>
        <v>20253RMB</v>
      </c>
      <c r="AR3976" s="206" t="str">
        <f t="shared" ref="AR3976:AR3986" si="1233">IFERROR(IF(AND(M3976="YAMAHA", R3976="C28"), "YAMAHA_Non_Mounter", IF(AND(M3976="YAMAHA", R3976="C49"), "YAMAHA_Mounter", M3976)),"")</f>
        <v>YAMAHA_Mounter</v>
      </c>
      <c r="AS3976" s="22">
        <f t="shared" ref="AS3976:AS3982" si="1234">IFERROR(IF(OR(G3976="TBA", G3976=""), "", DATEDIF(DATE(B3976, C3976, 1), DATE(F3976, G3976, 1), "M")),"")</f>
        <v>0</v>
      </c>
      <c r="AT3976" s="24" t="str">
        <f t="shared" ref="AT3976:AT3982" si="1235">IF(ISNUMBER(AS3976), IF(AS3976&gt;=0, IF(AS3976&lt;=3, "0-3 months", IF(AS3976&lt;=6, "4-6 months", "&gt; 6 months"))), "")</f>
        <v>0-3 months</v>
      </c>
      <c r="AU3976" s="22" t="s">
        <v>3750</v>
      </c>
    </row>
    <row r="3977" spans="1:47">
      <c r="A3977" s="33" t="str">
        <f t="shared" si="1198"/>
        <v>FY 24/25</v>
      </c>
      <c r="B3977" s="23">
        <v>2025</v>
      </c>
      <c r="C3977" s="23">
        <v>3</v>
      </c>
      <c r="D3977" s="202" t="str">
        <f t="shared" si="1211"/>
        <v>Q4</v>
      </c>
      <c r="E3977" s="33" t="str">
        <f t="shared" si="1197"/>
        <v>FY 24/25</v>
      </c>
      <c r="F3977" s="23">
        <v>2025</v>
      </c>
      <c r="G3977" s="23">
        <v>3</v>
      </c>
      <c r="H3977" s="29"/>
      <c r="I3977" s="204" t="str">
        <f t="shared" si="1214"/>
        <v>Q4</v>
      </c>
      <c r="J3977" s="188" t="s">
        <v>3728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208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213"/>
        <v>1</v>
      </c>
      <c r="Z3977" s="196">
        <f t="shared" si="1212"/>
        <v>7080000</v>
      </c>
      <c r="AA3977" s="22">
        <v>5.2999999999999999E-2</v>
      </c>
      <c r="AB3977" s="197">
        <f t="shared" si="1196"/>
        <v>375240</v>
      </c>
      <c r="AC3977" s="198">
        <f t="shared" si="1200"/>
        <v>30732.155999999999</v>
      </c>
      <c r="AD3977" s="169">
        <v>8.1900000000000001E-2</v>
      </c>
      <c r="AE3977" s="199">
        <f t="shared" si="1229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209"/>
        <v>18296867.955752224</v>
      </c>
      <c r="AJ3977" s="200">
        <f t="shared" si="1210"/>
        <v>2173426.9949823013</v>
      </c>
      <c r="AK3977" s="201">
        <f t="shared" si="1230"/>
        <v>0.11878683281960357</v>
      </c>
      <c r="AL3977" s="24"/>
      <c r="AM3977" s="24"/>
      <c r="AN3977" s="24"/>
      <c r="AO3977" s="24"/>
      <c r="AP3977" s="165" t="str">
        <f t="shared" si="1231"/>
        <v>20253</v>
      </c>
      <c r="AQ3977" s="203" t="str">
        <f t="shared" si="1232"/>
        <v>20253JPY</v>
      </c>
      <c r="AR3977" s="206" t="str">
        <f t="shared" si="1233"/>
        <v>YAMAHA_Mounter</v>
      </c>
      <c r="AS3977" s="22">
        <f t="shared" si="1234"/>
        <v>0</v>
      </c>
      <c r="AT3977" s="24" t="str">
        <f t="shared" si="1235"/>
        <v>0-3 months</v>
      </c>
      <c r="AU3977" s="22" t="s">
        <v>3744</v>
      </c>
    </row>
    <row r="3978" spans="1:47">
      <c r="A3978" s="33" t="str">
        <f t="shared" si="1198"/>
        <v>FY 24/25</v>
      </c>
      <c r="B3978" s="23">
        <v>2025</v>
      </c>
      <c r="C3978" s="23">
        <v>3</v>
      </c>
      <c r="D3978" s="202" t="str">
        <f t="shared" si="1211"/>
        <v>Q4</v>
      </c>
      <c r="E3978" s="33" t="str">
        <f t="shared" si="1197"/>
        <v>FY 24/25</v>
      </c>
      <c r="F3978" s="23">
        <v>2025</v>
      </c>
      <c r="G3978" s="23">
        <v>3</v>
      </c>
      <c r="H3978" s="29"/>
      <c r="I3978" s="204" t="str">
        <f t="shared" si="1214"/>
        <v>Q4</v>
      </c>
      <c r="J3978" s="188" t="s">
        <v>3729</v>
      </c>
      <c r="K3978" s="29" t="s">
        <v>3730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208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213"/>
        <v>1</v>
      </c>
      <c r="Z3978" s="196">
        <f t="shared" si="1212"/>
        <v>8299000</v>
      </c>
      <c r="AA3978" s="22">
        <v>5.2999999999999999E-2</v>
      </c>
      <c r="AB3978" s="197">
        <f t="shared" si="1196"/>
        <v>439847</v>
      </c>
      <c r="AC3978" s="198">
        <f t="shared" si="1200"/>
        <v>54716.966800000002</v>
      </c>
      <c r="AD3978" s="169">
        <v>0.1244</v>
      </c>
      <c r="AE3978" s="199">
        <f t="shared" si="1229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209"/>
        <v>18296867.955752224</v>
      </c>
      <c r="AJ3978" s="200">
        <f t="shared" si="1210"/>
        <v>2173426.9949823013</v>
      </c>
      <c r="AK3978" s="201">
        <f t="shared" si="1230"/>
        <v>0.11878683281960357</v>
      </c>
      <c r="AL3978" s="24"/>
      <c r="AM3978" s="24"/>
      <c r="AN3978" s="24"/>
      <c r="AO3978" s="24"/>
      <c r="AP3978" s="165" t="str">
        <f t="shared" si="1231"/>
        <v>20253</v>
      </c>
      <c r="AQ3978" s="203" t="str">
        <f t="shared" si="1232"/>
        <v>20253JPY</v>
      </c>
      <c r="AR3978" s="206" t="str">
        <f t="shared" si="1233"/>
        <v>YAMAHA_Mounter</v>
      </c>
      <c r="AS3978" s="22">
        <f t="shared" si="1234"/>
        <v>0</v>
      </c>
      <c r="AT3978" s="24" t="str">
        <f t="shared" si="1235"/>
        <v>0-3 months</v>
      </c>
      <c r="AU3978" s="22" t="s">
        <v>3744</v>
      </c>
    </row>
    <row r="3979" spans="1:47">
      <c r="A3979" s="33" t="str">
        <f t="shared" si="1198"/>
        <v>FY 24/25</v>
      </c>
      <c r="B3979" s="23">
        <v>2025</v>
      </c>
      <c r="C3979" s="23">
        <v>3</v>
      </c>
      <c r="D3979" s="202" t="str">
        <f t="shared" si="1211"/>
        <v>Q4</v>
      </c>
      <c r="E3979" s="33" t="str">
        <f t="shared" si="1197"/>
        <v>FY 25/26</v>
      </c>
      <c r="F3979" s="23">
        <v>2025</v>
      </c>
      <c r="G3979" s="23">
        <v>5</v>
      </c>
      <c r="H3979" s="29"/>
      <c r="I3979" s="204" t="str">
        <f t="shared" si="1214"/>
        <v>Q1</v>
      </c>
      <c r="J3979" s="188" t="s">
        <v>3731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208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213"/>
        <v>1.13</v>
      </c>
      <c r="Z3979" s="196">
        <f t="shared" si="1212"/>
        <v>393000</v>
      </c>
      <c r="AA3979" s="22">
        <v>1.0720000000000001</v>
      </c>
      <c r="AB3979" s="197">
        <f t="shared" si="1196"/>
        <v>372828.31858407089</v>
      </c>
      <c r="AC3979" s="198">
        <f t="shared" si="1200"/>
        <v>44739.398230088504</v>
      </c>
      <c r="AD3979" s="169">
        <v>0.12</v>
      </c>
      <c r="AE3979" s="199">
        <f t="shared" si="1229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ref="AI3979:AI3994" si="1236">IF(P3979="C66 SERVICE","",SUMIFS(AB:AB,F:F,F3979,G:G,G3979,E:E,E3979))</f>
        <v>25644924.956447776</v>
      </c>
      <c r="AJ3979" s="200">
        <f t="shared" ref="AJ3979:AJ3994" si="1237">IF(P3979="C66 SERVICE","",SUMIFS(AC:AC,F:F,F3979,G:G,G3979,E:E,E3979))</f>
        <v>3058146.223092318</v>
      </c>
      <c r="AK3979" s="201">
        <f t="shared" si="1230"/>
        <v>0.11924956802509276</v>
      </c>
      <c r="AL3979" s="24"/>
      <c r="AM3979" s="24"/>
      <c r="AN3979" s="24"/>
      <c r="AO3979" s="24"/>
      <c r="AP3979" s="165" t="str">
        <f t="shared" si="1231"/>
        <v>20255</v>
      </c>
      <c r="AQ3979" s="203" t="str">
        <f t="shared" si="1232"/>
        <v>20255RMB</v>
      </c>
      <c r="AR3979" s="206" t="str">
        <f t="shared" si="1233"/>
        <v>YAMAHA_Mounter</v>
      </c>
      <c r="AS3979" s="22">
        <f t="shared" si="1234"/>
        <v>2</v>
      </c>
      <c r="AT3979" s="24" t="str">
        <f t="shared" si="1235"/>
        <v>0-3 months</v>
      </c>
      <c r="AU3979" s="22" t="s">
        <v>3750</v>
      </c>
    </row>
    <row r="3980" spans="1:47">
      <c r="A3980" s="33" t="str">
        <f t="shared" si="1198"/>
        <v>FY 24/25</v>
      </c>
      <c r="B3980" s="23">
        <v>2025</v>
      </c>
      <c r="C3980" s="23">
        <v>3</v>
      </c>
      <c r="D3980" s="202" t="str">
        <f t="shared" si="1211"/>
        <v>Q4</v>
      </c>
      <c r="E3980" s="33" t="str">
        <f t="shared" si="1197"/>
        <v>FY 25/26</v>
      </c>
      <c r="F3980" s="23">
        <v>2025</v>
      </c>
      <c r="G3980" s="23">
        <v>5</v>
      </c>
      <c r="H3980" s="29"/>
      <c r="I3980" s="204" t="str">
        <f t="shared" si="1214"/>
        <v>Q1</v>
      </c>
      <c r="J3980" s="188" t="s">
        <v>3731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208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213"/>
        <v>1.13</v>
      </c>
      <c r="Z3980" s="196">
        <f t="shared" si="1212"/>
        <v>393000</v>
      </c>
      <c r="AA3980" s="22">
        <v>1.0720000000000001</v>
      </c>
      <c r="AB3980" s="197">
        <f t="shared" si="1196"/>
        <v>372828.31858407089</v>
      </c>
      <c r="AC3980" s="198">
        <f t="shared" si="1200"/>
        <v>44739.398230088504</v>
      </c>
      <c r="AD3980" s="169">
        <v>0.12</v>
      </c>
      <c r="AE3980" s="199">
        <f t="shared" si="1229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36"/>
        <v>25644924.956447776</v>
      </c>
      <c r="AJ3980" s="200">
        <f t="shared" si="1237"/>
        <v>3058146.223092318</v>
      </c>
      <c r="AK3980" s="201">
        <f t="shared" si="1230"/>
        <v>0.11924956802509276</v>
      </c>
      <c r="AL3980" s="24"/>
      <c r="AM3980" s="24"/>
      <c r="AN3980" s="24"/>
      <c r="AO3980" s="24"/>
      <c r="AP3980" s="165" t="str">
        <f t="shared" si="1231"/>
        <v>20255</v>
      </c>
      <c r="AQ3980" s="203" t="str">
        <f t="shared" si="1232"/>
        <v>20255RMB</v>
      </c>
      <c r="AR3980" s="206" t="str">
        <f t="shared" si="1233"/>
        <v>YAMAHA_Mounter</v>
      </c>
      <c r="AS3980" s="22">
        <f t="shared" si="1234"/>
        <v>2</v>
      </c>
      <c r="AT3980" s="24" t="str">
        <f t="shared" si="1235"/>
        <v>0-3 months</v>
      </c>
      <c r="AU3980" s="22" t="s">
        <v>3750</v>
      </c>
    </row>
    <row r="3981" spans="1:47">
      <c r="A3981" s="33" t="str">
        <f t="shared" si="1198"/>
        <v>FY 24/25</v>
      </c>
      <c r="B3981" s="23">
        <v>2025</v>
      </c>
      <c r="C3981" s="23">
        <v>3</v>
      </c>
      <c r="D3981" s="202" t="str">
        <f t="shared" si="1211"/>
        <v>Q4</v>
      </c>
      <c r="E3981" s="33" t="str">
        <f t="shared" si="1197"/>
        <v>FY 25/26</v>
      </c>
      <c r="F3981" s="23">
        <v>2025</v>
      </c>
      <c r="G3981" s="23">
        <v>5</v>
      </c>
      <c r="H3981" s="29"/>
      <c r="I3981" s="204" t="str">
        <f t="shared" si="1214"/>
        <v>Q1</v>
      </c>
      <c r="J3981" s="188" t="s">
        <v>3731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208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213"/>
        <v>1.13</v>
      </c>
      <c r="Z3981" s="196">
        <f t="shared" si="1212"/>
        <v>393000</v>
      </c>
      <c r="AA3981" s="22">
        <v>1.0720000000000001</v>
      </c>
      <c r="AB3981" s="197">
        <f t="shared" si="1196"/>
        <v>372828.31858407089</v>
      </c>
      <c r="AC3981" s="198">
        <f t="shared" si="1200"/>
        <v>44739.398230088504</v>
      </c>
      <c r="AD3981" s="169">
        <v>0.12</v>
      </c>
      <c r="AE3981" s="199">
        <f t="shared" si="1229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36"/>
        <v>25644924.956447776</v>
      </c>
      <c r="AJ3981" s="200">
        <f t="shared" si="1237"/>
        <v>3058146.223092318</v>
      </c>
      <c r="AK3981" s="201">
        <f t="shared" si="1230"/>
        <v>0.11924956802509276</v>
      </c>
      <c r="AL3981" s="24"/>
      <c r="AM3981" s="24"/>
      <c r="AN3981" s="24"/>
      <c r="AO3981" s="24"/>
      <c r="AP3981" s="165" t="str">
        <f t="shared" si="1231"/>
        <v>20255</v>
      </c>
      <c r="AQ3981" s="203" t="str">
        <f t="shared" si="1232"/>
        <v>20255RMB</v>
      </c>
      <c r="AR3981" s="206" t="str">
        <f t="shared" si="1233"/>
        <v>YAMAHA_Mounter</v>
      </c>
      <c r="AS3981" s="22">
        <f t="shared" si="1234"/>
        <v>2</v>
      </c>
      <c r="AT3981" s="24" t="str">
        <f t="shared" si="1235"/>
        <v>0-3 months</v>
      </c>
      <c r="AU3981" s="22" t="s">
        <v>3750</v>
      </c>
    </row>
    <row r="3982" spans="1:47">
      <c r="A3982" s="33" t="str">
        <f t="shared" si="1198"/>
        <v>FY 24/25</v>
      </c>
      <c r="B3982" s="23">
        <v>2025</v>
      </c>
      <c r="C3982" s="23">
        <v>3</v>
      </c>
      <c r="D3982" s="202" t="str">
        <f t="shared" si="1211"/>
        <v>Q4</v>
      </c>
      <c r="E3982" s="33" t="str">
        <f t="shared" si="1197"/>
        <v>FY 25/26</v>
      </c>
      <c r="F3982" s="23">
        <v>2025</v>
      </c>
      <c r="G3982" s="23">
        <v>4</v>
      </c>
      <c r="H3982" s="29"/>
      <c r="I3982" s="204" t="str">
        <f t="shared" si="1214"/>
        <v>Q1</v>
      </c>
      <c r="J3982" s="188" t="s">
        <v>3732</v>
      </c>
      <c r="K3982" s="29" t="s">
        <v>3733</v>
      </c>
      <c r="L3982" s="24" t="s">
        <v>3698</v>
      </c>
      <c r="M3982" s="13" t="s">
        <v>60</v>
      </c>
      <c r="N3982" s="22">
        <v>1</v>
      </c>
      <c r="O3982" s="22"/>
      <c r="P3982" s="202" t="str">
        <f t="shared" si="1208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213"/>
        <v>1.13</v>
      </c>
      <c r="Z3982" s="196">
        <f t="shared" si="1212"/>
        <v>980000</v>
      </c>
      <c r="AA3982" s="22">
        <v>1.0720000000000001</v>
      </c>
      <c r="AB3982" s="197">
        <f t="shared" si="1196"/>
        <v>929699.11504424794</v>
      </c>
      <c r="AC3982" s="198">
        <f t="shared" si="1200"/>
        <v>92319.122123893816</v>
      </c>
      <c r="AD3982" s="169">
        <v>9.9299999999999999E-2</v>
      </c>
      <c r="AE3982" s="199">
        <f t="shared" si="1229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36"/>
        <v>32703423.380530968</v>
      </c>
      <c r="AJ3982" s="200">
        <f t="shared" si="1237"/>
        <v>3885921.2623008853</v>
      </c>
      <c r="AK3982" s="201">
        <f t="shared" si="1230"/>
        <v>0.118823072957379</v>
      </c>
      <c r="AL3982" s="24"/>
      <c r="AM3982" s="24"/>
      <c r="AN3982" s="24"/>
      <c r="AO3982" s="24"/>
      <c r="AP3982" s="165" t="str">
        <f t="shared" si="1231"/>
        <v>20254</v>
      </c>
      <c r="AQ3982" s="203" t="str">
        <f t="shared" si="1232"/>
        <v>20254RMB</v>
      </c>
      <c r="AR3982" s="206" t="str">
        <f t="shared" si="1233"/>
        <v>YAMAHA_Mounter</v>
      </c>
      <c r="AS3982" s="22">
        <f t="shared" si="1234"/>
        <v>1</v>
      </c>
      <c r="AT3982" s="24" t="str">
        <f t="shared" si="1235"/>
        <v>0-3 months</v>
      </c>
      <c r="AU3982" s="22" t="s">
        <v>3750</v>
      </c>
    </row>
    <row r="3983" spans="1:47">
      <c r="A3983" s="33" t="str">
        <f t="shared" si="1198"/>
        <v>FY 24/25</v>
      </c>
      <c r="B3983" s="23">
        <v>2025</v>
      </c>
      <c r="C3983" s="23">
        <v>3</v>
      </c>
      <c r="D3983" s="202" t="str">
        <f t="shared" si="1211"/>
        <v>Q4</v>
      </c>
      <c r="E3983" s="33" t="str">
        <f t="shared" si="1197"/>
        <v>FY 25/26</v>
      </c>
      <c r="F3983" s="23">
        <v>2025</v>
      </c>
      <c r="G3983" s="23">
        <v>4</v>
      </c>
      <c r="H3983" s="29"/>
      <c r="I3983" s="204" t="str">
        <f t="shared" si="1214"/>
        <v>Q1</v>
      </c>
      <c r="J3983" s="188" t="s">
        <v>3732</v>
      </c>
      <c r="K3983" s="29" t="s">
        <v>3733</v>
      </c>
      <c r="L3983" s="24" t="s">
        <v>3698</v>
      </c>
      <c r="M3983" s="13" t="s">
        <v>60</v>
      </c>
      <c r="N3983" s="22">
        <v>1</v>
      </c>
      <c r="O3983" s="22"/>
      <c r="P3983" s="202" t="str">
        <f t="shared" si="1208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213"/>
        <v>1.13</v>
      </c>
      <c r="Z3983" s="196">
        <f t="shared" si="1212"/>
        <v>980000</v>
      </c>
      <c r="AA3983" s="22">
        <v>1.0720000000000001</v>
      </c>
      <c r="AB3983" s="197">
        <f t="shared" si="1196"/>
        <v>929699.11504424794</v>
      </c>
      <c r="AC3983" s="198">
        <f t="shared" si="1200"/>
        <v>92319.122123893816</v>
      </c>
      <c r="AD3983" s="169">
        <v>9.9299999999999999E-2</v>
      </c>
      <c r="AE3983" s="199">
        <f t="shared" si="1229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36"/>
        <v>32703423.380530968</v>
      </c>
      <c r="AJ3983" s="200">
        <f t="shared" si="1237"/>
        <v>3885921.2623008853</v>
      </c>
      <c r="AK3983" s="201">
        <f t="shared" si="1230"/>
        <v>0.118823072957379</v>
      </c>
      <c r="AL3983" s="24"/>
      <c r="AM3983" s="24"/>
      <c r="AN3983" s="24"/>
      <c r="AO3983" s="24"/>
      <c r="AP3983" s="165" t="str">
        <f t="shared" si="1231"/>
        <v>20254</v>
      </c>
      <c r="AQ3983" s="203" t="str">
        <f t="shared" si="1232"/>
        <v>20254RMB</v>
      </c>
      <c r="AR3983" s="206" t="str">
        <f t="shared" si="1233"/>
        <v>YAMAHA_Mounter</v>
      </c>
      <c r="AS3983" s="22">
        <f t="shared" si="1206"/>
        <v>1</v>
      </c>
      <c r="AT3983" s="24" t="str">
        <f t="shared" si="1207"/>
        <v>0-3 months</v>
      </c>
      <c r="AU3983" s="22" t="s">
        <v>3750</v>
      </c>
    </row>
    <row r="3984" spans="1:47">
      <c r="A3984" s="33" t="str">
        <f t="shared" si="1198"/>
        <v>FY 24/25</v>
      </c>
      <c r="B3984" s="23">
        <v>2025</v>
      </c>
      <c r="C3984" s="23">
        <v>3</v>
      </c>
      <c r="D3984" s="202" t="str">
        <f t="shared" si="1211"/>
        <v>Q4</v>
      </c>
      <c r="E3984" s="33" t="str">
        <f t="shared" si="1197"/>
        <v>FY 25/26</v>
      </c>
      <c r="F3984" s="23">
        <v>2025</v>
      </c>
      <c r="G3984" s="23">
        <v>5</v>
      </c>
      <c r="H3984" s="29"/>
      <c r="I3984" s="204" t="str">
        <f t="shared" si="1214"/>
        <v>Q1</v>
      </c>
      <c r="J3984" s="188" t="s">
        <v>3732</v>
      </c>
      <c r="K3984" s="29" t="s">
        <v>3733</v>
      </c>
      <c r="L3984" s="24" t="s">
        <v>3698</v>
      </c>
      <c r="M3984" s="13" t="s">
        <v>60</v>
      </c>
      <c r="N3984" s="22">
        <v>1</v>
      </c>
      <c r="O3984" s="22"/>
      <c r="P3984" s="202" t="str">
        <f t="shared" si="1208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213"/>
        <v>1.13</v>
      </c>
      <c r="Z3984" s="196">
        <f t="shared" si="1212"/>
        <v>980000</v>
      </c>
      <c r="AA3984" s="22">
        <v>1.0720000000000001</v>
      </c>
      <c r="AB3984" s="197">
        <f t="shared" si="1196"/>
        <v>929699.11504424794</v>
      </c>
      <c r="AC3984" s="198">
        <f t="shared" si="1200"/>
        <v>92319.122123893816</v>
      </c>
      <c r="AD3984" s="169">
        <v>9.9299999999999999E-2</v>
      </c>
      <c r="AE3984" s="199">
        <f t="shared" si="1229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36"/>
        <v>25644924.956447776</v>
      </c>
      <c r="AJ3984" s="200">
        <f t="shared" si="1237"/>
        <v>3058146.223092318</v>
      </c>
      <c r="AK3984" s="201">
        <f t="shared" si="1230"/>
        <v>0.11924956802509276</v>
      </c>
      <c r="AL3984" s="24"/>
      <c r="AM3984" s="24"/>
      <c r="AN3984" s="24"/>
      <c r="AO3984" s="24"/>
      <c r="AP3984" s="165" t="str">
        <f t="shared" si="1231"/>
        <v>20255</v>
      </c>
      <c r="AQ3984" s="203" t="str">
        <f t="shared" si="1232"/>
        <v>20255RMB</v>
      </c>
      <c r="AR3984" s="206" t="str">
        <f t="shared" si="1233"/>
        <v>YAMAHA_Mounter</v>
      </c>
      <c r="AS3984" s="22">
        <f t="shared" si="1206"/>
        <v>2</v>
      </c>
      <c r="AT3984" s="24" t="str">
        <f t="shared" si="1207"/>
        <v>0-3 months</v>
      </c>
      <c r="AU3984" s="22" t="s">
        <v>3750</v>
      </c>
    </row>
    <row r="3985" spans="1:47">
      <c r="A3985" s="33" t="str">
        <f t="shared" si="1198"/>
        <v>FY 24/25</v>
      </c>
      <c r="B3985" s="23">
        <v>2025</v>
      </c>
      <c r="C3985" s="23">
        <v>3</v>
      </c>
      <c r="D3985" s="202" t="str">
        <f t="shared" si="1211"/>
        <v>Q4</v>
      </c>
      <c r="E3985" s="33" t="str">
        <f t="shared" si="1197"/>
        <v>FY 24/25</v>
      </c>
      <c r="F3985" s="23">
        <v>2025</v>
      </c>
      <c r="G3985" s="23">
        <v>3</v>
      </c>
      <c r="H3985" s="29"/>
      <c r="I3985" s="204" t="str">
        <f t="shared" si="1199"/>
        <v>Q4</v>
      </c>
      <c r="J3985" s="188" t="s">
        <v>3732</v>
      </c>
      <c r="K3985" s="29" t="s">
        <v>3733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208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213"/>
        <v>1.13</v>
      </c>
      <c r="Z3985" s="196">
        <f t="shared" si="1212"/>
        <v>900000</v>
      </c>
      <c r="AA3985" s="22">
        <v>1.0669999999999999</v>
      </c>
      <c r="AB3985" s="197">
        <f t="shared" si="1196"/>
        <v>849823.00884955749</v>
      </c>
      <c r="AC3985" s="198">
        <f t="shared" si="1200"/>
        <v>84387.424778761051</v>
      </c>
      <c r="AD3985" s="169">
        <v>9.9299999999999999E-2</v>
      </c>
      <c r="AE3985" s="199">
        <f t="shared" si="1229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36"/>
        <v>18296867.955752224</v>
      </c>
      <c r="AJ3985" s="200">
        <f t="shared" si="1237"/>
        <v>2173426.9949823013</v>
      </c>
      <c r="AK3985" s="201">
        <f t="shared" si="1230"/>
        <v>0.11878683281960357</v>
      </c>
      <c r="AL3985" s="24"/>
      <c r="AM3985" s="24"/>
      <c r="AN3985" s="24"/>
      <c r="AO3985" s="24"/>
      <c r="AP3985" s="165" t="str">
        <f t="shared" si="1231"/>
        <v>20253</v>
      </c>
      <c r="AQ3985" s="203" t="str">
        <f t="shared" si="1232"/>
        <v>20253RMB</v>
      </c>
      <c r="AR3985" s="206" t="str">
        <f t="shared" si="1233"/>
        <v>YAMAHA_Mounter</v>
      </c>
      <c r="AS3985" s="22">
        <f t="shared" si="1206"/>
        <v>0</v>
      </c>
      <c r="AT3985" s="24" t="str">
        <f t="shared" si="1207"/>
        <v>0-3 months</v>
      </c>
      <c r="AU3985" s="22" t="s">
        <v>3750</v>
      </c>
    </row>
    <row r="3986" spans="1:47">
      <c r="A3986" s="33" t="str">
        <f t="shared" si="1198"/>
        <v>FY 24/25</v>
      </c>
      <c r="B3986" s="23">
        <v>2025</v>
      </c>
      <c r="C3986" s="23">
        <v>3</v>
      </c>
      <c r="D3986" s="202" t="str">
        <f t="shared" si="1211"/>
        <v>Q4</v>
      </c>
      <c r="E3986" s="33" t="str">
        <f t="shared" si="1197"/>
        <v>FY 24/25</v>
      </c>
      <c r="F3986" s="23">
        <v>2025</v>
      </c>
      <c r="G3986" s="23">
        <v>3</v>
      </c>
      <c r="H3986" s="29"/>
      <c r="I3986" s="204" t="str">
        <f t="shared" si="1199"/>
        <v>Q4</v>
      </c>
      <c r="J3986" s="188" t="s">
        <v>3732</v>
      </c>
      <c r="K3986" s="29" t="s">
        <v>3733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208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213"/>
        <v>1.13</v>
      </c>
      <c r="Z3986" s="196">
        <f t="shared" si="1212"/>
        <v>680000</v>
      </c>
      <c r="AA3986" s="22">
        <v>1.0669999999999999</v>
      </c>
      <c r="AB3986" s="197">
        <f t="shared" ref="AB3986:AB3994" si="1238">IF(AND(R3986&lt;&gt;"C66",R3986&lt;&gt;""),Z3986/Y3986*AA3986,"")</f>
        <v>642088.49557522126</v>
      </c>
      <c r="AC3986" s="198">
        <f t="shared" si="1200"/>
        <v>63759.387610619473</v>
      </c>
      <c r="AD3986" s="169">
        <v>9.9299999999999999E-2</v>
      </c>
      <c r="AE3986" s="199">
        <f t="shared" si="1229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36"/>
        <v>18296867.955752224</v>
      </c>
      <c r="AJ3986" s="200">
        <f t="shared" si="1237"/>
        <v>2173426.9949823013</v>
      </c>
      <c r="AK3986" s="201">
        <f t="shared" si="1230"/>
        <v>0.11878683281960357</v>
      </c>
      <c r="AL3986" s="24"/>
      <c r="AM3986" s="24"/>
      <c r="AN3986" s="24"/>
      <c r="AO3986" s="24"/>
      <c r="AP3986" s="165" t="str">
        <f t="shared" si="1231"/>
        <v>20253</v>
      </c>
      <c r="AQ3986" s="203" t="str">
        <f t="shared" si="1232"/>
        <v>20253RMB</v>
      </c>
      <c r="AR3986" s="206" t="str">
        <f t="shared" si="1233"/>
        <v>YAMAHA_Mounter</v>
      </c>
      <c r="AS3986" s="22">
        <f t="shared" si="1206"/>
        <v>0</v>
      </c>
      <c r="AT3986" s="24" t="str">
        <f t="shared" si="1207"/>
        <v>0-3 months</v>
      </c>
      <c r="AU3986" s="22" t="s">
        <v>3750</v>
      </c>
    </row>
    <row r="3987" spans="1:47">
      <c r="A3987" s="33" t="str">
        <f t="shared" si="1198"/>
        <v>FY 24/25</v>
      </c>
      <c r="B3987" s="23">
        <v>2025</v>
      </c>
      <c r="C3987" s="23">
        <v>3</v>
      </c>
      <c r="D3987" s="202" t="str">
        <f t="shared" si="1211"/>
        <v>Q4</v>
      </c>
      <c r="E3987" s="33" t="str">
        <f t="shared" si="1197"/>
        <v>FY 24/25</v>
      </c>
      <c r="F3987" s="23">
        <v>2025</v>
      </c>
      <c r="G3987" s="23">
        <v>3</v>
      </c>
      <c r="H3987" s="29"/>
      <c r="I3987" s="204" t="str">
        <f t="shared" si="1199"/>
        <v>Q4</v>
      </c>
      <c r="J3987" s="188" t="s">
        <v>3732</v>
      </c>
      <c r="K3987" s="29" t="s">
        <v>3733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208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213"/>
        <v>1.13</v>
      </c>
      <c r="Z3987" s="196">
        <f t="shared" si="1212"/>
        <v>680000</v>
      </c>
      <c r="AA3987" s="22">
        <v>1.0669999999999999</v>
      </c>
      <c r="AB3987" s="197">
        <f t="shared" si="1238"/>
        <v>642088.49557522126</v>
      </c>
      <c r="AC3987" s="198">
        <f t="shared" si="1200"/>
        <v>63759.387610619473</v>
      </c>
      <c r="AD3987" s="169">
        <v>9.9299999999999999E-2</v>
      </c>
      <c r="AE3987" s="199">
        <f t="shared" si="1229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36"/>
        <v>18296867.955752224</v>
      </c>
      <c r="AJ3987" s="200">
        <f t="shared" si="1237"/>
        <v>2173426.9949823013</v>
      </c>
      <c r="AK3987" s="201">
        <f t="shared" si="1230"/>
        <v>0.11878683281960357</v>
      </c>
      <c r="AL3987" s="24"/>
      <c r="AM3987" s="24"/>
      <c r="AN3987" s="24"/>
      <c r="AO3987" s="24"/>
      <c r="AP3987" s="165" t="str">
        <f t="shared" si="1203"/>
        <v>20253</v>
      </c>
      <c r="AQ3987" s="203" t="str">
        <f t="shared" si="1204"/>
        <v>20253RMB</v>
      </c>
      <c r="AR3987" s="206" t="str">
        <f t="shared" si="1205"/>
        <v>YAMAHA_Mounter</v>
      </c>
      <c r="AS3987" s="22">
        <f t="shared" si="1206"/>
        <v>0</v>
      </c>
      <c r="AT3987" s="24" t="str">
        <f t="shared" si="1207"/>
        <v>0-3 months</v>
      </c>
      <c r="AU3987" s="22" t="s">
        <v>3750</v>
      </c>
    </row>
    <row r="3988" spans="1:47">
      <c r="A3988" s="33" t="str">
        <f t="shared" si="1198"/>
        <v>FY 24/25</v>
      </c>
      <c r="B3988" s="23">
        <v>2025</v>
      </c>
      <c r="C3988" s="23">
        <v>3</v>
      </c>
      <c r="D3988" s="202" t="str">
        <f t="shared" si="1211"/>
        <v>Q4</v>
      </c>
      <c r="E3988" s="33" t="str">
        <f t="shared" si="1197"/>
        <v>FY 25/26</v>
      </c>
      <c r="F3988" s="23">
        <v>2025</v>
      </c>
      <c r="G3988" s="23">
        <v>4</v>
      </c>
      <c r="H3988" s="29"/>
      <c r="I3988" s="204" t="str">
        <f t="shared" si="1199"/>
        <v>Q1</v>
      </c>
      <c r="J3988" s="188" t="s">
        <v>3734</v>
      </c>
      <c r="K3988" s="29" t="s">
        <v>3735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208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213"/>
        <v>1.13</v>
      </c>
      <c r="Z3988" s="196">
        <f t="shared" si="1212"/>
        <v>410000</v>
      </c>
      <c r="AA3988" s="22">
        <v>1.0720000000000001</v>
      </c>
      <c r="AB3988" s="197">
        <f t="shared" si="1238"/>
        <v>388955.75221238949</v>
      </c>
      <c r="AC3988" s="198">
        <f t="shared" si="1200"/>
        <v>46674.690265486737</v>
      </c>
      <c r="AD3988" s="169">
        <v>0.12</v>
      </c>
      <c r="AE3988" s="199">
        <f t="shared" si="1229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36"/>
        <v>32703423.380530968</v>
      </c>
      <c r="AJ3988" s="200">
        <f t="shared" si="1237"/>
        <v>3885921.2623008853</v>
      </c>
      <c r="AK3988" s="201">
        <f t="shared" si="1230"/>
        <v>0.118823072957379</v>
      </c>
      <c r="AL3988" s="24"/>
      <c r="AM3988" s="24"/>
      <c r="AN3988" s="24"/>
      <c r="AO3988" s="24"/>
      <c r="AP3988" s="165" t="str">
        <f t="shared" si="1203"/>
        <v>20254</v>
      </c>
      <c r="AQ3988" s="203" t="str">
        <f t="shared" si="1204"/>
        <v>20254RMB</v>
      </c>
      <c r="AR3988" s="206" t="str">
        <f t="shared" si="1205"/>
        <v>YAMAHA_Mounter</v>
      </c>
      <c r="AS3988" s="22">
        <f t="shared" si="1206"/>
        <v>1</v>
      </c>
      <c r="AT3988" s="24" t="str">
        <f t="shared" si="1207"/>
        <v>0-3 months</v>
      </c>
      <c r="AU3988" s="22" t="s">
        <v>3240</v>
      </c>
    </row>
    <row r="3989" spans="1:47" ht="26.4">
      <c r="A3989" s="33" t="str">
        <f t="shared" si="1198"/>
        <v>FY 24/25</v>
      </c>
      <c r="B3989" s="23">
        <v>2025</v>
      </c>
      <c r="C3989" s="23">
        <v>3</v>
      </c>
      <c r="D3989" s="202" t="str">
        <f t="shared" si="1211"/>
        <v>Q4</v>
      </c>
      <c r="E3989" s="33" t="str">
        <f t="shared" si="1197"/>
        <v>FY 24/25</v>
      </c>
      <c r="F3989" s="23">
        <v>2025</v>
      </c>
      <c r="G3989" s="23">
        <v>3</v>
      </c>
      <c r="H3989" s="29"/>
      <c r="I3989" s="204" t="str">
        <f t="shared" si="1199"/>
        <v>Q4</v>
      </c>
      <c r="J3989" s="188" t="s">
        <v>3736</v>
      </c>
      <c r="K3989" s="29" t="s">
        <v>1446</v>
      </c>
      <c r="L3989" s="24" t="s">
        <v>3737</v>
      </c>
      <c r="M3989" s="13" t="s">
        <v>60</v>
      </c>
      <c r="N3989" s="22"/>
      <c r="O3989" s="22">
        <v>1</v>
      </c>
      <c r="P3989" s="202" t="str">
        <f t="shared" si="1208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213"/>
        <v>1.13</v>
      </c>
      <c r="Z3989" s="196">
        <f t="shared" si="1212"/>
        <v>15000</v>
      </c>
      <c r="AA3989" s="22">
        <v>1.0669999999999999</v>
      </c>
      <c r="AB3989" s="197">
        <f t="shared" si="1238"/>
        <v>14163.716814159292</v>
      </c>
      <c r="AC3989" s="198">
        <f t="shared" si="1200"/>
        <v>1699.646017699115</v>
      </c>
      <c r="AD3989" s="169">
        <v>0.12</v>
      </c>
      <c r="AE3989" s="199">
        <f t="shared" si="1229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36"/>
        <v>18296867.955752224</v>
      </c>
      <c r="AJ3989" s="200">
        <f t="shared" si="1237"/>
        <v>2173426.9949823013</v>
      </c>
      <c r="AK3989" s="201">
        <f t="shared" si="1230"/>
        <v>0.11878683281960357</v>
      </c>
      <c r="AL3989" s="24"/>
      <c r="AM3989" s="24"/>
      <c r="AN3989" s="24"/>
      <c r="AO3989" s="24"/>
      <c r="AP3989" s="165" t="str">
        <f t="shared" si="1203"/>
        <v>20253</v>
      </c>
      <c r="AQ3989" s="203" t="str">
        <f t="shared" si="1204"/>
        <v>20253RMB</v>
      </c>
      <c r="AR3989" s="206" t="str">
        <f t="shared" si="1205"/>
        <v>YAMAHA_Mounter</v>
      </c>
      <c r="AS3989" s="22">
        <f t="shared" si="1206"/>
        <v>0</v>
      </c>
      <c r="AT3989" s="24" t="str">
        <f t="shared" si="1207"/>
        <v>0-3 months</v>
      </c>
      <c r="AU3989" s="22" t="s">
        <v>3240</v>
      </c>
    </row>
    <row r="3990" spans="1:47">
      <c r="A3990" s="33" t="str">
        <f t="shared" si="1198"/>
        <v>FY 24/25</v>
      </c>
      <c r="B3990" s="23">
        <v>2025</v>
      </c>
      <c r="C3990" s="23">
        <v>3</v>
      </c>
      <c r="D3990" s="202" t="str">
        <f t="shared" si="1211"/>
        <v>Q4</v>
      </c>
      <c r="E3990" s="33" t="str">
        <f t="shared" si="1197"/>
        <v>FY 24/25</v>
      </c>
      <c r="F3990" s="23">
        <v>2025</v>
      </c>
      <c r="G3990" s="23">
        <v>3</v>
      </c>
      <c r="H3990" s="29"/>
      <c r="I3990" s="204" t="str">
        <f t="shared" si="1199"/>
        <v>Q4</v>
      </c>
      <c r="J3990" s="188" t="s">
        <v>3738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208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3739</v>
      </c>
      <c r="V3990" s="22" t="s">
        <v>126</v>
      </c>
      <c r="W3990" s="22" t="s">
        <v>64</v>
      </c>
      <c r="X3990" s="104">
        <v>386000</v>
      </c>
      <c r="Y3990" s="195" t="str">
        <f t="shared" si="1213"/>
        <v>1.13</v>
      </c>
      <c r="Z3990" s="196">
        <f t="shared" si="1212"/>
        <v>386000</v>
      </c>
      <c r="AA3990" s="22">
        <v>1.0669999999999999</v>
      </c>
      <c r="AB3990" s="197">
        <f t="shared" si="1238"/>
        <v>364479.64601769909</v>
      </c>
      <c r="AC3990" s="198">
        <f t="shared" si="1200"/>
        <v>41259.095929203533</v>
      </c>
      <c r="AD3990" s="169">
        <v>0.1132</v>
      </c>
      <c r="AE3990" s="199">
        <f t="shared" si="1229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36"/>
        <v>18296867.955752224</v>
      </c>
      <c r="AJ3990" s="200">
        <f t="shared" si="1237"/>
        <v>2173426.9949823013</v>
      </c>
      <c r="AK3990" s="201">
        <f t="shared" si="1230"/>
        <v>0.11878683281960357</v>
      </c>
      <c r="AL3990" s="24"/>
      <c r="AM3990" s="24"/>
      <c r="AN3990" s="24"/>
      <c r="AO3990" s="24"/>
      <c r="AP3990" s="165" t="str">
        <f t="shared" si="1203"/>
        <v>20253</v>
      </c>
      <c r="AQ3990" s="203" t="str">
        <f t="shared" si="1204"/>
        <v>20253RMB</v>
      </c>
      <c r="AR3990" s="206" t="str">
        <f t="shared" si="1205"/>
        <v>YAMAHA_Mounter</v>
      </c>
      <c r="AS3990" s="22">
        <f t="shared" si="1206"/>
        <v>0</v>
      </c>
      <c r="AT3990" s="24" t="str">
        <f t="shared" si="1207"/>
        <v>0-3 months</v>
      </c>
      <c r="AU3990" s="22" t="s">
        <v>3750</v>
      </c>
    </row>
    <row r="3991" spans="1:47">
      <c r="A3991" s="33" t="str">
        <f t="shared" si="1198"/>
        <v>FY 24/25</v>
      </c>
      <c r="B3991" s="23">
        <v>2025</v>
      </c>
      <c r="C3991" s="23">
        <v>3</v>
      </c>
      <c r="D3991" s="202" t="str">
        <f t="shared" si="1211"/>
        <v>Q4</v>
      </c>
      <c r="E3991" s="33" t="str">
        <f t="shared" si="1197"/>
        <v>FY 24/25</v>
      </c>
      <c r="F3991" s="23">
        <v>2025</v>
      </c>
      <c r="G3991" s="23">
        <v>3</v>
      </c>
      <c r="H3991" s="29"/>
      <c r="I3991" s="204" t="str">
        <f t="shared" si="1199"/>
        <v>Q4</v>
      </c>
      <c r="J3991" s="188" t="s">
        <v>3740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208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213"/>
        <v>1.13</v>
      </c>
      <c r="Z3991" s="196">
        <f t="shared" si="1212"/>
        <v>410000</v>
      </c>
      <c r="AA3991" s="22">
        <v>1.0669999999999999</v>
      </c>
      <c r="AB3991" s="197">
        <f t="shared" si="1238"/>
        <v>387141.59292035404</v>
      </c>
      <c r="AC3991" s="198">
        <f t="shared" si="1200"/>
        <v>52728.684955752215</v>
      </c>
      <c r="AD3991" s="169">
        <v>0.13619999999999999</v>
      </c>
      <c r="AE3991" s="199">
        <f t="shared" si="1201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36"/>
        <v>18296867.955752224</v>
      </c>
      <c r="AJ3991" s="200">
        <f t="shared" si="1237"/>
        <v>2173426.9949823013</v>
      </c>
      <c r="AK3991" s="201">
        <f t="shared" si="1202"/>
        <v>0.11878683281960357</v>
      </c>
      <c r="AL3991" s="24"/>
      <c r="AM3991" s="24"/>
      <c r="AN3991" s="24"/>
      <c r="AO3991" s="24"/>
      <c r="AP3991" s="165" t="str">
        <f t="shared" si="1203"/>
        <v>20253</v>
      </c>
      <c r="AQ3991" s="203" t="str">
        <f t="shared" si="1204"/>
        <v>20253RMB</v>
      </c>
      <c r="AR3991" s="206" t="str">
        <f t="shared" si="1205"/>
        <v>YAMAHA_Mounter</v>
      </c>
      <c r="AS3991" s="22">
        <f t="shared" si="1206"/>
        <v>0</v>
      </c>
      <c r="AT3991" s="24" t="str">
        <f t="shared" si="1207"/>
        <v>0-3 months</v>
      </c>
      <c r="AU3991" s="22" t="s">
        <v>3750</v>
      </c>
    </row>
    <row r="3992" spans="1:47">
      <c r="A3992" s="33" t="str">
        <f t="shared" si="1198"/>
        <v>FY 24/25</v>
      </c>
      <c r="B3992" s="23">
        <v>2025</v>
      </c>
      <c r="C3992" s="23">
        <v>3</v>
      </c>
      <c r="D3992" s="202" t="str">
        <f t="shared" si="1211"/>
        <v>Q4</v>
      </c>
      <c r="E3992" s="33" t="str">
        <f t="shared" ref="E3992:E4055" si="1239">IF(G3992="Cancel","Cancel",IF(G3992="TBA","TBA",IFERROR(IF(I3992="Q4","FY "&amp;RIGHT(F3992,2)-1&amp;"/"&amp;RIGHT(F3992,2),"FY "&amp;RIGHT(F3992,2)&amp;"/"&amp;RIGHT(F3992,2)+1),"")))</f>
        <v>FY 25/26</v>
      </c>
      <c r="F3992" s="23">
        <v>2025</v>
      </c>
      <c r="G3992" s="23">
        <v>5</v>
      </c>
      <c r="H3992" s="29"/>
      <c r="I3992" s="204" t="str">
        <f t="shared" si="1199"/>
        <v>Q1</v>
      </c>
      <c r="J3992" s="188" t="s">
        <v>3741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208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213"/>
        <v>1.13</v>
      </c>
      <c r="Z3992" s="196">
        <f t="shared" si="1212"/>
        <v>393000</v>
      </c>
      <c r="AA3992" s="22">
        <v>1.0720000000000001</v>
      </c>
      <c r="AB3992" s="197">
        <f t="shared" si="1238"/>
        <v>372828.31858407089</v>
      </c>
      <c r="AC3992" s="198">
        <f t="shared" si="1200"/>
        <v>44739.398230088504</v>
      </c>
      <c r="AD3992" s="169">
        <v>0.12</v>
      </c>
      <c r="AE3992" s="199">
        <f t="shared" si="1201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 t="shared" si="1236"/>
        <v>25644924.956447776</v>
      </c>
      <c r="AJ3992" s="200">
        <f t="shared" si="1237"/>
        <v>3058146.223092318</v>
      </c>
      <c r="AK3992" s="201">
        <f t="shared" si="1202"/>
        <v>0.11924956802509276</v>
      </c>
      <c r="AL3992" s="24"/>
      <c r="AM3992" s="24"/>
      <c r="AN3992" s="24"/>
      <c r="AO3992" s="24"/>
      <c r="AP3992" s="165" t="str">
        <f t="shared" si="1203"/>
        <v>20255</v>
      </c>
      <c r="AQ3992" s="203" t="str">
        <f t="shared" si="1204"/>
        <v>20255RMB</v>
      </c>
      <c r="AR3992" s="206" t="str">
        <f t="shared" si="1205"/>
        <v>YAMAHA_Mounter</v>
      </c>
      <c r="AS3992" s="22">
        <f t="shared" si="1206"/>
        <v>2</v>
      </c>
      <c r="AT3992" s="24" t="str">
        <f t="shared" si="1207"/>
        <v>0-3 months</v>
      </c>
      <c r="AU3992" s="22" t="s">
        <v>3750</v>
      </c>
    </row>
    <row r="3993" spans="1:47">
      <c r="A3993" s="33" t="str">
        <f t="shared" si="1198"/>
        <v>FY 24/25</v>
      </c>
      <c r="B3993" s="23">
        <v>2025</v>
      </c>
      <c r="C3993" s="23">
        <v>3</v>
      </c>
      <c r="D3993" s="202" t="str">
        <f t="shared" si="1211"/>
        <v>Q4</v>
      </c>
      <c r="E3993" s="33" t="str">
        <f t="shared" si="1239"/>
        <v>FY 25/26</v>
      </c>
      <c r="F3993" s="23">
        <v>2025</v>
      </c>
      <c r="G3993" s="23">
        <v>5</v>
      </c>
      <c r="H3993" s="29"/>
      <c r="I3993" s="204" t="str">
        <f t="shared" si="1199"/>
        <v>Q1</v>
      </c>
      <c r="J3993" s="188" t="s">
        <v>3741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208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213"/>
        <v>1.13</v>
      </c>
      <c r="Z3993" s="196">
        <f t="shared" si="1212"/>
        <v>393000</v>
      </c>
      <c r="AA3993" s="22">
        <v>1.0720000000000001</v>
      </c>
      <c r="AB3993" s="197">
        <f t="shared" si="1238"/>
        <v>372828.31858407089</v>
      </c>
      <c r="AC3993" s="198">
        <f t="shared" si="1200"/>
        <v>44739.398230088504</v>
      </c>
      <c r="AD3993" s="169">
        <v>0.12</v>
      </c>
      <c r="AE3993" s="199">
        <f t="shared" si="1201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36"/>
        <v>25644924.956447776</v>
      </c>
      <c r="AJ3993" s="200">
        <f t="shared" si="1237"/>
        <v>3058146.223092318</v>
      </c>
      <c r="AK3993" s="201">
        <f t="shared" si="1202"/>
        <v>0.11924956802509276</v>
      </c>
      <c r="AL3993" s="24"/>
      <c r="AM3993" s="24"/>
      <c r="AN3993" s="24"/>
      <c r="AO3993" s="24"/>
      <c r="AP3993" s="165" t="str">
        <f t="shared" si="1203"/>
        <v>20255</v>
      </c>
      <c r="AQ3993" s="203" t="str">
        <f t="shared" si="1204"/>
        <v>20255RMB</v>
      </c>
      <c r="AR3993" s="206" t="str">
        <f t="shared" si="1205"/>
        <v>YAMAHA_Mounter</v>
      </c>
      <c r="AS3993" s="22">
        <f t="shared" si="1206"/>
        <v>2</v>
      </c>
      <c r="AT3993" s="24" t="str">
        <f t="shared" si="1207"/>
        <v>0-3 months</v>
      </c>
      <c r="AU3993" s="22" t="s">
        <v>3750</v>
      </c>
    </row>
    <row r="3994" spans="1:47">
      <c r="A3994" s="33" t="str">
        <f t="shared" si="1198"/>
        <v>FY 24/25</v>
      </c>
      <c r="B3994" s="23">
        <v>2025</v>
      </c>
      <c r="C3994" s="23">
        <v>3</v>
      </c>
      <c r="D3994" s="202" t="str">
        <f t="shared" si="1211"/>
        <v>Q4</v>
      </c>
      <c r="E3994" s="33" t="str">
        <f t="shared" si="1239"/>
        <v>FY 25/26</v>
      </c>
      <c r="F3994" s="23">
        <v>2025</v>
      </c>
      <c r="G3994" s="23">
        <v>5</v>
      </c>
      <c r="H3994" s="29"/>
      <c r="I3994" s="204" t="str">
        <f t="shared" si="1199"/>
        <v>Q1</v>
      </c>
      <c r="J3994" s="188" t="s">
        <v>3754</v>
      </c>
      <c r="K3994" s="29" t="s">
        <v>91</v>
      </c>
      <c r="L3994" s="24" t="s">
        <v>3698</v>
      </c>
      <c r="M3994" s="13" t="s">
        <v>60</v>
      </c>
      <c r="N3994" s="22">
        <v>1</v>
      </c>
      <c r="O3994" s="22"/>
      <c r="P3994" s="202" t="str">
        <f t="shared" si="1208"/>
        <v>MAIN UNIT</v>
      </c>
      <c r="Q3994" s="22" t="s">
        <v>61</v>
      </c>
      <c r="R3994" s="22" t="s">
        <v>62</v>
      </c>
      <c r="S3994" s="22" t="s">
        <v>50</v>
      </c>
      <c r="T3994" s="22" t="s">
        <v>83</v>
      </c>
      <c r="U3994" s="22" t="s">
        <v>70</v>
      </c>
      <c r="V3994" s="22" t="s">
        <v>94</v>
      </c>
      <c r="W3994" s="22" t="s">
        <v>64</v>
      </c>
      <c r="X3994" s="104">
        <v>789386</v>
      </c>
      <c r="Y3994" s="195" t="str">
        <f t="shared" si="1213"/>
        <v>1.13</v>
      </c>
      <c r="Z3994" s="196">
        <f t="shared" si="1212"/>
        <v>789386</v>
      </c>
      <c r="AA3994" s="22">
        <v>1.0720000000000001</v>
      </c>
      <c r="AB3994" s="197">
        <f t="shared" si="1238"/>
        <v>748868.84247787623</v>
      </c>
      <c r="AC3994" s="198">
        <f t="shared" si="1200"/>
        <v>89864.261097345137</v>
      </c>
      <c r="AD3994" s="169">
        <v>0.12</v>
      </c>
      <c r="AE3994" s="199">
        <f t="shared" si="1201"/>
        <v>0</v>
      </c>
      <c r="AF3994" s="199" t="str">
        <f>IF(AND(COUNTIFS($J$18:J3994,J3994)=1,AE3994=1),1,"")</f>
        <v/>
      </c>
      <c r="AG3994" s="199">
        <f>IF(C3994="","",IF(AND(COUNTIFS($J$18:J3994,J3994)=1,C3994&lt;&gt;""),1,""))</f>
        <v>1</v>
      </c>
      <c r="AH3994" s="199">
        <f>IF(G3994="","",IF(AND(COUNTIFS($J$18:J3994,J3994)=1,G3994&lt;&gt;""),1,""))</f>
        <v>1</v>
      </c>
      <c r="AI3994" s="200">
        <f t="shared" si="1236"/>
        <v>25644924.956447776</v>
      </c>
      <c r="AJ3994" s="200">
        <f t="shared" si="1237"/>
        <v>3058146.223092318</v>
      </c>
      <c r="AK3994" s="201">
        <f t="shared" si="1202"/>
        <v>0.11924956802509276</v>
      </c>
      <c r="AL3994" s="24"/>
      <c r="AM3994" s="24"/>
      <c r="AN3994" s="24"/>
      <c r="AO3994" s="24"/>
      <c r="AP3994" s="165" t="str">
        <f t="shared" si="1203"/>
        <v>20255</v>
      </c>
      <c r="AQ3994" s="203" t="str">
        <f t="shared" si="1204"/>
        <v>20255RMB</v>
      </c>
      <c r="AR3994" s="206" t="str">
        <f t="shared" si="1205"/>
        <v>YAMAHA_Mounter</v>
      </c>
      <c r="AS3994" s="22">
        <f t="shared" si="1206"/>
        <v>2</v>
      </c>
      <c r="AT3994" s="24" t="str">
        <f t="shared" si="1207"/>
        <v>0-3 months</v>
      </c>
      <c r="AU3994" s="22" t="s">
        <v>3240</v>
      </c>
    </row>
    <row r="3995" spans="1:47">
      <c r="A3995" s="33" t="str">
        <f t="shared" si="1198"/>
        <v>FY 24/25</v>
      </c>
      <c r="B3995" s="23">
        <v>2025</v>
      </c>
      <c r="C3995" s="23">
        <v>3</v>
      </c>
      <c r="D3995" s="202" t="str">
        <f t="shared" si="1211"/>
        <v>Q4</v>
      </c>
      <c r="E3995" s="33" t="str">
        <f t="shared" si="1239"/>
        <v>FY 25/26</v>
      </c>
      <c r="F3995" s="23">
        <v>2025</v>
      </c>
      <c r="G3995" s="23">
        <v>5</v>
      </c>
      <c r="H3995" s="29"/>
      <c r="I3995" s="204" t="str">
        <f t="shared" si="1199"/>
        <v>Q1</v>
      </c>
      <c r="J3995" s="188" t="s">
        <v>3754</v>
      </c>
      <c r="K3995" s="29" t="s">
        <v>91</v>
      </c>
      <c r="L3995" s="24" t="s">
        <v>3698</v>
      </c>
      <c r="M3995" s="13" t="s">
        <v>60</v>
      </c>
      <c r="N3995" s="22">
        <v>1</v>
      </c>
      <c r="O3995" s="22"/>
      <c r="P3995" s="202" t="str">
        <f t="shared" si="1208"/>
        <v>MAIN UNIT</v>
      </c>
      <c r="Q3995" s="22" t="s">
        <v>61</v>
      </c>
      <c r="R3995" s="22" t="s">
        <v>62</v>
      </c>
      <c r="S3995" s="22" t="s">
        <v>50</v>
      </c>
      <c r="T3995" s="22" t="s">
        <v>83</v>
      </c>
      <c r="U3995" s="22" t="s">
        <v>70</v>
      </c>
      <c r="V3995" s="22" t="s">
        <v>94</v>
      </c>
      <c r="W3995" s="22" t="s">
        <v>64</v>
      </c>
      <c r="X3995" s="104">
        <v>789386</v>
      </c>
      <c r="Y3995" s="195" t="str">
        <f t="shared" ref="Y3995:Y4058" si="1240">IF(W3995="","",IF(W3995="RMB","1.13", "1"))</f>
        <v>1.13</v>
      </c>
      <c r="Z3995" s="196">
        <f t="shared" ref="Z3995:Z4058" si="1241">IF(X3995="","",X3995*MAX(O3995,N3995))</f>
        <v>789386</v>
      </c>
      <c r="AA3995" s="22">
        <v>1.0720000000000001</v>
      </c>
      <c r="AB3995" s="197">
        <f t="shared" ref="AB3995:AB4001" si="1242">IF(AND(R3995&lt;&gt;"C66",R3995&lt;&gt;""),Z3995/Y3995*AA3995,"")</f>
        <v>748868.84247787623</v>
      </c>
      <c r="AC3995" s="198">
        <f t="shared" ref="AC3995:AC4001" si="1243">IF(R3995&lt;&gt;"",AB3995*AD3995,"")</f>
        <v>89864.261097345137</v>
      </c>
      <c r="AD3995" s="169">
        <v>0.12</v>
      </c>
      <c r="AE3995" s="199">
        <f t="shared" ref="AE3995:AE4001" si="1244">IF(Q3995="","",IF(Q3995="Yes",1,0))</f>
        <v>0</v>
      </c>
      <c r="AF3995" s="199" t="str">
        <f>IF(AND(COUNTIFS($J$18:J3995,J3995)=1,AE3995=1),1,"")</f>
        <v/>
      </c>
      <c r="AG3995" s="199" t="str">
        <f>IF(C3995="","",IF(AND(COUNTIFS($J$18:J3995,J3995)=1,C3995&lt;&gt;""),1,""))</f>
        <v/>
      </c>
      <c r="AH3995" s="199" t="str">
        <f>IF(G3995="","",IF(AND(COUNTIFS($J$18:J3995,J3995)=1,G3995&lt;&gt;""),1,""))</f>
        <v/>
      </c>
      <c r="AI3995" s="200">
        <f t="shared" ref="AI3995:AI4001" si="1245">IF(P3995="C66 SERVICE","",SUMIFS(AB:AB,F:F,F3995,G:G,G3995,E:E,E3995))</f>
        <v>25644924.956447776</v>
      </c>
      <c r="AJ3995" s="200">
        <f t="shared" ref="AJ3995:AJ4001" si="1246">IF(P3995="C66 SERVICE","",SUMIFS(AC:AC,F:F,F3995,G:G,G3995,E:E,E3995))</f>
        <v>3058146.223092318</v>
      </c>
      <c r="AK3995" s="201">
        <f t="shared" ref="AK3995:AK4001" si="1247">IF(AJ3995&gt;0,AJ3995/AI3995,"")</f>
        <v>0.11924956802509276</v>
      </c>
      <c r="AL3995" s="24"/>
      <c r="AM3995" s="24"/>
      <c r="AN3995" s="24"/>
      <c r="AO3995" s="24"/>
      <c r="AP3995" s="165" t="str">
        <f t="shared" si="1203"/>
        <v>20255</v>
      </c>
      <c r="AQ3995" s="203" t="str">
        <f t="shared" si="1204"/>
        <v>20255RMB</v>
      </c>
      <c r="AR3995" s="206" t="str">
        <f t="shared" si="1205"/>
        <v>YAMAHA_Mounter</v>
      </c>
      <c r="AS3995" s="22">
        <f t="shared" si="1206"/>
        <v>2</v>
      </c>
      <c r="AT3995" s="24" t="str">
        <f t="shared" si="1207"/>
        <v>0-3 months</v>
      </c>
      <c r="AU3995" s="22" t="s">
        <v>3240</v>
      </c>
    </row>
    <row r="3996" spans="1:47">
      <c r="A3996" s="33" t="str">
        <f t="shared" si="1198"/>
        <v>FY 24/25</v>
      </c>
      <c r="B3996" s="23">
        <v>2025</v>
      </c>
      <c r="C3996" s="23">
        <v>3</v>
      </c>
      <c r="D3996" s="202" t="str">
        <f t="shared" si="1211"/>
        <v>Q4</v>
      </c>
      <c r="E3996" s="33" t="str">
        <f t="shared" si="1239"/>
        <v>FY 25/26</v>
      </c>
      <c r="F3996" s="23">
        <v>2025</v>
      </c>
      <c r="G3996" s="23">
        <v>5</v>
      </c>
      <c r="H3996" s="29"/>
      <c r="I3996" s="204" t="str">
        <f t="shared" si="1199"/>
        <v>Q1</v>
      </c>
      <c r="J3996" s="188" t="s">
        <v>3754</v>
      </c>
      <c r="K3996" s="29" t="s">
        <v>91</v>
      </c>
      <c r="L3996" s="24" t="s">
        <v>3698</v>
      </c>
      <c r="M3996" s="13" t="s">
        <v>60</v>
      </c>
      <c r="N3996" s="22">
        <v>1</v>
      </c>
      <c r="O3996" s="22"/>
      <c r="P3996" s="202" t="str">
        <f t="shared" si="1208"/>
        <v>MAIN UNIT</v>
      </c>
      <c r="Q3996" s="22" t="s">
        <v>61</v>
      </c>
      <c r="R3996" s="22" t="s">
        <v>62</v>
      </c>
      <c r="S3996" s="22" t="s">
        <v>50</v>
      </c>
      <c r="T3996" s="22" t="s">
        <v>83</v>
      </c>
      <c r="U3996" s="22" t="s">
        <v>70</v>
      </c>
      <c r="V3996" s="22" t="s">
        <v>94</v>
      </c>
      <c r="W3996" s="22" t="s">
        <v>64</v>
      </c>
      <c r="X3996" s="104">
        <v>789386</v>
      </c>
      <c r="Y3996" s="195" t="str">
        <f t="shared" si="1240"/>
        <v>1.13</v>
      </c>
      <c r="Z3996" s="196">
        <f t="shared" si="1241"/>
        <v>789386</v>
      </c>
      <c r="AA3996" s="22">
        <v>1.0720000000000001</v>
      </c>
      <c r="AB3996" s="197">
        <f t="shared" si="1242"/>
        <v>748868.84247787623</v>
      </c>
      <c r="AC3996" s="198">
        <f t="shared" si="1243"/>
        <v>89864.261097345137</v>
      </c>
      <c r="AD3996" s="169">
        <v>0.12</v>
      </c>
      <c r="AE3996" s="199">
        <f t="shared" si="1244"/>
        <v>0</v>
      </c>
      <c r="AF3996" s="199" t="str">
        <f>IF(AND(COUNTIFS($J$18:J3996,J3996)=1,AE3996=1),1,"")</f>
        <v/>
      </c>
      <c r="AG3996" s="199" t="str">
        <f>IF(C3996="","",IF(AND(COUNTIFS($J$18:J3996,J3996)=1,C3996&lt;&gt;""),1,""))</f>
        <v/>
      </c>
      <c r="AH3996" s="199" t="str">
        <f>IF(G3996="","",IF(AND(COUNTIFS($J$18:J3996,J3996)=1,G3996&lt;&gt;""),1,""))</f>
        <v/>
      </c>
      <c r="AI3996" s="200">
        <f t="shared" si="1245"/>
        <v>25644924.956447776</v>
      </c>
      <c r="AJ3996" s="200">
        <f t="shared" si="1246"/>
        <v>3058146.223092318</v>
      </c>
      <c r="AK3996" s="201">
        <f t="shared" si="1247"/>
        <v>0.11924956802509276</v>
      </c>
      <c r="AL3996" s="24"/>
      <c r="AM3996" s="24"/>
      <c r="AN3996" s="24"/>
      <c r="AO3996" s="24"/>
      <c r="AP3996" s="165" t="str">
        <f t="shared" si="1203"/>
        <v>20255</v>
      </c>
      <c r="AQ3996" s="203" t="str">
        <f t="shared" si="1204"/>
        <v>20255RMB</v>
      </c>
      <c r="AR3996" s="206" t="str">
        <f t="shared" si="1205"/>
        <v>YAMAHA_Mounter</v>
      </c>
      <c r="AS3996" s="22">
        <f t="shared" si="1206"/>
        <v>2</v>
      </c>
      <c r="AT3996" s="24" t="str">
        <f t="shared" si="1207"/>
        <v>0-3 months</v>
      </c>
      <c r="AU3996" s="22" t="s">
        <v>3240</v>
      </c>
    </row>
    <row r="3997" spans="1:47">
      <c r="A3997" s="33" t="str">
        <f t="shared" si="1198"/>
        <v>FY 24/25</v>
      </c>
      <c r="B3997" s="23">
        <v>2025</v>
      </c>
      <c r="C3997" s="23">
        <v>3</v>
      </c>
      <c r="D3997" s="202" t="str">
        <f t="shared" si="1211"/>
        <v>Q4</v>
      </c>
      <c r="E3997" s="33" t="str">
        <f t="shared" si="1239"/>
        <v>FY 25/26</v>
      </c>
      <c r="F3997" s="23">
        <v>2025</v>
      </c>
      <c r="G3997" s="23">
        <v>5</v>
      </c>
      <c r="H3997" s="29"/>
      <c r="I3997" s="204" t="str">
        <f t="shared" si="1199"/>
        <v>Q1</v>
      </c>
      <c r="J3997" s="188" t="s">
        <v>3754</v>
      </c>
      <c r="K3997" s="29" t="s">
        <v>91</v>
      </c>
      <c r="L3997" s="24" t="s">
        <v>67</v>
      </c>
      <c r="M3997" s="13" t="s">
        <v>60</v>
      </c>
      <c r="N3997" s="22">
        <v>1</v>
      </c>
      <c r="O3997" s="22"/>
      <c r="P3997" s="202" t="str">
        <f t="shared" si="1208"/>
        <v>MAIN UNIT</v>
      </c>
      <c r="Q3997" s="22" t="s">
        <v>61</v>
      </c>
      <c r="R3997" s="22" t="s">
        <v>62</v>
      </c>
      <c r="S3997" s="22" t="s">
        <v>50</v>
      </c>
      <c r="T3997" s="22" t="s">
        <v>83</v>
      </c>
      <c r="U3997" s="22" t="s">
        <v>70</v>
      </c>
      <c r="V3997" s="22" t="s">
        <v>94</v>
      </c>
      <c r="W3997" s="22" t="s">
        <v>64</v>
      </c>
      <c r="X3997" s="104">
        <v>495471</v>
      </c>
      <c r="Y3997" s="195" t="str">
        <f t="shared" si="1240"/>
        <v>1.13</v>
      </c>
      <c r="Z3997" s="196">
        <f t="shared" si="1241"/>
        <v>495471</v>
      </c>
      <c r="AA3997" s="22">
        <v>1.0720000000000001</v>
      </c>
      <c r="AB3997" s="197">
        <f t="shared" si="1242"/>
        <v>470039.74513274344</v>
      </c>
      <c r="AC3997" s="198">
        <f t="shared" si="1243"/>
        <v>56404.769415929208</v>
      </c>
      <c r="AD3997" s="169">
        <v>0.12</v>
      </c>
      <c r="AE3997" s="199">
        <f t="shared" si="1244"/>
        <v>0</v>
      </c>
      <c r="AF3997" s="199" t="str">
        <f>IF(AND(COUNTIFS($J$18:J3997,J3997)=1,AE3997=1),1,"")</f>
        <v/>
      </c>
      <c r="AG3997" s="199" t="str">
        <f>IF(C3997="","",IF(AND(COUNTIFS($J$18:J3997,J3997)=1,C3997&lt;&gt;""),1,""))</f>
        <v/>
      </c>
      <c r="AH3997" s="199" t="str">
        <f>IF(G3997="","",IF(AND(COUNTIFS($J$18:J3997,J3997)=1,G3997&lt;&gt;""),1,""))</f>
        <v/>
      </c>
      <c r="AI3997" s="200">
        <f t="shared" si="1245"/>
        <v>25644924.956447776</v>
      </c>
      <c r="AJ3997" s="200">
        <f t="shared" si="1246"/>
        <v>3058146.223092318</v>
      </c>
      <c r="AK3997" s="201">
        <f t="shared" si="1247"/>
        <v>0.11924956802509276</v>
      </c>
      <c r="AL3997" s="24"/>
      <c r="AM3997" s="24"/>
      <c r="AN3997" s="24"/>
      <c r="AO3997" s="24"/>
      <c r="AP3997" s="165" t="str">
        <f>IF(F3997="","",F3997&amp;G3997)</f>
        <v>20255</v>
      </c>
      <c r="AQ3997" s="166" t="str">
        <f>IF(W3997="","",F3997&amp;G3997&amp;W3997)</f>
        <v>20255RMB</v>
      </c>
      <c r="AR3997" s="206" t="str">
        <f>IFERROR(IF(AND(M3997="YAMAHA", R3997="C28"), "YAMAHA_Non_Mounter", IF(AND(M3997="YAMAHA", R3997="C49"), "YAMAHA_Mounter", M3997)),"")</f>
        <v>YAMAHA_Mounter</v>
      </c>
      <c r="AS3997" s="22">
        <f>IFERROR(IF(OR(G3997="TBA", G3997=""), "", DATEDIF(DATE(B3997, C3997, 1), DATE(F3997, G3997, 1), "M")),"")</f>
        <v>2</v>
      </c>
      <c r="AT3997" s="24" t="str">
        <f>IF(ISNUMBER(AS3997), IF(AS3997&gt;=0, IF(AS3997&lt;=3, "0-3 months", IF(AS3997&lt;=6, "4-6 months", "&gt; 6 months"))), "")</f>
        <v>0-3 months</v>
      </c>
      <c r="AU3997" s="22" t="s">
        <v>3240</v>
      </c>
    </row>
    <row r="3998" spans="1:47">
      <c r="A3998" s="33" t="str">
        <f t="shared" si="1198"/>
        <v>FY 24/25</v>
      </c>
      <c r="B3998" s="23">
        <v>2025</v>
      </c>
      <c r="C3998" s="23">
        <v>3</v>
      </c>
      <c r="D3998" s="202" t="str">
        <f t="shared" si="1211"/>
        <v>Q4</v>
      </c>
      <c r="E3998" s="33" t="str">
        <f t="shared" si="1239"/>
        <v>FY 25/26</v>
      </c>
      <c r="F3998" s="23">
        <v>2025</v>
      </c>
      <c r="G3998" s="23">
        <v>5</v>
      </c>
      <c r="H3998" s="29"/>
      <c r="I3998" s="204" t="str">
        <f t="shared" si="1199"/>
        <v>Q1</v>
      </c>
      <c r="J3998" s="188" t="s">
        <v>3754</v>
      </c>
      <c r="K3998" s="29" t="s">
        <v>91</v>
      </c>
      <c r="L3998" s="24" t="s">
        <v>67</v>
      </c>
      <c r="M3998" s="13" t="s">
        <v>60</v>
      </c>
      <c r="N3998" s="22">
        <v>1</v>
      </c>
      <c r="O3998" s="22"/>
      <c r="P3998" s="202" t="str">
        <f t="shared" si="1208"/>
        <v>MAIN UNIT</v>
      </c>
      <c r="Q3998" s="22" t="s">
        <v>61</v>
      </c>
      <c r="R3998" s="22" t="s">
        <v>62</v>
      </c>
      <c r="S3998" s="22" t="s">
        <v>50</v>
      </c>
      <c r="T3998" s="22" t="s">
        <v>83</v>
      </c>
      <c r="U3998" s="22" t="s">
        <v>70</v>
      </c>
      <c r="V3998" s="22" t="s">
        <v>94</v>
      </c>
      <c r="W3998" s="22" t="s">
        <v>64</v>
      </c>
      <c r="X3998" s="104">
        <v>495471</v>
      </c>
      <c r="Y3998" s="195" t="str">
        <f t="shared" si="1240"/>
        <v>1.13</v>
      </c>
      <c r="Z3998" s="196">
        <f t="shared" si="1241"/>
        <v>495471</v>
      </c>
      <c r="AA3998" s="22">
        <v>1.0720000000000001</v>
      </c>
      <c r="AB3998" s="197">
        <f t="shared" si="1242"/>
        <v>470039.74513274344</v>
      </c>
      <c r="AC3998" s="198">
        <f t="shared" si="1243"/>
        <v>56404.769415929208</v>
      </c>
      <c r="AD3998" s="169">
        <v>0.12</v>
      </c>
      <c r="AE3998" s="199">
        <f t="shared" si="1244"/>
        <v>0</v>
      </c>
      <c r="AF3998" s="199" t="str">
        <f>IF(AND(COUNTIFS($J$18:J3998,J3998)=1,AE3998=1),1,"")</f>
        <v/>
      </c>
      <c r="AG3998" s="199" t="str">
        <f>IF(C3998="","",IF(AND(COUNTIFS($J$18:J3998,J3998)=1,C3998&lt;&gt;""),1,""))</f>
        <v/>
      </c>
      <c r="AH3998" s="199" t="str">
        <f>IF(G3998="","",IF(AND(COUNTIFS($J$18:J3998,J3998)=1,G3998&lt;&gt;""),1,""))</f>
        <v/>
      </c>
      <c r="AI3998" s="200">
        <f t="shared" si="1245"/>
        <v>25644924.956447776</v>
      </c>
      <c r="AJ3998" s="200">
        <f t="shared" si="1246"/>
        <v>3058146.223092318</v>
      </c>
      <c r="AK3998" s="201">
        <f t="shared" si="1247"/>
        <v>0.11924956802509276</v>
      </c>
      <c r="AL3998" s="24"/>
      <c r="AM3998" s="24"/>
      <c r="AN3998" s="24"/>
      <c r="AO3998" s="24"/>
      <c r="AP3998" s="165" t="str">
        <f t="shared" ref="AP3998:AP4001" si="1248">IF(F3998="","",F3998&amp;G3998)</f>
        <v>20255</v>
      </c>
      <c r="AQ3998" s="203" t="str">
        <f t="shared" ref="AQ3998:AQ4001" si="1249">IF(W3998="","",F3998&amp;G3998&amp;W3998)</f>
        <v>20255RMB</v>
      </c>
      <c r="AR3998" s="206" t="str">
        <f t="shared" ref="AR3998:AR4001" si="1250">IFERROR(IF(AND(M3998="YAMAHA", R3998="C28"), "YAMAHA_Non_Mounter", IF(AND(M3998="YAMAHA", R3998="C49"), "YAMAHA_Mounter", M3998)),"")</f>
        <v>YAMAHA_Mounter</v>
      </c>
      <c r="AS3998" s="22">
        <f t="shared" ref="AS3998:AS4001" si="1251">IFERROR(IF(OR(G3998="TBA", G3998=""), "", DATEDIF(DATE(B3998, C3998, 1), DATE(F3998, G3998, 1), "M")),"")</f>
        <v>2</v>
      </c>
      <c r="AT3998" s="24" t="str">
        <f t="shared" ref="AT3998:AT4001" si="1252">IF(ISNUMBER(AS3998), IF(AS3998&gt;=0, IF(AS3998&lt;=3, "0-3 months", IF(AS3998&lt;=6, "4-6 months", "&gt; 6 months"))), "")</f>
        <v>0-3 months</v>
      </c>
      <c r="AU3998" s="22" t="s">
        <v>3240</v>
      </c>
    </row>
    <row r="3999" spans="1:47">
      <c r="A3999" s="33" t="str">
        <f t="shared" si="1198"/>
        <v>FY 24/25</v>
      </c>
      <c r="B3999" s="23">
        <v>2025</v>
      </c>
      <c r="C3999" s="23">
        <v>3</v>
      </c>
      <c r="D3999" s="202" t="str">
        <f t="shared" si="1211"/>
        <v>Q4</v>
      </c>
      <c r="E3999" s="33" t="str">
        <f t="shared" si="1239"/>
        <v>FY 25/26</v>
      </c>
      <c r="F3999" s="23">
        <v>2025</v>
      </c>
      <c r="G3999" s="23">
        <v>5</v>
      </c>
      <c r="H3999" s="29"/>
      <c r="I3999" s="204" t="str">
        <f t="shared" si="1199"/>
        <v>Q1</v>
      </c>
      <c r="J3999" s="188" t="s">
        <v>3755</v>
      </c>
      <c r="K3999" s="29" t="s">
        <v>91</v>
      </c>
      <c r="L3999" s="24" t="s">
        <v>2620</v>
      </c>
      <c r="M3999" s="13" t="s">
        <v>60</v>
      </c>
      <c r="N3999" s="22">
        <v>1</v>
      </c>
      <c r="O3999" s="22"/>
      <c r="P3999" s="202" t="str">
        <f t="shared" si="1208"/>
        <v>MAIN UNIT</v>
      </c>
      <c r="Q3999" s="22" t="s">
        <v>61</v>
      </c>
      <c r="R3999" s="22" t="s">
        <v>2055</v>
      </c>
      <c r="S3999" s="22" t="s">
        <v>50</v>
      </c>
      <c r="T3999" s="22" t="s">
        <v>83</v>
      </c>
      <c r="U3999" s="22" t="s">
        <v>70</v>
      </c>
      <c r="V3999" s="22" t="s">
        <v>94</v>
      </c>
      <c r="W3999" s="22" t="s">
        <v>64</v>
      </c>
      <c r="X3999" s="104">
        <v>420000</v>
      </c>
      <c r="Y3999" s="195" t="str">
        <f t="shared" si="1240"/>
        <v>1.13</v>
      </c>
      <c r="Z3999" s="196">
        <f t="shared" si="1241"/>
        <v>420000</v>
      </c>
      <c r="AA3999" s="22">
        <v>1.0720000000000001</v>
      </c>
      <c r="AB3999" s="197">
        <f t="shared" si="1242"/>
        <v>398442.47787610622</v>
      </c>
      <c r="AC3999" s="198">
        <f t="shared" si="1243"/>
        <v>47813.097345132745</v>
      </c>
      <c r="AD3999" s="169">
        <v>0.12</v>
      </c>
      <c r="AE3999" s="199">
        <f t="shared" si="1244"/>
        <v>0</v>
      </c>
      <c r="AF3999" s="199" t="str">
        <f>IF(AND(COUNTIFS($J$18:J3999,J3999)=1,AE3999=1),1,"")</f>
        <v/>
      </c>
      <c r="AG3999" s="199">
        <f>IF(C3999="","",IF(AND(COUNTIFS($J$18:J3999,J3999)=1,C3999&lt;&gt;""),1,""))</f>
        <v>1</v>
      </c>
      <c r="AH3999" s="199">
        <f>IF(G3999="","",IF(AND(COUNTIFS($J$18:J3999,J3999)=1,G3999&lt;&gt;""),1,""))</f>
        <v>1</v>
      </c>
      <c r="AI3999" s="200">
        <f t="shared" si="1245"/>
        <v>25644924.956447776</v>
      </c>
      <c r="AJ3999" s="200">
        <f t="shared" si="1246"/>
        <v>3058146.223092318</v>
      </c>
      <c r="AK3999" s="201">
        <f t="shared" si="1247"/>
        <v>0.11924956802509276</v>
      </c>
      <c r="AL3999" s="24"/>
      <c r="AM3999" s="24"/>
      <c r="AN3999" s="24"/>
      <c r="AO3999" s="24"/>
      <c r="AP3999" s="165" t="str">
        <f t="shared" si="1248"/>
        <v>20255</v>
      </c>
      <c r="AQ3999" s="203" t="str">
        <f t="shared" si="1249"/>
        <v>20255RMB</v>
      </c>
      <c r="AR3999" s="206" t="str">
        <f t="shared" si="1250"/>
        <v>YAMAHA_Non_Mounter</v>
      </c>
      <c r="AS3999" s="22">
        <f t="shared" si="1251"/>
        <v>2</v>
      </c>
      <c r="AT3999" s="24" t="str">
        <f t="shared" si="1252"/>
        <v>0-3 months</v>
      </c>
      <c r="AU3999" s="22" t="s">
        <v>3240</v>
      </c>
    </row>
    <row r="4000" spans="1:47">
      <c r="A4000" s="33" t="str">
        <f t="shared" ref="A4000:A4001" si="1253">IF(C4000="cancel","cancel",IFERROR(IF(D4000="Q4","FY "&amp;RIGHT(B4000,2)-1&amp;"/"&amp;RIGHT(B4000,2),"FY "&amp;RIGHT(B4000,2)&amp;"/"&amp;RIGHT(B4000,2)+1),""))</f>
        <v>FY 24/25</v>
      </c>
      <c r="B4000" s="23">
        <v>2025</v>
      </c>
      <c r="C4000" s="23">
        <v>3</v>
      </c>
      <c r="D4000" s="202" t="str">
        <f t="shared" si="1211"/>
        <v>Q4</v>
      </c>
      <c r="E4000" s="33" t="str">
        <f t="shared" si="1239"/>
        <v>FY 25/26</v>
      </c>
      <c r="F4000" s="23">
        <v>2025</v>
      </c>
      <c r="G4000" s="23">
        <v>5</v>
      </c>
      <c r="H4000" s="29"/>
      <c r="I4000" s="204" t="str">
        <f t="shared" ref="I4000:I4063" si="1254">IFERROR(IF(F4000="","",IF(F4000="TBA","TBA",IF(F4000="Cancel","Cancel",IF(AND(G4000&gt;=10,G4000&lt;=12),"Q3",IF(AND(G4000&gt;=1,G4000&lt;=3),"Q4",IF(AND(G4000&gt;=7,G4000&lt;=9),"Q2",IF(AND(G4000&gt;=4,G4000&lt;=6),"Q1"))))))),"")</f>
        <v>Q1</v>
      </c>
      <c r="J4000" s="188" t="s">
        <v>3755</v>
      </c>
      <c r="K4000" s="29" t="s">
        <v>91</v>
      </c>
      <c r="L4000" s="24" t="s">
        <v>2620</v>
      </c>
      <c r="M4000" s="13" t="s">
        <v>60</v>
      </c>
      <c r="N4000" s="22">
        <v>1</v>
      </c>
      <c r="O4000" s="22"/>
      <c r="P4000" s="202" t="str">
        <f t="shared" si="1208"/>
        <v>MAIN UNIT</v>
      </c>
      <c r="Q4000" s="22" t="s">
        <v>61</v>
      </c>
      <c r="R4000" s="22" t="s">
        <v>2055</v>
      </c>
      <c r="S4000" s="22" t="s">
        <v>50</v>
      </c>
      <c r="T4000" s="22" t="s">
        <v>83</v>
      </c>
      <c r="U4000" s="22" t="s">
        <v>70</v>
      </c>
      <c r="V4000" s="22" t="s">
        <v>94</v>
      </c>
      <c r="W4000" s="22" t="s">
        <v>64</v>
      </c>
      <c r="X4000" s="104">
        <v>420000</v>
      </c>
      <c r="Y4000" s="195" t="str">
        <f t="shared" si="1240"/>
        <v>1.13</v>
      </c>
      <c r="Z4000" s="196">
        <f t="shared" si="1241"/>
        <v>420000</v>
      </c>
      <c r="AA4000" s="22">
        <v>1.0720000000000001</v>
      </c>
      <c r="AB4000" s="197">
        <f t="shared" si="1242"/>
        <v>398442.47787610622</v>
      </c>
      <c r="AC4000" s="198">
        <f t="shared" si="1243"/>
        <v>47813.097345132745</v>
      </c>
      <c r="AD4000" s="169">
        <v>0.12</v>
      </c>
      <c r="AE4000" s="199">
        <f t="shared" si="1244"/>
        <v>0</v>
      </c>
      <c r="AF4000" s="199" t="str">
        <f>IF(AND(COUNTIFS($J$18:J4000,J4000)=1,AE4000=1),1,"")</f>
        <v/>
      </c>
      <c r="AG4000" s="199" t="str">
        <f>IF(C4000="","",IF(AND(COUNTIFS($J$18:J4000,J4000)=1,C4000&lt;&gt;""),1,""))</f>
        <v/>
      </c>
      <c r="AH4000" s="199" t="str">
        <f>IF(G4000="","",IF(AND(COUNTIFS($J$18:J4000,J4000)=1,G4000&lt;&gt;""),1,""))</f>
        <v/>
      </c>
      <c r="AI4000" s="200">
        <f t="shared" si="1245"/>
        <v>25644924.956447776</v>
      </c>
      <c r="AJ4000" s="200">
        <f t="shared" si="1246"/>
        <v>3058146.223092318</v>
      </c>
      <c r="AK4000" s="201">
        <f t="shared" si="1247"/>
        <v>0.11924956802509276</v>
      </c>
      <c r="AL4000" s="24"/>
      <c r="AM4000" s="24"/>
      <c r="AN4000" s="24"/>
      <c r="AO4000" s="24"/>
      <c r="AP4000" s="165" t="str">
        <f t="shared" si="1248"/>
        <v>20255</v>
      </c>
      <c r="AQ4000" s="203" t="str">
        <f t="shared" si="1249"/>
        <v>20255RMB</v>
      </c>
      <c r="AR4000" s="206" t="str">
        <f t="shared" si="1250"/>
        <v>YAMAHA_Non_Mounter</v>
      </c>
      <c r="AS4000" s="22">
        <f t="shared" si="1251"/>
        <v>2</v>
      </c>
      <c r="AT4000" s="24" t="str">
        <f t="shared" si="1252"/>
        <v>0-3 months</v>
      </c>
      <c r="AU4000" s="22" t="s">
        <v>3240</v>
      </c>
    </row>
    <row r="4001" spans="1:47">
      <c r="A4001" s="33" t="str">
        <f t="shared" si="1253"/>
        <v>FY 24/25</v>
      </c>
      <c r="B4001" s="23">
        <v>2025</v>
      </c>
      <c r="C4001" s="23">
        <v>3</v>
      </c>
      <c r="D4001" s="202" t="str">
        <f t="shared" si="1211"/>
        <v>Q4</v>
      </c>
      <c r="E4001" s="33" t="str">
        <f t="shared" si="1239"/>
        <v>FY 25/26</v>
      </c>
      <c r="F4001" s="23">
        <v>2025</v>
      </c>
      <c r="G4001" s="23">
        <v>5</v>
      </c>
      <c r="H4001" s="29"/>
      <c r="I4001" s="204" t="str">
        <f t="shared" si="1254"/>
        <v>Q1</v>
      </c>
      <c r="J4001" s="188" t="s">
        <v>3755</v>
      </c>
      <c r="K4001" s="29" t="s">
        <v>91</v>
      </c>
      <c r="L4001" s="24" t="s">
        <v>2620</v>
      </c>
      <c r="M4001" s="13" t="s">
        <v>60</v>
      </c>
      <c r="N4001" s="22">
        <v>1</v>
      </c>
      <c r="O4001" s="22"/>
      <c r="P4001" s="202" t="str">
        <f t="shared" ref="P4001:P4064" si="1255">IF(M4001="","",IF(AND(N4001&gt;0,L4001&lt;&gt;""),"MAIN UNIT",IF(AND(O4001&gt;0,L4001&lt;&gt;""),"SERVICE/ PARTS","C66 SERVICE/OTHERS")))</f>
        <v>MAIN UNIT</v>
      </c>
      <c r="Q4001" s="22" t="s">
        <v>61</v>
      </c>
      <c r="R4001" s="22" t="s">
        <v>2055</v>
      </c>
      <c r="S4001" s="22" t="s">
        <v>50</v>
      </c>
      <c r="T4001" s="22" t="s">
        <v>83</v>
      </c>
      <c r="U4001" s="22" t="s">
        <v>70</v>
      </c>
      <c r="V4001" s="22" t="s">
        <v>94</v>
      </c>
      <c r="W4001" s="22" t="s">
        <v>64</v>
      </c>
      <c r="X4001" s="104">
        <v>420000</v>
      </c>
      <c r="Y4001" s="195" t="str">
        <f t="shared" si="1240"/>
        <v>1.13</v>
      </c>
      <c r="Z4001" s="196">
        <f t="shared" si="1241"/>
        <v>420000</v>
      </c>
      <c r="AA4001" s="22">
        <v>1.0720000000000001</v>
      </c>
      <c r="AB4001" s="197">
        <f t="shared" si="1242"/>
        <v>398442.47787610622</v>
      </c>
      <c r="AC4001" s="198">
        <f t="shared" si="1243"/>
        <v>47813.097345132745</v>
      </c>
      <c r="AD4001" s="169">
        <v>0.12</v>
      </c>
      <c r="AE4001" s="199">
        <f t="shared" si="1244"/>
        <v>0</v>
      </c>
      <c r="AF4001" s="199" t="str">
        <f>IF(AND(COUNTIFS($J$18:J4001,J4001)=1,AE4001=1),1,"")</f>
        <v/>
      </c>
      <c r="AG4001" s="199" t="str">
        <f>IF(C4001="","",IF(AND(COUNTIFS($J$18:J4001,J4001)=1,C4001&lt;&gt;""),1,""))</f>
        <v/>
      </c>
      <c r="AH4001" s="199" t="str">
        <f>IF(G4001="","",IF(AND(COUNTIFS($J$18:J4001,J4001)=1,G4001&lt;&gt;""),1,""))</f>
        <v/>
      </c>
      <c r="AI4001" s="200">
        <f t="shared" si="1245"/>
        <v>25644924.956447776</v>
      </c>
      <c r="AJ4001" s="200">
        <f t="shared" si="1246"/>
        <v>3058146.223092318</v>
      </c>
      <c r="AK4001" s="201">
        <f t="shared" si="1247"/>
        <v>0.11924956802509276</v>
      </c>
      <c r="AL4001" s="24"/>
      <c r="AM4001" s="24"/>
      <c r="AN4001" s="24"/>
      <c r="AO4001" s="24"/>
      <c r="AP4001" s="165" t="str">
        <f t="shared" si="1248"/>
        <v>20255</v>
      </c>
      <c r="AQ4001" s="203" t="str">
        <f t="shared" si="1249"/>
        <v>20255RMB</v>
      </c>
      <c r="AR4001" s="206" t="str">
        <f t="shared" si="1250"/>
        <v>YAMAHA_Non_Mounter</v>
      </c>
      <c r="AS4001" s="22">
        <f t="shared" si="1251"/>
        <v>2</v>
      </c>
      <c r="AT4001" s="24" t="str">
        <f t="shared" si="1252"/>
        <v>0-3 months</v>
      </c>
      <c r="AU4001" s="22" t="s">
        <v>3240</v>
      </c>
    </row>
    <row r="4002" spans="1:47">
      <c r="A4002" s="246" t="str">
        <f t="shared" ref="A4002:A4065" si="1256">IF(C4002="cancel","cancel",IFERROR(IF(D4002="Q4","FY "&amp;RIGHT(B4002,2)-1&amp;"/"&amp;RIGHT(B4002,2),"FY "&amp;RIGHT(B4002,2)&amp;"/"&amp;RIGHT(B4002,2)+1),""))</f>
        <v>FY 25/26</v>
      </c>
      <c r="B4002" s="23">
        <v>2025</v>
      </c>
      <c r="C4002" s="23">
        <v>4</v>
      </c>
      <c r="D4002" s="202" t="str">
        <f t="shared" ref="D4002:D4065" si="1257">IF(B4002="","",IF(AND(C4002&gt;=10,C4002&lt;=12),"Q3",IF(AND(C4002&gt;=1,C4002&lt;=3),"Q4",IF(AND(C4002&gt;=7,C4002&lt;=9),"Q2",IF(AND(C4002&gt;=4,C4002&lt;=6),"Q1")))))</f>
        <v>Q1</v>
      </c>
      <c r="E4002" s="33" t="str">
        <f t="shared" si="1239"/>
        <v>TBA</v>
      </c>
      <c r="F4002" s="23" t="s">
        <v>2584</v>
      </c>
      <c r="G4002" s="23" t="s">
        <v>2584</v>
      </c>
      <c r="H4002" s="29"/>
      <c r="I4002" s="204" t="str">
        <f t="shared" si="1254"/>
        <v>TBA</v>
      </c>
      <c r="J4002" s="188" t="s">
        <v>3758</v>
      </c>
      <c r="K4002" s="29" t="s">
        <v>1890</v>
      </c>
      <c r="L4002" s="24" t="s">
        <v>67</v>
      </c>
      <c r="M4002" s="13" t="s">
        <v>60</v>
      </c>
      <c r="N4002" s="22">
        <v>1</v>
      </c>
      <c r="O4002" s="22"/>
      <c r="P4002" s="202" t="str">
        <f t="shared" si="1255"/>
        <v>MAIN UNIT</v>
      </c>
      <c r="Q4002" s="22" t="s">
        <v>61</v>
      </c>
      <c r="R4002" s="22" t="s">
        <v>62</v>
      </c>
      <c r="S4002" s="22" t="s">
        <v>49</v>
      </c>
      <c r="T4002" s="22" t="s">
        <v>78</v>
      </c>
      <c r="U4002" s="22" t="s">
        <v>78</v>
      </c>
      <c r="V4002" s="22" t="s">
        <v>112</v>
      </c>
      <c r="W4002" s="22" t="s">
        <v>64</v>
      </c>
      <c r="X4002" s="104">
        <v>460000</v>
      </c>
      <c r="Y4002" s="195" t="str">
        <f t="shared" si="1240"/>
        <v>1.13</v>
      </c>
      <c r="Z4002" s="196">
        <f t="shared" si="1241"/>
        <v>460000</v>
      </c>
      <c r="AA4002" s="22">
        <v>1.0720000000000001</v>
      </c>
      <c r="AB4002" s="197">
        <f t="shared" ref="AB4002:AB4065" si="1258">IF(AND(R4002&lt;&gt;"C66",R4002&lt;&gt;""),Z4002/Y4002*AA4002,"")</f>
        <v>436389.38053097355</v>
      </c>
      <c r="AC4002" s="198">
        <f t="shared" ref="AC4002:AC4065" si="1259">IF(R4002&lt;&gt;"",AB4002*AD4002,"")</f>
        <v>52366.725663716825</v>
      </c>
      <c r="AD4002" s="169">
        <v>0.12</v>
      </c>
      <c r="AE4002" s="199">
        <f t="shared" ref="AE4002:AE4065" si="1260">IF(Q4002="","",IF(Q4002="Yes",1,0))</f>
        <v>0</v>
      </c>
      <c r="AF4002" s="199" t="str">
        <f>IF(AND(COUNTIFS($J$18:J4002,J4002)=1,AE4002=1),1,"")</f>
        <v/>
      </c>
      <c r="AG4002" s="199">
        <f>IF(C4002="","",IF(AND(COUNTIFS($J$18:J4002,J4002)=1,C4002&lt;&gt;""),1,""))</f>
        <v>1</v>
      </c>
      <c r="AH4002" s="199">
        <f>IF(G4002="","",IF(AND(COUNTIFS($J$18:J4002,J4002)=1,G4002&lt;&gt;""),1,""))</f>
        <v>1</v>
      </c>
      <c r="AI4002" s="200">
        <f t="shared" ref="AI4002:AI4065" si="1261">IF(P4002="C66 SERVICE","",SUMIFS(AB:AB,F:F,F4002,G:G,G4002,E:E,E4002))</f>
        <v>19242877.433628317</v>
      </c>
      <c r="AJ4002" s="200">
        <f t="shared" ref="AJ4002:AJ4065" si="1262">IF(P4002="C66 SERVICE","",SUMIFS(AC:AC,F:F,F4002,G:G,G4002,E:E,E4002))</f>
        <v>2240020.1770353983</v>
      </c>
      <c r="AK4002" s="201">
        <f t="shared" ref="AK4002:AK4065" si="1263">IF(AJ4002&gt;0,AJ4002/AI4002,"")</f>
        <v>0.11640775579232249</v>
      </c>
      <c r="AL4002" s="24"/>
      <c r="AM4002" s="24"/>
      <c r="AN4002" s="24"/>
      <c r="AO4002" s="24"/>
      <c r="AP4002" s="165" t="str">
        <f t="shared" ref="AP4002:AP4065" si="1264">IF(F4002="","",F4002&amp;G4002)</f>
        <v>TBATBA</v>
      </c>
      <c r="AQ4002" s="203" t="str">
        <f t="shared" ref="AQ4002:AQ4065" si="1265">IF(W4002="","",F4002&amp;G4002&amp;W4002)</f>
        <v>TBATBARMB</v>
      </c>
      <c r="AR4002" s="206" t="str">
        <f t="shared" ref="AR4002:AR4065" si="1266">IFERROR(IF(AND(M4002="YAMAHA", R4002="C28"), "YAMAHA_Non_Mounter", IF(AND(M4002="YAMAHA", R4002="C49"), "YAMAHA_Mounter", M4002)),"")</f>
        <v>YAMAHA_Mounter</v>
      </c>
      <c r="AS4002" s="22" t="str">
        <f t="shared" ref="AS4002:AS4065" si="1267">IFERROR(IF(OR(G4002="TBA", G4002=""), "", DATEDIF(DATE(B4002, C4002, 1), DATE(F4002, G4002, 1), "M")),"")</f>
        <v/>
      </c>
      <c r="AT4002" s="24" t="str">
        <f t="shared" ref="AT4002:AT4065" si="1268">IF(ISNUMBER(AS4002), IF(AS4002&gt;=0, IF(AS4002&lt;=3, "0-3 months", IF(AS4002&lt;=6, "4-6 months", "&gt; 6 months"))), "")</f>
        <v/>
      </c>
      <c r="AU4002" s="22" t="s">
        <v>3750</v>
      </c>
    </row>
    <row r="4003" spans="1:47">
      <c r="A4003" s="246" t="str">
        <f t="shared" si="1256"/>
        <v>FY 25/26</v>
      </c>
      <c r="B4003" s="23">
        <v>2025</v>
      </c>
      <c r="C4003" s="23">
        <v>4</v>
      </c>
      <c r="D4003" s="202" t="str">
        <f t="shared" si="1257"/>
        <v>Q1</v>
      </c>
      <c r="E4003" s="33" t="str">
        <f t="shared" si="1239"/>
        <v>TBA</v>
      </c>
      <c r="F4003" s="23" t="s">
        <v>2584</v>
      </c>
      <c r="G4003" s="23" t="s">
        <v>2584</v>
      </c>
      <c r="H4003" s="29"/>
      <c r="I4003" s="204" t="str">
        <f t="shared" si="1254"/>
        <v>TBA</v>
      </c>
      <c r="J4003" s="188" t="s">
        <v>3759</v>
      </c>
      <c r="K4003" s="29" t="s">
        <v>1070</v>
      </c>
      <c r="L4003" s="24" t="s">
        <v>67</v>
      </c>
      <c r="M4003" s="13" t="s">
        <v>60</v>
      </c>
      <c r="N4003" s="22">
        <v>1</v>
      </c>
      <c r="O4003" s="22"/>
      <c r="P4003" s="202" t="str">
        <f t="shared" si="1255"/>
        <v>MAIN UNIT</v>
      </c>
      <c r="Q4003" s="22" t="s">
        <v>61</v>
      </c>
      <c r="R4003" s="22" t="s">
        <v>62</v>
      </c>
      <c r="S4003" s="22" t="s">
        <v>49</v>
      </c>
      <c r="T4003" s="22" t="s">
        <v>78</v>
      </c>
      <c r="U4003" s="22" t="s">
        <v>78</v>
      </c>
      <c r="V4003" s="22" t="s">
        <v>80</v>
      </c>
      <c r="W4003" s="22" t="s">
        <v>64</v>
      </c>
      <c r="X4003" s="104">
        <v>393000</v>
      </c>
      <c r="Y4003" s="195" t="str">
        <f t="shared" si="1240"/>
        <v>1.13</v>
      </c>
      <c r="Z4003" s="196">
        <f t="shared" si="1241"/>
        <v>393000</v>
      </c>
      <c r="AA4003" s="22">
        <v>1.0720000000000001</v>
      </c>
      <c r="AB4003" s="197">
        <f t="shared" si="1258"/>
        <v>372828.31858407089</v>
      </c>
      <c r="AC4003" s="198">
        <f t="shared" si="1259"/>
        <v>44739.398230088504</v>
      </c>
      <c r="AD4003" s="169">
        <v>0.12</v>
      </c>
      <c r="AE4003" s="199">
        <f t="shared" si="1260"/>
        <v>0</v>
      </c>
      <c r="AF4003" s="199" t="str">
        <f>IF(AND(COUNTIFS($J$18:J4003,J4003)=1,AE4003=1),1,"")</f>
        <v/>
      </c>
      <c r="AG4003" s="199">
        <f>IF(C4003="","",IF(AND(COUNTIFS($J$18:J4003,J4003)=1,C4003&lt;&gt;""),1,""))</f>
        <v>1</v>
      </c>
      <c r="AH4003" s="199">
        <f>IF(G4003="","",IF(AND(COUNTIFS($J$18:J4003,J4003)=1,G4003&lt;&gt;""),1,""))</f>
        <v>1</v>
      </c>
      <c r="AI4003" s="200">
        <f t="shared" si="1261"/>
        <v>19242877.433628317</v>
      </c>
      <c r="AJ4003" s="200">
        <f t="shared" si="1262"/>
        <v>2240020.1770353983</v>
      </c>
      <c r="AK4003" s="201">
        <f t="shared" si="1263"/>
        <v>0.11640775579232249</v>
      </c>
      <c r="AL4003" s="24"/>
      <c r="AM4003" s="24"/>
      <c r="AN4003" s="24"/>
      <c r="AO4003" s="24"/>
      <c r="AP4003" s="165" t="str">
        <f t="shared" si="1264"/>
        <v>TBATBA</v>
      </c>
      <c r="AQ4003" s="203" t="str">
        <f t="shared" si="1265"/>
        <v>TBATBARMB</v>
      </c>
      <c r="AR4003" s="206" t="str">
        <f t="shared" si="1266"/>
        <v>YAMAHA_Mounter</v>
      </c>
      <c r="AS4003" s="22" t="str">
        <f t="shared" si="1267"/>
        <v/>
      </c>
      <c r="AT4003" s="24" t="str">
        <f t="shared" si="1268"/>
        <v/>
      </c>
      <c r="AU4003" s="22" t="s">
        <v>3750</v>
      </c>
    </row>
    <row r="4004" spans="1:47">
      <c r="A4004" s="246" t="str">
        <f t="shared" si="1256"/>
        <v>FY 25/26</v>
      </c>
      <c r="B4004" s="23">
        <v>2025</v>
      </c>
      <c r="C4004" s="23">
        <v>4</v>
      </c>
      <c r="D4004" s="202" t="str">
        <f t="shared" si="1257"/>
        <v>Q1</v>
      </c>
      <c r="E4004" s="33" t="str">
        <f t="shared" si="1239"/>
        <v>TBA</v>
      </c>
      <c r="F4004" s="23" t="s">
        <v>2584</v>
      </c>
      <c r="G4004" s="23" t="s">
        <v>2584</v>
      </c>
      <c r="H4004" s="29"/>
      <c r="I4004" s="204" t="str">
        <f t="shared" si="1254"/>
        <v>TBA</v>
      </c>
      <c r="J4004" s="188" t="s">
        <v>3759</v>
      </c>
      <c r="K4004" s="29" t="s">
        <v>1070</v>
      </c>
      <c r="L4004" s="24" t="s">
        <v>92</v>
      </c>
      <c r="M4004" s="13" t="s">
        <v>60</v>
      </c>
      <c r="N4004" s="22">
        <v>1</v>
      </c>
      <c r="O4004" s="22"/>
      <c r="P4004" s="202" t="str">
        <f t="shared" si="1255"/>
        <v>MAIN UNIT</v>
      </c>
      <c r="Q4004" s="22" t="s">
        <v>61</v>
      </c>
      <c r="R4004" s="22" t="s">
        <v>62</v>
      </c>
      <c r="S4004" s="22" t="s">
        <v>49</v>
      </c>
      <c r="T4004" s="22" t="s">
        <v>78</v>
      </c>
      <c r="U4004" s="22" t="s">
        <v>78</v>
      </c>
      <c r="V4004" s="22" t="s">
        <v>80</v>
      </c>
      <c r="W4004" s="22" t="s">
        <v>64</v>
      </c>
      <c r="X4004" s="104">
        <v>670000</v>
      </c>
      <c r="Y4004" s="195" t="str">
        <f t="shared" si="1240"/>
        <v>1.13</v>
      </c>
      <c r="Z4004" s="196">
        <f t="shared" si="1241"/>
        <v>670000</v>
      </c>
      <c r="AA4004" s="22">
        <v>1.0720000000000001</v>
      </c>
      <c r="AB4004" s="197">
        <f t="shared" si="1258"/>
        <v>635610.61946902669</v>
      </c>
      <c r="AC4004" s="198">
        <f t="shared" si="1259"/>
        <v>76273.274336283197</v>
      </c>
      <c r="AD4004" s="169">
        <v>0.12</v>
      </c>
      <c r="AE4004" s="199">
        <f t="shared" si="1260"/>
        <v>0</v>
      </c>
      <c r="AF4004" s="199" t="str">
        <f>IF(AND(COUNTIFS($J$18:J4004,J4004)=1,AE4004=1),1,"")</f>
        <v/>
      </c>
      <c r="AG4004" s="199" t="str">
        <f>IF(C4004="","",IF(AND(COUNTIFS($J$18:J4004,J4004)=1,C4004&lt;&gt;""),1,""))</f>
        <v/>
      </c>
      <c r="AH4004" s="199" t="str">
        <f>IF(G4004="","",IF(AND(COUNTIFS($J$18:J4004,J4004)=1,G4004&lt;&gt;""),1,""))</f>
        <v/>
      </c>
      <c r="AI4004" s="200">
        <f t="shared" si="1261"/>
        <v>19242877.433628317</v>
      </c>
      <c r="AJ4004" s="200">
        <f t="shared" si="1262"/>
        <v>2240020.1770353983</v>
      </c>
      <c r="AK4004" s="201">
        <f t="shared" si="1263"/>
        <v>0.11640775579232249</v>
      </c>
      <c r="AL4004" s="24"/>
      <c r="AM4004" s="24"/>
      <c r="AN4004" s="24"/>
      <c r="AO4004" s="24"/>
      <c r="AP4004" s="165" t="str">
        <f t="shared" si="1264"/>
        <v>TBATBA</v>
      </c>
      <c r="AQ4004" s="203" t="str">
        <f t="shared" si="1265"/>
        <v>TBATBARMB</v>
      </c>
      <c r="AR4004" s="206" t="str">
        <f t="shared" si="1266"/>
        <v>YAMAHA_Mounter</v>
      </c>
      <c r="AS4004" s="22" t="str">
        <f t="shared" si="1267"/>
        <v/>
      </c>
      <c r="AT4004" s="24" t="str">
        <f t="shared" si="1268"/>
        <v/>
      </c>
      <c r="AU4004" s="22" t="s">
        <v>3750</v>
      </c>
    </row>
    <row r="4005" spans="1:47" ht="39.6">
      <c r="A4005" s="246" t="str">
        <f t="shared" si="1256"/>
        <v/>
      </c>
      <c r="B4005" s="23"/>
      <c r="C4005" s="23"/>
      <c r="D4005" s="202" t="str">
        <f t="shared" si="1257"/>
        <v/>
      </c>
      <c r="E4005" s="33" t="s">
        <v>3172</v>
      </c>
      <c r="F4005" s="23">
        <v>2025</v>
      </c>
      <c r="G4005" s="23">
        <v>3</v>
      </c>
      <c r="H4005" s="29"/>
      <c r="I4005" s="204" t="str">
        <f t="shared" si="1254"/>
        <v>Q4</v>
      </c>
      <c r="J4005" s="188"/>
      <c r="K4005" s="29"/>
      <c r="L4005" s="24" t="s">
        <v>43</v>
      </c>
      <c r="M4005" s="22" t="s">
        <v>43</v>
      </c>
      <c r="N4005" s="22">
        <v>0</v>
      </c>
      <c r="O4005" s="22"/>
      <c r="P4005" s="202" t="str">
        <f t="shared" si="1255"/>
        <v>C66 SERVICE/OTHERS</v>
      </c>
      <c r="Q4005" s="22" t="s">
        <v>45</v>
      </c>
      <c r="R4005" s="22" t="s">
        <v>45</v>
      </c>
      <c r="S4005" s="22" t="s">
        <v>52</v>
      </c>
      <c r="T4005" s="22"/>
      <c r="U4005" s="22"/>
      <c r="V4005" s="22"/>
      <c r="W4005" s="22"/>
      <c r="X4005" s="104"/>
      <c r="Y4005" s="195" t="str">
        <f t="shared" si="1240"/>
        <v/>
      </c>
      <c r="Z4005" s="196" t="str">
        <f t="shared" si="1241"/>
        <v/>
      </c>
      <c r="AA4005" s="22"/>
      <c r="AB4005" s="197">
        <v>5000</v>
      </c>
      <c r="AC4005" s="198">
        <f t="shared" si="1259"/>
        <v>1500</v>
      </c>
      <c r="AD4005" s="162">
        <v>0.3</v>
      </c>
      <c r="AE4005" s="199">
        <f t="shared" si="1260"/>
        <v>0</v>
      </c>
      <c r="AF4005" s="199" t="str">
        <f>IF(AND(COUNTIFS($J$18:J4005,J4005)=1,AE4005=1),1,"")</f>
        <v/>
      </c>
      <c r="AG4005" s="199" t="str">
        <f>IF(C4005="","",IF(AND(COUNTIFS($J$18:J4005,J4005)=1,C4005&lt;&gt;""),1,""))</f>
        <v/>
      </c>
      <c r="AH4005" s="199" t="str">
        <f>IF(G4005="","",IF(AND(COUNTIFS($J$18:J4005,J4005)=1,G4005&lt;&gt;""),1,""))</f>
        <v/>
      </c>
      <c r="AI4005" s="200">
        <f t="shared" si="1261"/>
        <v>18296867.955752224</v>
      </c>
      <c r="AJ4005" s="200">
        <f t="shared" si="1262"/>
        <v>2173426.9949823013</v>
      </c>
      <c r="AK4005" s="201">
        <f t="shared" si="1263"/>
        <v>0.11878683281960357</v>
      </c>
      <c r="AL4005" s="24"/>
      <c r="AM4005" s="24"/>
      <c r="AN4005" s="24"/>
      <c r="AO4005" s="24"/>
      <c r="AP4005" s="165" t="str">
        <f t="shared" si="1264"/>
        <v>20253</v>
      </c>
      <c r="AQ4005" s="203" t="str">
        <f t="shared" si="1265"/>
        <v/>
      </c>
      <c r="AR4005" s="206" t="str">
        <f t="shared" si="1266"/>
        <v>C66 SERVICE</v>
      </c>
      <c r="AS4005" s="22" t="str">
        <f t="shared" si="1267"/>
        <v/>
      </c>
      <c r="AT4005" s="24" t="str">
        <f t="shared" si="1268"/>
        <v/>
      </c>
      <c r="AU4005" s="22" t="s">
        <v>3240</v>
      </c>
    </row>
    <row r="4006" spans="1:47" ht="39.6">
      <c r="A4006" s="246" t="str">
        <f t="shared" si="1256"/>
        <v/>
      </c>
      <c r="B4006" s="23"/>
      <c r="C4006" s="23"/>
      <c r="D4006" s="202" t="str">
        <f t="shared" si="1257"/>
        <v/>
      </c>
      <c r="E4006" s="33" t="s">
        <v>3172</v>
      </c>
      <c r="F4006" s="23">
        <v>2025</v>
      </c>
      <c r="G4006" s="23">
        <v>3</v>
      </c>
      <c r="H4006" s="29"/>
      <c r="I4006" s="204" t="str">
        <f t="shared" si="1254"/>
        <v>Q4</v>
      </c>
      <c r="J4006" s="188"/>
      <c r="K4006" s="29"/>
      <c r="L4006" s="24" t="s">
        <v>43</v>
      </c>
      <c r="M4006" s="22" t="s">
        <v>43</v>
      </c>
      <c r="N4006" s="22">
        <v>0</v>
      </c>
      <c r="O4006" s="22"/>
      <c r="P4006" s="202" t="str">
        <f t="shared" si="1255"/>
        <v>C66 SERVICE/OTHERS</v>
      </c>
      <c r="Q4006" s="22" t="s">
        <v>45</v>
      </c>
      <c r="R4006" s="22" t="s">
        <v>45</v>
      </c>
      <c r="S4006" s="22" t="s">
        <v>51</v>
      </c>
      <c r="T4006" s="22"/>
      <c r="U4006" s="22"/>
      <c r="V4006" s="22"/>
      <c r="W4006" s="22"/>
      <c r="X4006" s="104"/>
      <c r="Y4006" s="195" t="str">
        <f t="shared" si="1240"/>
        <v/>
      </c>
      <c r="Z4006" s="196" t="str">
        <f t="shared" si="1241"/>
        <v/>
      </c>
      <c r="AA4006" s="22"/>
      <c r="AB4006" s="197">
        <v>225000</v>
      </c>
      <c r="AC4006" s="198">
        <f t="shared" si="1259"/>
        <v>67500</v>
      </c>
      <c r="AD4006" s="162">
        <v>0.3</v>
      </c>
      <c r="AE4006" s="199">
        <f t="shared" si="1260"/>
        <v>0</v>
      </c>
      <c r="AF4006" s="199" t="str">
        <f>IF(AND(COUNTIFS($J$18:J4006,J4006)=1,AE4006=1),1,"")</f>
        <v/>
      </c>
      <c r="AG4006" s="199" t="str">
        <f>IF(C4006="","",IF(AND(COUNTIFS($J$18:J4006,J4006)=1,C4006&lt;&gt;""),1,""))</f>
        <v/>
      </c>
      <c r="AH4006" s="199" t="str">
        <f>IF(G4006="","",IF(AND(COUNTIFS($J$18:J4006,J4006)=1,G4006&lt;&gt;""),1,""))</f>
        <v/>
      </c>
      <c r="AI4006" s="200">
        <f t="shared" si="1261"/>
        <v>18296867.955752224</v>
      </c>
      <c r="AJ4006" s="200">
        <f t="shared" si="1262"/>
        <v>2173426.9949823013</v>
      </c>
      <c r="AK4006" s="201">
        <f t="shared" si="1263"/>
        <v>0.11878683281960357</v>
      </c>
      <c r="AL4006" s="24"/>
      <c r="AM4006" s="24"/>
      <c r="AN4006" s="24"/>
      <c r="AO4006" s="24"/>
      <c r="AP4006" s="165" t="str">
        <f t="shared" si="1264"/>
        <v>20253</v>
      </c>
      <c r="AQ4006" s="203" t="str">
        <f t="shared" si="1265"/>
        <v/>
      </c>
      <c r="AR4006" s="206" t="str">
        <f t="shared" si="1266"/>
        <v>C66 SERVICE</v>
      </c>
      <c r="AS4006" s="22" t="str">
        <f t="shared" si="1267"/>
        <v/>
      </c>
      <c r="AT4006" s="24" t="str">
        <f t="shared" si="1268"/>
        <v/>
      </c>
      <c r="AU4006" s="22" t="s">
        <v>3240</v>
      </c>
    </row>
    <row r="4007" spans="1:47" ht="39.6">
      <c r="A4007" s="246" t="str">
        <f t="shared" si="1256"/>
        <v/>
      </c>
      <c r="B4007" s="23"/>
      <c r="C4007" s="23"/>
      <c r="D4007" s="202" t="str">
        <f t="shared" si="1257"/>
        <v/>
      </c>
      <c r="E4007" s="33" t="s">
        <v>3172</v>
      </c>
      <c r="F4007" s="23">
        <v>2025</v>
      </c>
      <c r="G4007" s="23">
        <v>3</v>
      </c>
      <c r="H4007" s="29"/>
      <c r="I4007" s="204" t="str">
        <f t="shared" si="1254"/>
        <v>Q4</v>
      </c>
      <c r="J4007" s="188"/>
      <c r="K4007" s="29"/>
      <c r="L4007" s="24" t="s">
        <v>43</v>
      </c>
      <c r="M4007" s="22" t="s">
        <v>43</v>
      </c>
      <c r="N4007" s="22">
        <v>0</v>
      </c>
      <c r="O4007" s="22"/>
      <c r="P4007" s="202" t="str">
        <f t="shared" si="1255"/>
        <v>C66 SERVICE/OTHERS</v>
      </c>
      <c r="Q4007" s="22" t="s">
        <v>45</v>
      </c>
      <c r="R4007" s="22" t="s">
        <v>45</v>
      </c>
      <c r="S4007" s="22" t="s">
        <v>50</v>
      </c>
      <c r="T4007" s="22"/>
      <c r="U4007" s="22"/>
      <c r="V4007" s="22"/>
      <c r="W4007" s="22"/>
      <c r="X4007" s="104"/>
      <c r="Y4007" s="195" t="str">
        <f t="shared" si="1240"/>
        <v/>
      </c>
      <c r="Z4007" s="196" t="str">
        <f t="shared" si="1241"/>
        <v/>
      </c>
      <c r="AA4007" s="22"/>
      <c r="AB4007" s="197">
        <v>380000</v>
      </c>
      <c r="AC4007" s="198">
        <f t="shared" si="1259"/>
        <v>114000</v>
      </c>
      <c r="AD4007" s="226">
        <v>0.3</v>
      </c>
      <c r="AE4007" s="199">
        <f t="shared" si="1260"/>
        <v>0</v>
      </c>
      <c r="AF4007" s="199" t="str">
        <f>IF(AND(COUNTIFS($J$18:J4007,J4007)=1,AE4007=1),1,"")</f>
        <v/>
      </c>
      <c r="AG4007" s="199" t="str">
        <f>IF(C4007="","",IF(AND(COUNTIFS($J$18:J4007,J4007)=1,C4007&lt;&gt;""),1,""))</f>
        <v/>
      </c>
      <c r="AH4007" s="199" t="str">
        <f>IF(G4007="","",IF(AND(COUNTIFS($J$18:J4007,J4007)=1,G4007&lt;&gt;""),1,""))</f>
        <v/>
      </c>
      <c r="AI4007" s="200">
        <f t="shared" si="1261"/>
        <v>18296867.955752224</v>
      </c>
      <c r="AJ4007" s="200">
        <f t="shared" si="1262"/>
        <v>2173426.9949823013</v>
      </c>
      <c r="AK4007" s="201">
        <f t="shared" si="1263"/>
        <v>0.11878683281960357</v>
      </c>
      <c r="AL4007" s="24"/>
      <c r="AM4007" s="24"/>
      <c r="AN4007" s="24"/>
      <c r="AO4007" s="24"/>
      <c r="AP4007" s="165" t="str">
        <f t="shared" si="1264"/>
        <v>20253</v>
      </c>
      <c r="AQ4007" s="203" t="str">
        <f t="shared" si="1265"/>
        <v/>
      </c>
      <c r="AR4007" s="206" t="str">
        <f t="shared" si="1266"/>
        <v>C66 SERVICE</v>
      </c>
      <c r="AS4007" s="22" t="str">
        <f t="shared" si="1267"/>
        <v/>
      </c>
      <c r="AT4007" s="24" t="str">
        <f t="shared" si="1268"/>
        <v/>
      </c>
      <c r="AU4007" s="22" t="s">
        <v>3240</v>
      </c>
    </row>
    <row r="4008" spans="1:47" ht="39.6">
      <c r="A4008" s="246" t="str">
        <f t="shared" si="1256"/>
        <v/>
      </c>
      <c r="B4008" s="23"/>
      <c r="C4008" s="23"/>
      <c r="D4008" s="202" t="str">
        <f t="shared" si="1257"/>
        <v/>
      </c>
      <c r="E4008" s="33" t="s">
        <v>3172</v>
      </c>
      <c r="F4008" s="23">
        <v>2025</v>
      </c>
      <c r="G4008" s="23">
        <v>3</v>
      </c>
      <c r="H4008" s="29"/>
      <c r="I4008" s="204" t="str">
        <f t="shared" si="1254"/>
        <v>Q4</v>
      </c>
      <c r="J4008" s="188"/>
      <c r="K4008" s="29"/>
      <c r="L4008" s="24" t="s">
        <v>43</v>
      </c>
      <c r="M4008" s="22" t="s">
        <v>43</v>
      </c>
      <c r="N4008" s="22">
        <v>0</v>
      </c>
      <c r="O4008" s="22"/>
      <c r="P4008" s="202" t="str">
        <f t="shared" si="1255"/>
        <v>C66 SERVICE/OTHERS</v>
      </c>
      <c r="Q4008" s="22" t="s">
        <v>45</v>
      </c>
      <c r="R4008" s="22" t="s">
        <v>45</v>
      </c>
      <c r="S4008" s="22" t="s">
        <v>49</v>
      </c>
      <c r="T4008" s="22"/>
      <c r="U4008" s="22"/>
      <c r="V4008" s="22"/>
      <c r="W4008" s="22"/>
      <c r="X4008" s="104"/>
      <c r="Y4008" s="195" t="str">
        <f t="shared" si="1240"/>
        <v/>
      </c>
      <c r="Z4008" s="196" t="str">
        <f t="shared" si="1241"/>
        <v/>
      </c>
      <c r="AA4008" s="22"/>
      <c r="AB4008" s="197">
        <v>398000</v>
      </c>
      <c r="AC4008" s="198">
        <f t="shared" si="1259"/>
        <v>119400</v>
      </c>
      <c r="AD4008" s="162">
        <v>0.3</v>
      </c>
      <c r="AE4008" s="199">
        <f t="shared" si="1260"/>
        <v>0</v>
      </c>
      <c r="AF4008" s="199" t="str">
        <f>IF(AND(COUNTIFS($J$18:J4008,J4008)=1,AE4008=1),1,"")</f>
        <v/>
      </c>
      <c r="AG4008" s="199" t="str">
        <f>IF(C4008="","",IF(AND(COUNTIFS($J$18:J4008,J4008)=1,C4008&lt;&gt;""),1,""))</f>
        <v/>
      </c>
      <c r="AH4008" s="199" t="str">
        <f>IF(G4008="","",IF(AND(COUNTIFS($J$18:J4008,J4008)=1,G4008&lt;&gt;""),1,""))</f>
        <v/>
      </c>
      <c r="AI4008" s="200">
        <f t="shared" si="1261"/>
        <v>18296867.955752224</v>
      </c>
      <c r="AJ4008" s="200">
        <f t="shared" si="1262"/>
        <v>2173426.9949823013</v>
      </c>
      <c r="AK4008" s="201">
        <f t="shared" si="1263"/>
        <v>0.11878683281960357</v>
      </c>
      <c r="AL4008" s="24"/>
      <c r="AM4008" s="24"/>
      <c r="AN4008" s="24"/>
      <c r="AO4008" s="24"/>
      <c r="AP4008" s="165" t="str">
        <f t="shared" si="1264"/>
        <v>20253</v>
      </c>
      <c r="AQ4008" s="203" t="str">
        <f t="shared" si="1265"/>
        <v/>
      </c>
      <c r="AR4008" s="206" t="str">
        <f t="shared" si="1266"/>
        <v>C66 SERVICE</v>
      </c>
      <c r="AS4008" s="22" t="str">
        <f t="shared" si="1267"/>
        <v/>
      </c>
      <c r="AT4008" s="24" t="str">
        <f t="shared" si="1268"/>
        <v/>
      </c>
      <c r="AU4008" s="22" t="s">
        <v>3240</v>
      </c>
    </row>
    <row r="4009" spans="1:47">
      <c r="A4009" s="246" t="str">
        <f t="shared" si="1256"/>
        <v>FY 25/26</v>
      </c>
      <c r="B4009" s="23">
        <v>2025</v>
      </c>
      <c r="C4009" s="23">
        <v>4</v>
      </c>
      <c r="D4009" s="202" t="str">
        <f t="shared" si="1257"/>
        <v>Q1</v>
      </c>
      <c r="E4009" s="33" t="str">
        <f t="shared" si="1239"/>
        <v>TBA</v>
      </c>
      <c r="F4009" s="23" t="s">
        <v>2584</v>
      </c>
      <c r="G4009" s="23" t="s">
        <v>2584</v>
      </c>
      <c r="H4009" s="29"/>
      <c r="I4009" s="204" t="str">
        <f t="shared" si="1254"/>
        <v>TBA</v>
      </c>
      <c r="J4009" s="188" t="s">
        <v>3760</v>
      </c>
      <c r="K4009" s="29" t="s">
        <v>3761</v>
      </c>
      <c r="L4009" s="24" t="s">
        <v>92</v>
      </c>
      <c r="M4009" s="13" t="s">
        <v>60</v>
      </c>
      <c r="N4009" s="22">
        <v>1</v>
      </c>
      <c r="O4009" s="22"/>
      <c r="P4009" s="202" t="str">
        <f t="shared" si="1255"/>
        <v>MAIN UNIT</v>
      </c>
      <c r="Q4009" s="22" t="s">
        <v>61</v>
      </c>
      <c r="R4009" s="22" t="s">
        <v>62</v>
      </c>
      <c r="S4009" s="22" t="s">
        <v>51</v>
      </c>
      <c r="T4009" s="22" t="s">
        <v>3559</v>
      </c>
      <c r="U4009" s="22" t="s">
        <v>149</v>
      </c>
      <c r="V4009" s="22" t="s">
        <v>134</v>
      </c>
      <c r="W4009" s="22" t="s">
        <v>64</v>
      </c>
      <c r="X4009" s="104">
        <v>750000</v>
      </c>
      <c r="Y4009" s="195" t="str">
        <f t="shared" si="1240"/>
        <v>1.13</v>
      </c>
      <c r="Z4009" s="196">
        <f t="shared" si="1241"/>
        <v>750000</v>
      </c>
      <c r="AA4009" s="22">
        <v>1.0720000000000001</v>
      </c>
      <c r="AB4009" s="197">
        <f t="shared" si="1258"/>
        <v>711504.42477876123</v>
      </c>
      <c r="AC4009" s="198">
        <f t="shared" si="1259"/>
        <v>85380.530973451343</v>
      </c>
      <c r="AD4009" s="169">
        <v>0.12</v>
      </c>
      <c r="AE4009" s="199">
        <f t="shared" si="1260"/>
        <v>0</v>
      </c>
      <c r="AF4009" s="199" t="str">
        <f>IF(AND(COUNTIFS($J$18:J4009,J4009)=1,AE4009=1),1,"")</f>
        <v/>
      </c>
      <c r="AG4009" s="199">
        <f>IF(C4009="","",IF(AND(COUNTIFS($J$18:J4009,J4009)=1,C4009&lt;&gt;""),1,""))</f>
        <v>1</v>
      </c>
      <c r="AH4009" s="199">
        <f>IF(G4009="","",IF(AND(COUNTIFS($J$18:J4009,J4009)=1,G4009&lt;&gt;""),1,""))</f>
        <v>1</v>
      </c>
      <c r="AI4009" s="200">
        <f t="shared" si="1261"/>
        <v>19242877.433628317</v>
      </c>
      <c r="AJ4009" s="200">
        <f t="shared" si="1262"/>
        <v>2240020.1770353983</v>
      </c>
      <c r="AK4009" s="201">
        <f t="shared" si="1263"/>
        <v>0.11640775579232249</v>
      </c>
      <c r="AL4009" s="24"/>
      <c r="AM4009" s="24"/>
      <c r="AN4009" s="24"/>
      <c r="AO4009" s="24"/>
      <c r="AP4009" s="165" t="str">
        <f t="shared" si="1264"/>
        <v>TBATBA</v>
      </c>
      <c r="AQ4009" s="203" t="str">
        <f t="shared" si="1265"/>
        <v>TBATBARMB</v>
      </c>
      <c r="AR4009" s="206" t="str">
        <f t="shared" si="1266"/>
        <v>YAMAHA_Mounter</v>
      </c>
      <c r="AS4009" s="22" t="str">
        <f t="shared" si="1267"/>
        <v/>
      </c>
      <c r="AT4009" s="24" t="str">
        <f t="shared" si="1268"/>
        <v/>
      </c>
      <c r="AU4009" s="22" t="s">
        <v>3240</v>
      </c>
    </row>
    <row r="4010" spans="1:47">
      <c r="A4010" s="246" t="str">
        <f t="shared" si="1256"/>
        <v>FY 25/26</v>
      </c>
      <c r="B4010" s="23">
        <v>2025</v>
      </c>
      <c r="C4010" s="23">
        <v>4</v>
      </c>
      <c r="D4010" s="202" t="str">
        <f t="shared" si="1257"/>
        <v>Q1</v>
      </c>
      <c r="E4010" s="33" t="str">
        <f t="shared" si="1239"/>
        <v>TBA</v>
      </c>
      <c r="F4010" s="23" t="s">
        <v>2584</v>
      </c>
      <c r="G4010" s="23" t="s">
        <v>2584</v>
      </c>
      <c r="H4010" s="29"/>
      <c r="I4010" s="204" t="str">
        <f t="shared" si="1254"/>
        <v>TBA</v>
      </c>
      <c r="J4010" s="188" t="s">
        <v>3760</v>
      </c>
      <c r="K4010" s="29" t="s">
        <v>3761</v>
      </c>
      <c r="L4010" s="24" t="s">
        <v>67</v>
      </c>
      <c r="M4010" s="13" t="s">
        <v>60</v>
      </c>
      <c r="N4010" s="22">
        <v>1</v>
      </c>
      <c r="O4010" s="22"/>
      <c r="P4010" s="202" t="str">
        <f t="shared" si="1255"/>
        <v>MAIN UNIT</v>
      </c>
      <c r="Q4010" s="22" t="s">
        <v>61</v>
      </c>
      <c r="R4010" s="22" t="s">
        <v>62</v>
      </c>
      <c r="S4010" s="22" t="s">
        <v>51</v>
      </c>
      <c r="T4010" s="22" t="s">
        <v>3559</v>
      </c>
      <c r="U4010" s="22" t="s">
        <v>149</v>
      </c>
      <c r="V4010" s="22" t="s">
        <v>134</v>
      </c>
      <c r="W4010" s="22" t="s">
        <v>64</v>
      </c>
      <c r="X4010" s="104">
        <v>510000</v>
      </c>
      <c r="Y4010" s="195" t="str">
        <f t="shared" si="1240"/>
        <v>1.13</v>
      </c>
      <c r="Z4010" s="196">
        <f t="shared" si="1241"/>
        <v>510000</v>
      </c>
      <c r="AA4010" s="22">
        <v>1.0720000000000001</v>
      </c>
      <c r="AB4010" s="197">
        <f t="shared" si="1258"/>
        <v>483823.00884955755</v>
      </c>
      <c r="AC4010" s="198">
        <f t="shared" si="1259"/>
        <v>58058.761061946905</v>
      </c>
      <c r="AD4010" s="169">
        <v>0.12</v>
      </c>
      <c r="AE4010" s="199">
        <f t="shared" si="1260"/>
        <v>0</v>
      </c>
      <c r="AF4010" s="199" t="str">
        <f>IF(AND(COUNTIFS($J$18:J4010,J4010)=1,AE4010=1),1,"")</f>
        <v/>
      </c>
      <c r="AG4010" s="199" t="str">
        <f>IF(C4010="","",IF(AND(COUNTIFS($J$18:J4010,J4010)=1,C4010&lt;&gt;""),1,""))</f>
        <v/>
      </c>
      <c r="AH4010" s="199" t="str">
        <f>IF(G4010="","",IF(AND(COUNTIFS($J$18:J4010,J4010)=1,G4010&lt;&gt;""),1,""))</f>
        <v/>
      </c>
      <c r="AI4010" s="200">
        <f t="shared" si="1261"/>
        <v>19242877.433628317</v>
      </c>
      <c r="AJ4010" s="200">
        <f t="shared" si="1262"/>
        <v>2240020.1770353983</v>
      </c>
      <c r="AK4010" s="201">
        <f t="shared" si="1263"/>
        <v>0.11640775579232249</v>
      </c>
      <c r="AL4010" s="24"/>
      <c r="AM4010" s="24"/>
      <c r="AN4010" s="24"/>
      <c r="AO4010" s="24"/>
      <c r="AP4010" s="165" t="str">
        <f t="shared" si="1264"/>
        <v>TBATBA</v>
      </c>
      <c r="AQ4010" s="203" t="str">
        <f t="shared" si="1265"/>
        <v>TBATBARMB</v>
      </c>
      <c r="AR4010" s="206" t="str">
        <f t="shared" si="1266"/>
        <v>YAMAHA_Mounter</v>
      </c>
      <c r="AS4010" s="22" t="str">
        <f t="shared" si="1267"/>
        <v/>
      </c>
      <c r="AT4010" s="24" t="str">
        <f t="shared" si="1268"/>
        <v/>
      </c>
      <c r="AU4010" s="22" t="s">
        <v>3240</v>
      </c>
    </row>
    <row r="4011" spans="1:47">
      <c r="A4011" s="246" t="str">
        <f t="shared" si="1256"/>
        <v/>
      </c>
      <c r="B4011" s="23"/>
      <c r="C4011" s="23"/>
      <c r="D4011" s="202" t="str">
        <f t="shared" si="1257"/>
        <v/>
      </c>
      <c r="E4011" s="33" t="str">
        <f t="shared" si="1239"/>
        <v/>
      </c>
      <c r="F4011" s="23"/>
      <c r="G4011" s="23"/>
      <c r="H4011" s="29"/>
      <c r="I4011" s="204" t="str">
        <f t="shared" si="1254"/>
        <v/>
      </c>
      <c r="J4011" s="188"/>
      <c r="K4011" s="29"/>
      <c r="L4011" s="24"/>
      <c r="M4011" s="22"/>
      <c r="N4011" s="22"/>
      <c r="O4011" s="22"/>
      <c r="P4011" s="202" t="str">
        <f t="shared" si="1255"/>
        <v/>
      </c>
      <c r="Q4011" s="22"/>
      <c r="R4011" s="22"/>
      <c r="S4011" s="22"/>
      <c r="T4011" s="22"/>
      <c r="U4011" s="22"/>
      <c r="V4011" s="22"/>
      <c r="W4011" s="22"/>
      <c r="X4011" s="104"/>
      <c r="Y4011" s="195" t="str">
        <f t="shared" si="1240"/>
        <v/>
      </c>
      <c r="Z4011" s="196" t="str">
        <f t="shared" si="1241"/>
        <v/>
      </c>
      <c r="AA4011" s="22"/>
      <c r="AB4011" s="197" t="str">
        <f t="shared" si="1258"/>
        <v/>
      </c>
      <c r="AC4011" s="198" t="str">
        <f t="shared" si="1259"/>
        <v/>
      </c>
      <c r="AD4011" s="162"/>
      <c r="AE4011" s="199" t="str">
        <f t="shared" si="1260"/>
        <v/>
      </c>
      <c r="AF4011" s="199" t="str">
        <f>IF(AND(COUNTIFS($J$18:J4011,J4011)=1,AE4011=1),1,"")</f>
        <v/>
      </c>
      <c r="AG4011" s="199" t="str">
        <f>IF(C4011="","",IF(AND(COUNTIFS($J$18:J4011,J4011)=1,C4011&lt;&gt;""),1,""))</f>
        <v/>
      </c>
      <c r="AH4011" s="199" t="str">
        <f>IF(G4011="","",IF(AND(COUNTIFS($J$18:J4011,J4011)=1,G4011&lt;&gt;""),1,""))</f>
        <v/>
      </c>
      <c r="AI4011" s="200">
        <f t="shared" si="1261"/>
        <v>0</v>
      </c>
      <c r="AJ4011" s="200">
        <f t="shared" si="1262"/>
        <v>0</v>
      </c>
      <c r="AK4011" s="201" t="str">
        <f t="shared" si="1263"/>
        <v/>
      </c>
      <c r="AL4011" s="24"/>
      <c r="AM4011" s="24"/>
      <c r="AN4011" s="24"/>
      <c r="AO4011" s="24"/>
      <c r="AP4011" s="165" t="str">
        <f t="shared" si="1264"/>
        <v/>
      </c>
      <c r="AQ4011" s="203" t="str">
        <f t="shared" si="1265"/>
        <v/>
      </c>
      <c r="AR4011" s="206">
        <f t="shared" si="1266"/>
        <v>0</v>
      </c>
      <c r="AS4011" s="22" t="str">
        <f t="shared" si="1267"/>
        <v/>
      </c>
      <c r="AT4011" s="24" t="str">
        <f t="shared" si="1268"/>
        <v/>
      </c>
      <c r="AU4011" s="22" t="s">
        <v>3240</v>
      </c>
    </row>
    <row r="4012" spans="1:47">
      <c r="A4012" s="246" t="str">
        <f t="shared" si="1256"/>
        <v/>
      </c>
      <c r="B4012" s="23"/>
      <c r="C4012" s="23"/>
      <c r="D4012" s="202" t="str">
        <f t="shared" si="1257"/>
        <v/>
      </c>
      <c r="E4012" s="33" t="str">
        <f t="shared" si="1239"/>
        <v/>
      </c>
      <c r="F4012" s="23"/>
      <c r="G4012" s="23"/>
      <c r="H4012" s="29"/>
      <c r="I4012" s="204" t="str">
        <f t="shared" si="1254"/>
        <v/>
      </c>
      <c r="J4012" s="188"/>
      <c r="K4012" s="29"/>
      <c r="L4012" s="24"/>
      <c r="M4012" s="22"/>
      <c r="N4012" s="22"/>
      <c r="O4012" s="22"/>
      <c r="P4012" s="202" t="str">
        <f t="shared" si="1255"/>
        <v/>
      </c>
      <c r="Q4012" s="22"/>
      <c r="R4012" s="22"/>
      <c r="S4012" s="22"/>
      <c r="T4012" s="22"/>
      <c r="U4012" s="22"/>
      <c r="V4012" s="22"/>
      <c r="W4012" s="22"/>
      <c r="X4012" s="104"/>
      <c r="Y4012" s="195" t="str">
        <f t="shared" si="1240"/>
        <v/>
      </c>
      <c r="Z4012" s="196" t="str">
        <f t="shared" si="1241"/>
        <v/>
      </c>
      <c r="AA4012" s="22"/>
      <c r="AB4012" s="197" t="str">
        <f t="shared" si="1258"/>
        <v/>
      </c>
      <c r="AC4012" s="198" t="str">
        <f t="shared" si="1259"/>
        <v/>
      </c>
      <c r="AD4012" s="162"/>
      <c r="AE4012" s="199" t="str">
        <f t="shared" si="1260"/>
        <v/>
      </c>
      <c r="AF4012" s="199" t="str">
        <f>IF(AND(COUNTIFS($J$18:J4012,J4012)=1,AE4012=1),1,"")</f>
        <v/>
      </c>
      <c r="AG4012" s="199" t="str">
        <f>IF(C4012="","",IF(AND(COUNTIFS($J$18:J4012,J4012)=1,C4012&lt;&gt;""),1,""))</f>
        <v/>
      </c>
      <c r="AH4012" s="199" t="str">
        <f>IF(G4012="","",IF(AND(COUNTIFS($J$18:J4012,J4012)=1,G4012&lt;&gt;""),1,""))</f>
        <v/>
      </c>
      <c r="AI4012" s="200">
        <f t="shared" si="1261"/>
        <v>0</v>
      </c>
      <c r="AJ4012" s="200">
        <f t="shared" si="1262"/>
        <v>0</v>
      </c>
      <c r="AK4012" s="201" t="str">
        <f t="shared" si="1263"/>
        <v/>
      </c>
      <c r="AL4012" s="24"/>
      <c r="AM4012" s="24"/>
      <c r="AN4012" s="24"/>
      <c r="AO4012" s="24"/>
      <c r="AP4012" s="165" t="str">
        <f t="shared" si="1264"/>
        <v/>
      </c>
      <c r="AQ4012" s="203" t="str">
        <f t="shared" si="1265"/>
        <v/>
      </c>
      <c r="AR4012" s="206">
        <f t="shared" si="1266"/>
        <v>0</v>
      </c>
      <c r="AS4012" s="22" t="str">
        <f t="shared" si="1267"/>
        <v/>
      </c>
      <c r="AT4012" s="24" t="str">
        <f t="shared" si="1268"/>
        <v/>
      </c>
      <c r="AU4012" s="22" t="s">
        <v>3240</v>
      </c>
    </row>
    <row r="4013" spans="1:47">
      <c r="A4013" s="246" t="str">
        <f t="shared" si="1256"/>
        <v/>
      </c>
      <c r="B4013" s="23"/>
      <c r="C4013" s="23"/>
      <c r="D4013" s="202" t="str">
        <f t="shared" si="1257"/>
        <v/>
      </c>
      <c r="E4013" s="33" t="str">
        <f t="shared" si="1239"/>
        <v/>
      </c>
      <c r="F4013" s="23"/>
      <c r="G4013" s="23"/>
      <c r="H4013" s="29"/>
      <c r="I4013" s="204" t="str">
        <f t="shared" si="1254"/>
        <v/>
      </c>
      <c r="J4013" s="188"/>
      <c r="K4013" s="29"/>
      <c r="L4013" s="24"/>
      <c r="M4013" s="22"/>
      <c r="N4013" s="22"/>
      <c r="O4013" s="22"/>
      <c r="P4013" s="202" t="str">
        <f t="shared" si="1255"/>
        <v/>
      </c>
      <c r="Q4013" s="22"/>
      <c r="R4013" s="22"/>
      <c r="S4013" s="22"/>
      <c r="T4013" s="22"/>
      <c r="U4013" s="22"/>
      <c r="V4013" s="22"/>
      <c r="W4013" s="22"/>
      <c r="X4013" s="104"/>
      <c r="Y4013" s="195" t="str">
        <f t="shared" si="1240"/>
        <v/>
      </c>
      <c r="Z4013" s="196" t="str">
        <f t="shared" si="1241"/>
        <v/>
      </c>
      <c r="AA4013" s="22"/>
      <c r="AB4013" s="197" t="str">
        <f t="shared" si="1258"/>
        <v/>
      </c>
      <c r="AC4013" s="198" t="str">
        <f t="shared" si="1259"/>
        <v/>
      </c>
      <c r="AD4013" s="162"/>
      <c r="AE4013" s="199" t="str">
        <f t="shared" si="1260"/>
        <v/>
      </c>
      <c r="AF4013" s="199" t="str">
        <f>IF(AND(COUNTIFS($J$18:J4013,J4013)=1,AE4013=1),1,"")</f>
        <v/>
      </c>
      <c r="AG4013" s="199" t="str">
        <f>IF(C4013="","",IF(AND(COUNTIFS($J$18:J4013,J4013)=1,C4013&lt;&gt;""),1,""))</f>
        <v/>
      </c>
      <c r="AH4013" s="199" t="str">
        <f>IF(G4013="","",IF(AND(COUNTIFS($J$18:J4013,J4013)=1,G4013&lt;&gt;""),1,""))</f>
        <v/>
      </c>
      <c r="AI4013" s="200">
        <f t="shared" si="1261"/>
        <v>0</v>
      </c>
      <c r="AJ4013" s="200">
        <f t="shared" si="1262"/>
        <v>0</v>
      </c>
      <c r="AK4013" s="201" t="str">
        <f t="shared" si="1263"/>
        <v/>
      </c>
      <c r="AL4013" s="24"/>
      <c r="AM4013" s="24"/>
      <c r="AN4013" s="24"/>
      <c r="AO4013" s="24"/>
      <c r="AP4013" s="165" t="str">
        <f t="shared" si="1264"/>
        <v/>
      </c>
      <c r="AQ4013" s="203" t="str">
        <f t="shared" si="1265"/>
        <v/>
      </c>
      <c r="AR4013" s="206">
        <f t="shared" si="1266"/>
        <v>0</v>
      </c>
      <c r="AS4013" s="22" t="str">
        <f t="shared" si="1267"/>
        <v/>
      </c>
      <c r="AT4013" s="24" t="str">
        <f t="shared" si="1268"/>
        <v/>
      </c>
      <c r="AU4013" s="22" t="s">
        <v>3240</v>
      </c>
    </row>
    <row r="4014" spans="1:47">
      <c r="A4014" s="246" t="str">
        <f t="shared" si="1256"/>
        <v/>
      </c>
      <c r="B4014" s="23"/>
      <c r="C4014" s="23"/>
      <c r="D4014" s="202" t="str">
        <f t="shared" si="1257"/>
        <v/>
      </c>
      <c r="E4014" s="33" t="str">
        <f t="shared" si="1239"/>
        <v/>
      </c>
      <c r="F4014" s="23"/>
      <c r="G4014" s="23"/>
      <c r="H4014" s="29"/>
      <c r="I4014" s="204" t="str">
        <f t="shared" si="1254"/>
        <v/>
      </c>
      <c r="J4014" s="188"/>
      <c r="K4014" s="29"/>
      <c r="L4014" s="24"/>
      <c r="M4014" s="22"/>
      <c r="N4014" s="22"/>
      <c r="O4014" s="22"/>
      <c r="P4014" s="202" t="str">
        <f t="shared" si="1255"/>
        <v/>
      </c>
      <c r="Q4014" s="22"/>
      <c r="R4014" s="22"/>
      <c r="S4014" s="22"/>
      <c r="T4014" s="22"/>
      <c r="U4014" s="22"/>
      <c r="V4014" s="22"/>
      <c r="W4014" s="22"/>
      <c r="X4014" s="104"/>
      <c r="Y4014" s="195" t="str">
        <f t="shared" si="1240"/>
        <v/>
      </c>
      <c r="Z4014" s="196" t="str">
        <f t="shared" si="1241"/>
        <v/>
      </c>
      <c r="AA4014" s="22"/>
      <c r="AB4014" s="197" t="str">
        <f t="shared" si="1258"/>
        <v/>
      </c>
      <c r="AC4014" s="198" t="str">
        <f t="shared" si="1259"/>
        <v/>
      </c>
      <c r="AD4014" s="162"/>
      <c r="AE4014" s="199" t="str">
        <f t="shared" si="1260"/>
        <v/>
      </c>
      <c r="AF4014" s="199" t="str">
        <f>IF(AND(COUNTIFS($J$18:J4014,J4014)=1,AE4014=1),1,"")</f>
        <v/>
      </c>
      <c r="AG4014" s="199" t="str">
        <f>IF(C4014="","",IF(AND(COUNTIFS($J$18:J4014,J4014)=1,C4014&lt;&gt;""),1,""))</f>
        <v/>
      </c>
      <c r="AH4014" s="199" t="str">
        <f>IF(G4014="","",IF(AND(COUNTIFS($J$18:J4014,J4014)=1,G4014&lt;&gt;""),1,""))</f>
        <v/>
      </c>
      <c r="AI4014" s="200">
        <f t="shared" si="1261"/>
        <v>0</v>
      </c>
      <c r="AJ4014" s="200">
        <f t="shared" si="1262"/>
        <v>0</v>
      </c>
      <c r="AK4014" s="201" t="str">
        <f t="shared" si="1263"/>
        <v/>
      </c>
      <c r="AL4014" s="24"/>
      <c r="AM4014" s="24"/>
      <c r="AN4014" s="24"/>
      <c r="AO4014" s="24"/>
      <c r="AP4014" s="165" t="str">
        <f t="shared" si="1264"/>
        <v/>
      </c>
      <c r="AQ4014" s="203" t="str">
        <f t="shared" si="1265"/>
        <v/>
      </c>
      <c r="AR4014" s="206">
        <f t="shared" si="1266"/>
        <v>0</v>
      </c>
      <c r="AS4014" s="22" t="str">
        <f t="shared" si="1267"/>
        <v/>
      </c>
      <c r="AT4014" s="24" t="str">
        <f t="shared" si="1268"/>
        <v/>
      </c>
      <c r="AU4014" s="22" t="s">
        <v>3240</v>
      </c>
    </row>
    <row r="4015" spans="1:47">
      <c r="A4015" s="246" t="str">
        <f t="shared" si="1256"/>
        <v/>
      </c>
      <c r="B4015" s="23"/>
      <c r="C4015" s="23"/>
      <c r="D4015" s="202" t="str">
        <f t="shared" si="1257"/>
        <v/>
      </c>
      <c r="E4015" s="33" t="str">
        <f t="shared" si="1239"/>
        <v/>
      </c>
      <c r="F4015" s="23"/>
      <c r="G4015" s="23"/>
      <c r="H4015" s="29"/>
      <c r="I4015" s="204" t="str">
        <f t="shared" si="1254"/>
        <v/>
      </c>
      <c r="J4015" s="188"/>
      <c r="K4015" s="29"/>
      <c r="L4015" s="24"/>
      <c r="M4015" s="22"/>
      <c r="N4015" s="22"/>
      <c r="O4015" s="22"/>
      <c r="P4015" s="202" t="str">
        <f t="shared" si="1255"/>
        <v/>
      </c>
      <c r="Q4015" s="22"/>
      <c r="R4015" s="22"/>
      <c r="S4015" s="22"/>
      <c r="T4015" s="22"/>
      <c r="U4015" s="22"/>
      <c r="V4015" s="22"/>
      <c r="W4015" s="22"/>
      <c r="X4015" s="104"/>
      <c r="Y4015" s="195" t="str">
        <f t="shared" si="1240"/>
        <v/>
      </c>
      <c r="Z4015" s="196" t="str">
        <f t="shared" si="1241"/>
        <v/>
      </c>
      <c r="AA4015" s="22"/>
      <c r="AB4015" s="197" t="str">
        <f t="shared" si="1258"/>
        <v/>
      </c>
      <c r="AC4015" s="198" t="str">
        <f t="shared" si="1259"/>
        <v/>
      </c>
      <c r="AD4015" s="162"/>
      <c r="AE4015" s="199" t="str">
        <f t="shared" si="1260"/>
        <v/>
      </c>
      <c r="AF4015" s="199" t="str">
        <f>IF(AND(COUNTIFS($J$18:J4015,J4015)=1,AE4015=1),1,"")</f>
        <v/>
      </c>
      <c r="AG4015" s="199" t="str">
        <f>IF(C4015="","",IF(AND(COUNTIFS($J$18:J4015,J4015)=1,C4015&lt;&gt;""),1,""))</f>
        <v/>
      </c>
      <c r="AH4015" s="199" t="str">
        <f>IF(G4015="","",IF(AND(COUNTIFS($J$18:J4015,J4015)=1,G4015&lt;&gt;""),1,""))</f>
        <v/>
      </c>
      <c r="AI4015" s="200">
        <f t="shared" si="1261"/>
        <v>0</v>
      </c>
      <c r="AJ4015" s="200">
        <f t="shared" si="1262"/>
        <v>0</v>
      </c>
      <c r="AK4015" s="201" t="str">
        <f t="shared" si="1263"/>
        <v/>
      </c>
      <c r="AL4015" s="24"/>
      <c r="AM4015" s="24"/>
      <c r="AN4015" s="24"/>
      <c r="AO4015" s="24"/>
      <c r="AP4015" s="165" t="str">
        <f t="shared" si="1264"/>
        <v/>
      </c>
      <c r="AQ4015" s="203" t="str">
        <f t="shared" si="1265"/>
        <v/>
      </c>
      <c r="AR4015" s="206">
        <f t="shared" si="1266"/>
        <v>0</v>
      </c>
      <c r="AS4015" s="22" t="str">
        <f t="shared" si="1267"/>
        <v/>
      </c>
      <c r="AT4015" s="24" t="str">
        <f t="shared" si="1268"/>
        <v/>
      </c>
      <c r="AU4015" s="22" t="s">
        <v>3240</v>
      </c>
    </row>
    <row r="4016" spans="1:47">
      <c r="A4016" s="246" t="str">
        <f t="shared" si="1256"/>
        <v/>
      </c>
      <c r="B4016" s="23"/>
      <c r="C4016" s="23"/>
      <c r="D4016" s="202" t="str">
        <f t="shared" si="1257"/>
        <v/>
      </c>
      <c r="E4016" s="33" t="str">
        <f t="shared" si="1239"/>
        <v/>
      </c>
      <c r="F4016" s="23"/>
      <c r="G4016" s="23"/>
      <c r="H4016" s="29"/>
      <c r="I4016" s="204" t="str">
        <f t="shared" si="1254"/>
        <v/>
      </c>
      <c r="J4016" s="188"/>
      <c r="K4016" s="29"/>
      <c r="L4016" s="24"/>
      <c r="M4016" s="22"/>
      <c r="N4016" s="22"/>
      <c r="O4016" s="22"/>
      <c r="P4016" s="202" t="str">
        <f t="shared" si="1255"/>
        <v/>
      </c>
      <c r="Q4016" s="22"/>
      <c r="R4016" s="22"/>
      <c r="S4016" s="22"/>
      <c r="T4016" s="22"/>
      <c r="U4016" s="22"/>
      <c r="V4016" s="22"/>
      <c r="W4016" s="22"/>
      <c r="X4016" s="104"/>
      <c r="Y4016" s="195" t="str">
        <f t="shared" si="1240"/>
        <v/>
      </c>
      <c r="Z4016" s="196" t="str">
        <f t="shared" si="1241"/>
        <v/>
      </c>
      <c r="AA4016" s="22"/>
      <c r="AB4016" s="197" t="str">
        <f t="shared" si="1258"/>
        <v/>
      </c>
      <c r="AC4016" s="198" t="str">
        <f t="shared" si="1259"/>
        <v/>
      </c>
      <c r="AD4016" s="162"/>
      <c r="AE4016" s="199" t="str">
        <f t="shared" si="1260"/>
        <v/>
      </c>
      <c r="AF4016" s="199" t="str">
        <f>IF(AND(COUNTIFS($J$18:J4016,J4016)=1,AE4016=1),1,"")</f>
        <v/>
      </c>
      <c r="AG4016" s="199" t="str">
        <f>IF(C4016="","",IF(AND(COUNTIFS($J$18:J4016,J4016)=1,C4016&lt;&gt;""),1,""))</f>
        <v/>
      </c>
      <c r="AH4016" s="199" t="str">
        <f>IF(G4016="","",IF(AND(COUNTIFS($J$18:J4016,J4016)=1,G4016&lt;&gt;""),1,""))</f>
        <v/>
      </c>
      <c r="AI4016" s="200">
        <f t="shared" si="1261"/>
        <v>0</v>
      </c>
      <c r="AJ4016" s="200">
        <f t="shared" si="1262"/>
        <v>0</v>
      </c>
      <c r="AK4016" s="201" t="str">
        <f t="shared" si="1263"/>
        <v/>
      </c>
      <c r="AL4016" s="24"/>
      <c r="AM4016" s="24"/>
      <c r="AN4016" s="24"/>
      <c r="AO4016" s="24"/>
      <c r="AP4016" s="165" t="str">
        <f t="shared" si="1264"/>
        <v/>
      </c>
      <c r="AQ4016" s="203" t="str">
        <f t="shared" si="1265"/>
        <v/>
      </c>
      <c r="AR4016" s="206">
        <f t="shared" si="1266"/>
        <v>0</v>
      </c>
      <c r="AS4016" s="22" t="str">
        <f t="shared" si="1267"/>
        <v/>
      </c>
      <c r="AT4016" s="24" t="str">
        <f t="shared" si="1268"/>
        <v/>
      </c>
      <c r="AU4016" s="22" t="s">
        <v>3240</v>
      </c>
    </row>
    <row r="4017" spans="1:47">
      <c r="A4017" s="246" t="str">
        <f t="shared" si="1256"/>
        <v/>
      </c>
      <c r="B4017" s="23"/>
      <c r="C4017" s="23"/>
      <c r="D4017" s="202" t="str">
        <f t="shared" si="1257"/>
        <v/>
      </c>
      <c r="E4017" s="33" t="str">
        <f t="shared" si="1239"/>
        <v/>
      </c>
      <c r="F4017" s="23"/>
      <c r="G4017" s="23"/>
      <c r="H4017" s="29"/>
      <c r="I4017" s="204" t="str">
        <f t="shared" si="1254"/>
        <v/>
      </c>
      <c r="J4017" s="188"/>
      <c r="K4017" s="29"/>
      <c r="L4017" s="24"/>
      <c r="M4017" s="22"/>
      <c r="N4017" s="22"/>
      <c r="O4017" s="22"/>
      <c r="P4017" s="202" t="str">
        <f t="shared" si="1255"/>
        <v/>
      </c>
      <c r="Q4017" s="22"/>
      <c r="R4017" s="22"/>
      <c r="S4017" s="22"/>
      <c r="T4017" s="22"/>
      <c r="U4017" s="22"/>
      <c r="V4017" s="22"/>
      <c r="W4017" s="22"/>
      <c r="X4017" s="104"/>
      <c r="Y4017" s="195" t="str">
        <f t="shared" si="1240"/>
        <v/>
      </c>
      <c r="Z4017" s="196" t="str">
        <f t="shared" si="1241"/>
        <v/>
      </c>
      <c r="AA4017" s="22"/>
      <c r="AB4017" s="197" t="str">
        <f t="shared" si="1258"/>
        <v/>
      </c>
      <c r="AC4017" s="198" t="str">
        <f t="shared" si="1259"/>
        <v/>
      </c>
      <c r="AD4017" s="162"/>
      <c r="AE4017" s="199" t="str">
        <f t="shared" si="1260"/>
        <v/>
      </c>
      <c r="AF4017" s="199" t="str">
        <f>IF(AND(COUNTIFS($J$18:J4017,J4017)=1,AE4017=1),1,"")</f>
        <v/>
      </c>
      <c r="AG4017" s="199" t="str">
        <f>IF(C4017="","",IF(AND(COUNTIFS($J$18:J4017,J4017)=1,C4017&lt;&gt;""),1,""))</f>
        <v/>
      </c>
      <c r="AH4017" s="199" t="str">
        <f>IF(G4017="","",IF(AND(COUNTIFS($J$18:J4017,J4017)=1,G4017&lt;&gt;""),1,""))</f>
        <v/>
      </c>
      <c r="AI4017" s="200">
        <f t="shared" si="1261"/>
        <v>0</v>
      </c>
      <c r="AJ4017" s="200">
        <f t="shared" si="1262"/>
        <v>0</v>
      </c>
      <c r="AK4017" s="201" t="str">
        <f t="shared" si="1263"/>
        <v/>
      </c>
      <c r="AL4017" s="24"/>
      <c r="AM4017" s="24"/>
      <c r="AN4017" s="24"/>
      <c r="AO4017" s="24"/>
      <c r="AP4017" s="165" t="str">
        <f t="shared" si="1264"/>
        <v/>
      </c>
      <c r="AQ4017" s="203" t="str">
        <f t="shared" si="1265"/>
        <v/>
      </c>
      <c r="AR4017" s="206">
        <f t="shared" si="1266"/>
        <v>0</v>
      </c>
      <c r="AS4017" s="22" t="str">
        <f t="shared" si="1267"/>
        <v/>
      </c>
      <c r="AT4017" s="24" t="str">
        <f t="shared" si="1268"/>
        <v/>
      </c>
      <c r="AU4017" s="22" t="s">
        <v>3240</v>
      </c>
    </row>
    <row r="4018" spans="1:47">
      <c r="A4018" s="246" t="str">
        <f t="shared" si="1256"/>
        <v/>
      </c>
      <c r="B4018" s="23"/>
      <c r="C4018" s="23"/>
      <c r="D4018" s="202" t="str">
        <f t="shared" si="1257"/>
        <v/>
      </c>
      <c r="E4018" s="33" t="str">
        <f t="shared" si="1239"/>
        <v/>
      </c>
      <c r="F4018" s="23"/>
      <c r="G4018" s="23"/>
      <c r="H4018" s="29"/>
      <c r="I4018" s="204" t="str">
        <f t="shared" si="1254"/>
        <v/>
      </c>
      <c r="J4018" s="188"/>
      <c r="K4018" s="29"/>
      <c r="L4018" s="24"/>
      <c r="M4018" s="22"/>
      <c r="N4018" s="22"/>
      <c r="O4018" s="22"/>
      <c r="P4018" s="202" t="str">
        <f t="shared" si="1255"/>
        <v/>
      </c>
      <c r="Q4018" s="22"/>
      <c r="R4018" s="22"/>
      <c r="S4018" s="22"/>
      <c r="T4018" s="22"/>
      <c r="U4018" s="22"/>
      <c r="V4018" s="22"/>
      <c r="W4018" s="22"/>
      <c r="X4018" s="104"/>
      <c r="Y4018" s="195" t="str">
        <f t="shared" si="1240"/>
        <v/>
      </c>
      <c r="Z4018" s="196" t="str">
        <f t="shared" si="1241"/>
        <v/>
      </c>
      <c r="AA4018" s="22"/>
      <c r="AB4018" s="197" t="str">
        <f t="shared" si="1258"/>
        <v/>
      </c>
      <c r="AC4018" s="198" t="str">
        <f t="shared" si="1259"/>
        <v/>
      </c>
      <c r="AD4018" s="162"/>
      <c r="AE4018" s="199" t="str">
        <f t="shared" si="1260"/>
        <v/>
      </c>
      <c r="AF4018" s="199" t="str">
        <f>IF(AND(COUNTIFS($J$18:J4018,J4018)=1,AE4018=1),1,"")</f>
        <v/>
      </c>
      <c r="AG4018" s="199" t="str">
        <f>IF(C4018="","",IF(AND(COUNTIFS($J$18:J4018,J4018)=1,C4018&lt;&gt;""),1,""))</f>
        <v/>
      </c>
      <c r="AH4018" s="199" t="str">
        <f>IF(G4018="","",IF(AND(COUNTIFS($J$18:J4018,J4018)=1,G4018&lt;&gt;""),1,""))</f>
        <v/>
      </c>
      <c r="AI4018" s="200">
        <f t="shared" si="1261"/>
        <v>0</v>
      </c>
      <c r="AJ4018" s="200">
        <f t="shared" si="1262"/>
        <v>0</v>
      </c>
      <c r="AK4018" s="201" t="str">
        <f t="shared" si="1263"/>
        <v/>
      </c>
      <c r="AL4018" s="24"/>
      <c r="AM4018" s="24"/>
      <c r="AN4018" s="24"/>
      <c r="AO4018" s="24"/>
      <c r="AP4018" s="165" t="str">
        <f t="shared" si="1264"/>
        <v/>
      </c>
      <c r="AQ4018" s="203" t="str">
        <f t="shared" si="1265"/>
        <v/>
      </c>
      <c r="AR4018" s="206">
        <f t="shared" si="1266"/>
        <v>0</v>
      </c>
      <c r="AS4018" s="22" t="str">
        <f t="shared" si="1267"/>
        <v/>
      </c>
      <c r="AT4018" s="24" t="str">
        <f t="shared" si="1268"/>
        <v/>
      </c>
      <c r="AU4018" s="22" t="s">
        <v>3240</v>
      </c>
    </row>
    <row r="4019" spans="1:47">
      <c r="A4019" s="246" t="str">
        <f t="shared" si="1256"/>
        <v/>
      </c>
      <c r="B4019" s="23"/>
      <c r="C4019" s="23"/>
      <c r="D4019" s="202" t="str">
        <f t="shared" si="1257"/>
        <v/>
      </c>
      <c r="E4019" s="33" t="str">
        <f t="shared" si="1239"/>
        <v/>
      </c>
      <c r="F4019" s="23"/>
      <c r="G4019" s="23"/>
      <c r="H4019" s="29"/>
      <c r="I4019" s="204" t="str">
        <f t="shared" si="1254"/>
        <v/>
      </c>
      <c r="J4019" s="188"/>
      <c r="K4019" s="29"/>
      <c r="L4019" s="24"/>
      <c r="M4019" s="22"/>
      <c r="N4019" s="22"/>
      <c r="O4019" s="22"/>
      <c r="P4019" s="202" t="str">
        <f t="shared" si="1255"/>
        <v/>
      </c>
      <c r="Q4019" s="22"/>
      <c r="R4019" s="22"/>
      <c r="S4019" s="22"/>
      <c r="T4019" s="22"/>
      <c r="U4019" s="22"/>
      <c r="V4019" s="22"/>
      <c r="W4019" s="22"/>
      <c r="X4019" s="104"/>
      <c r="Y4019" s="195" t="str">
        <f t="shared" si="1240"/>
        <v/>
      </c>
      <c r="Z4019" s="196" t="str">
        <f t="shared" si="1241"/>
        <v/>
      </c>
      <c r="AA4019" s="22"/>
      <c r="AB4019" s="197" t="str">
        <f t="shared" si="1258"/>
        <v/>
      </c>
      <c r="AC4019" s="198" t="str">
        <f t="shared" si="1259"/>
        <v/>
      </c>
      <c r="AD4019" s="162"/>
      <c r="AE4019" s="199" t="str">
        <f t="shared" si="1260"/>
        <v/>
      </c>
      <c r="AF4019" s="199" t="str">
        <f>IF(AND(COUNTIFS($J$18:J4019,J4019)=1,AE4019=1),1,"")</f>
        <v/>
      </c>
      <c r="AG4019" s="199" t="str">
        <f>IF(C4019="","",IF(AND(COUNTIFS($J$18:J4019,J4019)=1,C4019&lt;&gt;""),1,""))</f>
        <v/>
      </c>
      <c r="AH4019" s="199" t="str">
        <f>IF(G4019="","",IF(AND(COUNTIFS($J$18:J4019,J4019)=1,G4019&lt;&gt;""),1,""))</f>
        <v/>
      </c>
      <c r="AI4019" s="200">
        <f t="shared" si="1261"/>
        <v>0</v>
      </c>
      <c r="AJ4019" s="200">
        <f t="shared" si="1262"/>
        <v>0</v>
      </c>
      <c r="AK4019" s="201" t="str">
        <f t="shared" si="1263"/>
        <v/>
      </c>
      <c r="AL4019" s="24"/>
      <c r="AM4019" s="24"/>
      <c r="AN4019" s="24"/>
      <c r="AO4019" s="24"/>
      <c r="AP4019" s="165" t="str">
        <f t="shared" si="1264"/>
        <v/>
      </c>
      <c r="AQ4019" s="203" t="str">
        <f t="shared" si="1265"/>
        <v/>
      </c>
      <c r="AR4019" s="206">
        <f t="shared" si="1266"/>
        <v>0</v>
      </c>
      <c r="AS4019" s="22" t="str">
        <f t="shared" si="1267"/>
        <v/>
      </c>
      <c r="AT4019" s="24" t="str">
        <f t="shared" si="1268"/>
        <v/>
      </c>
      <c r="AU4019" s="22" t="s">
        <v>3240</v>
      </c>
    </row>
    <row r="4020" spans="1:47">
      <c r="A4020" s="246" t="str">
        <f t="shared" si="1256"/>
        <v/>
      </c>
      <c r="B4020" s="23"/>
      <c r="C4020" s="23"/>
      <c r="D4020" s="202" t="str">
        <f t="shared" si="1257"/>
        <v/>
      </c>
      <c r="E4020" s="33" t="str">
        <f t="shared" si="1239"/>
        <v/>
      </c>
      <c r="F4020" s="23"/>
      <c r="G4020" s="23"/>
      <c r="H4020" s="29"/>
      <c r="I4020" s="204" t="str">
        <f t="shared" si="1254"/>
        <v/>
      </c>
      <c r="J4020" s="188"/>
      <c r="K4020" s="29"/>
      <c r="L4020" s="24"/>
      <c r="M4020" s="22"/>
      <c r="N4020" s="22"/>
      <c r="O4020" s="22"/>
      <c r="P4020" s="202" t="str">
        <f t="shared" si="1255"/>
        <v/>
      </c>
      <c r="Q4020" s="22"/>
      <c r="R4020" s="22"/>
      <c r="S4020" s="22"/>
      <c r="T4020" s="22"/>
      <c r="U4020" s="22"/>
      <c r="V4020" s="22"/>
      <c r="W4020" s="22"/>
      <c r="X4020" s="104"/>
      <c r="Y4020" s="195" t="str">
        <f t="shared" si="1240"/>
        <v/>
      </c>
      <c r="Z4020" s="196" t="str">
        <f t="shared" si="1241"/>
        <v/>
      </c>
      <c r="AA4020" s="22"/>
      <c r="AB4020" s="197" t="str">
        <f t="shared" si="1258"/>
        <v/>
      </c>
      <c r="AC4020" s="198" t="str">
        <f t="shared" si="1259"/>
        <v/>
      </c>
      <c r="AD4020" s="162"/>
      <c r="AE4020" s="199" t="str">
        <f t="shared" si="1260"/>
        <v/>
      </c>
      <c r="AF4020" s="199" t="str">
        <f>IF(AND(COUNTIFS($J$18:J4020,J4020)=1,AE4020=1),1,"")</f>
        <v/>
      </c>
      <c r="AG4020" s="199" t="str">
        <f>IF(C4020="","",IF(AND(COUNTIFS($J$18:J4020,J4020)=1,C4020&lt;&gt;""),1,""))</f>
        <v/>
      </c>
      <c r="AH4020" s="199" t="str">
        <f>IF(G4020="","",IF(AND(COUNTIFS($J$18:J4020,J4020)=1,G4020&lt;&gt;""),1,""))</f>
        <v/>
      </c>
      <c r="AI4020" s="200">
        <f t="shared" si="1261"/>
        <v>0</v>
      </c>
      <c r="AJ4020" s="200">
        <f t="shared" si="1262"/>
        <v>0</v>
      </c>
      <c r="AK4020" s="201" t="str">
        <f t="shared" si="1263"/>
        <v/>
      </c>
      <c r="AL4020" s="24"/>
      <c r="AM4020" s="24"/>
      <c r="AN4020" s="24"/>
      <c r="AO4020" s="24"/>
      <c r="AP4020" s="165" t="str">
        <f t="shared" si="1264"/>
        <v/>
      </c>
      <c r="AQ4020" s="203" t="str">
        <f t="shared" si="1265"/>
        <v/>
      </c>
      <c r="AR4020" s="206">
        <f t="shared" si="1266"/>
        <v>0</v>
      </c>
      <c r="AS4020" s="22" t="str">
        <f t="shared" si="1267"/>
        <v/>
      </c>
      <c r="AT4020" s="24" t="str">
        <f t="shared" si="1268"/>
        <v/>
      </c>
      <c r="AU4020" s="22" t="s">
        <v>3240</v>
      </c>
    </row>
    <row r="4021" spans="1:47">
      <c r="A4021" s="246" t="str">
        <f t="shared" si="1256"/>
        <v/>
      </c>
      <c r="B4021" s="23"/>
      <c r="C4021" s="23"/>
      <c r="D4021" s="202" t="str">
        <f t="shared" si="1257"/>
        <v/>
      </c>
      <c r="E4021" s="33" t="str">
        <f t="shared" si="1239"/>
        <v/>
      </c>
      <c r="F4021" s="23"/>
      <c r="G4021" s="23"/>
      <c r="H4021" s="29"/>
      <c r="I4021" s="204" t="str">
        <f t="shared" si="1254"/>
        <v/>
      </c>
      <c r="J4021" s="188"/>
      <c r="K4021" s="29"/>
      <c r="L4021" s="24"/>
      <c r="M4021" s="22"/>
      <c r="N4021" s="22"/>
      <c r="O4021" s="22"/>
      <c r="P4021" s="202" t="str">
        <f t="shared" si="1255"/>
        <v/>
      </c>
      <c r="Q4021" s="22"/>
      <c r="R4021" s="22"/>
      <c r="S4021" s="22"/>
      <c r="T4021" s="22"/>
      <c r="U4021" s="22"/>
      <c r="V4021" s="22"/>
      <c r="W4021" s="22"/>
      <c r="X4021" s="104"/>
      <c r="Y4021" s="195" t="str">
        <f t="shared" si="1240"/>
        <v/>
      </c>
      <c r="Z4021" s="196" t="str">
        <f t="shared" si="1241"/>
        <v/>
      </c>
      <c r="AA4021" s="22"/>
      <c r="AB4021" s="197" t="str">
        <f t="shared" si="1258"/>
        <v/>
      </c>
      <c r="AC4021" s="198" t="str">
        <f t="shared" si="1259"/>
        <v/>
      </c>
      <c r="AD4021" s="162"/>
      <c r="AE4021" s="199" t="str">
        <f t="shared" si="1260"/>
        <v/>
      </c>
      <c r="AF4021" s="199" t="str">
        <f>IF(AND(COUNTIFS($J$18:J4021,J4021)=1,AE4021=1),1,"")</f>
        <v/>
      </c>
      <c r="AG4021" s="199" t="str">
        <f>IF(C4021="","",IF(AND(COUNTIFS($J$18:J4021,J4021)=1,C4021&lt;&gt;""),1,""))</f>
        <v/>
      </c>
      <c r="AH4021" s="199" t="str">
        <f>IF(G4021="","",IF(AND(COUNTIFS($J$18:J4021,J4021)=1,G4021&lt;&gt;""),1,""))</f>
        <v/>
      </c>
      <c r="AI4021" s="200">
        <f t="shared" si="1261"/>
        <v>0</v>
      </c>
      <c r="AJ4021" s="200">
        <f t="shared" si="1262"/>
        <v>0</v>
      </c>
      <c r="AK4021" s="201" t="str">
        <f t="shared" si="1263"/>
        <v/>
      </c>
      <c r="AL4021" s="24"/>
      <c r="AM4021" s="24"/>
      <c r="AN4021" s="24"/>
      <c r="AO4021" s="24"/>
      <c r="AP4021" s="165" t="str">
        <f t="shared" si="1264"/>
        <v/>
      </c>
      <c r="AQ4021" s="203" t="str">
        <f t="shared" si="1265"/>
        <v/>
      </c>
      <c r="AR4021" s="206">
        <f t="shared" si="1266"/>
        <v>0</v>
      </c>
      <c r="AS4021" s="22" t="str">
        <f t="shared" si="1267"/>
        <v/>
      </c>
      <c r="AT4021" s="24" t="str">
        <f t="shared" si="1268"/>
        <v/>
      </c>
      <c r="AU4021" s="22" t="s">
        <v>3240</v>
      </c>
    </row>
    <row r="4022" spans="1:47">
      <c r="A4022" s="246" t="str">
        <f t="shared" si="1256"/>
        <v/>
      </c>
      <c r="B4022" s="23"/>
      <c r="C4022" s="23"/>
      <c r="D4022" s="202" t="str">
        <f t="shared" si="1257"/>
        <v/>
      </c>
      <c r="E4022" s="33" t="str">
        <f t="shared" si="1239"/>
        <v/>
      </c>
      <c r="F4022" s="23"/>
      <c r="G4022" s="23"/>
      <c r="H4022" s="29"/>
      <c r="I4022" s="204" t="str">
        <f t="shared" si="1254"/>
        <v/>
      </c>
      <c r="J4022" s="188"/>
      <c r="K4022" s="29"/>
      <c r="L4022" s="24"/>
      <c r="M4022" s="22"/>
      <c r="N4022" s="22"/>
      <c r="O4022" s="22"/>
      <c r="P4022" s="202" t="str">
        <f t="shared" si="1255"/>
        <v/>
      </c>
      <c r="Q4022" s="22"/>
      <c r="R4022" s="22"/>
      <c r="S4022" s="22"/>
      <c r="T4022" s="22"/>
      <c r="U4022" s="22"/>
      <c r="V4022" s="22"/>
      <c r="W4022" s="22"/>
      <c r="X4022" s="104"/>
      <c r="Y4022" s="195" t="str">
        <f t="shared" si="1240"/>
        <v/>
      </c>
      <c r="Z4022" s="196" t="str">
        <f t="shared" si="1241"/>
        <v/>
      </c>
      <c r="AA4022" s="22"/>
      <c r="AB4022" s="197" t="str">
        <f t="shared" si="1258"/>
        <v/>
      </c>
      <c r="AC4022" s="198" t="str">
        <f t="shared" si="1259"/>
        <v/>
      </c>
      <c r="AD4022" s="162"/>
      <c r="AE4022" s="199" t="str">
        <f t="shared" si="1260"/>
        <v/>
      </c>
      <c r="AF4022" s="199" t="str">
        <f>IF(AND(COUNTIFS($J$18:J4022,J4022)=1,AE4022=1),1,"")</f>
        <v/>
      </c>
      <c r="AG4022" s="199" t="str">
        <f>IF(C4022="","",IF(AND(COUNTIFS($J$18:J4022,J4022)=1,C4022&lt;&gt;""),1,""))</f>
        <v/>
      </c>
      <c r="AH4022" s="199" t="str">
        <f>IF(G4022="","",IF(AND(COUNTIFS($J$18:J4022,J4022)=1,G4022&lt;&gt;""),1,""))</f>
        <v/>
      </c>
      <c r="AI4022" s="200">
        <f t="shared" si="1261"/>
        <v>0</v>
      </c>
      <c r="AJ4022" s="200">
        <f t="shared" si="1262"/>
        <v>0</v>
      </c>
      <c r="AK4022" s="201" t="str">
        <f t="shared" si="1263"/>
        <v/>
      </c>
      <c r="AL4022" s="24"/>
      <c r="AM4022" s="24"/>
      <c r="AN4022" s="24"/>
      <c r="AO4022" s="24"/>
      <c r="AP4022" s="165" t="str">
        <f t="shared" si="1264"/>
        <v/>
      </c>
      <c r="AQ4022" s="203" t="str">
        <f t="shared" si="1265"/>
        <v/>
      </c>
      <c r="AR4022" s="206">
        <f t="shared" si="1266"/>
        <v>0</v>
      </c>
      <c r="AS4022" s="22" t="str">
        <f t="shared" si="1267"/>
        <v/>
      </c>
      <c r="AT4022" s="24" t="str">
        <f t="shared" si="1268"/>
        <v/>
      </c>
      <c r="AU4022" s="22" t="s">
        <v>3240</v>
      </c>
    </row>
    <row r="4023" spans="1:47">
      <c r="A4023" s="246" t="str">
        <f t="shared" si="1256"/>
        <v/>
      </c>
      <c r="B4023" s="23"/>
      <c r="C4023" s="23"/>
      <c r="D4023" s="202" t="str">
        <f t="shared" si="1257"/>
        <v/>
      </c>
      <c r="E4023" s="33" t="str">
        <f t="shared" si="1239"/>
        <v/>
      </c>
      <c r="F4023" s="23"/>
      <c r="G4023" s="23"/>
      <c r="H4023" s="29"/>
      <c r="I4023" s="204" t="str">
        <f t="shared" si="1254"/>
        <v/>
      </c>
      <c r="J4023" s="188"/>
      <c r="K4023" s="29"/>
      <c r="L4023" s="24"/>
      <c r="M4023" s="22"/>
      <c r="N4023" s="22"/>
      <c r="O4023" s="22"/>
      <c r="P4023" s="202" t="str">
        <f t="shared" si="1255"/>
        <v/>
      </c>
      <c r="Q4023" s="22"/>
      <c r="R4023" s="22"/>
      <c r="S4023" s="22"/>
      <c r="T4023" s="22"/>
      <c r="U4023" s="22"/>
      <c r="V4023" s="22"/>
      <c r="W4023" s="22"/>
      <c r="X4023" s="104"/>
      <c r="Y4023" s="195" t="str">
        <f t="shared" si="1240"/>
        <v/>
      </c>
      <c r="Z4023" s="196" t="str">
        <f t="shared" si="1241"/>
        <v/>
      </c>
      <c r="AA4023" s="22"/>
      <c r="AB4023" s="197" t="str">
        <f t="shared" si="1258"/>
        <v/>
      </c>
      <c r="AC4023" s="198" t="str">
        <f t="shared" si="1259"/>
        <v/>
      </c>
      <c r="AD4023" s="162"/>
      <c r="AE4023" s="199" t="str">
        <f t="shared" si="1260"/>
        <v/>
      </c>
      <c r="AF4023" s="199" t="str">
        <f>IF(AND(COUNTIFS($J$18:J4023,J4023)=1,AE4023=1),1,"")</f>
        <v/>
      </c>
      <c r="AG4023" s="199" t="str">
        <f>IF(C4023="","",IF(AND(COUNTIFS($J$18:J4023,J4023)=1,C4023&lt;&gt;""),1,""))</f>
        <v/>
      </c>
      <c r="AH4023" s="199" t="str">
        <f>IF(G4023="","",IF(AND(COUNTIFS($J$18:J4023,J4023)=1,G4023&lt;&gt;""),1,""))</f>
        <v/>
      </c>
      <c r="AI4023" s="200">
        <f t="shared" si="1261"/>
        <v>0</v>
      </c>
      <c r="AJ4023" s="200">
        <f t="shared" si="1262"/>
        <v>0</v>
      </c>
      <c r="AK4023" s="201" t="str">
        <f t="shared" si="1263"/>
        <v/>
      </c>
      <c r="AL4023" s="24"/>
      <c r="AM4023" s="24"/>
      <c r="AN4023" s="24"/>
      <c r="AO4023" s="24"/>
      <c r="AP4023" s="165" t="str">
        <f t="shared" si="1264"/>
        <v/>
      </c>
      <c r="AQ4023" s="203" t="str">
        <f t="shared" si="1265"/>
        <v/>
      </c>
      <c r="AR4023" s="206">
        <f t="shared" si="1266"/>
        <v>0</v>
      </c>
      <c r="AS4023" s="22" t="str">
        <f t="shared" si="1267"/>
        <v/>
      </c>
      <c r="AT4023" s="24" t="str">
        <f t="shared" si="1268"/>
        <v/>
      </c>
      <c r="AU4023" s="22" t="s">
        <v>3240</v>
      </c>
    </row>
    <row r="4024" spans="1:47">
      <c r="A4024" s="246" t="str">
        <f t="shared" si="1256"/>
        <v/>
      </c>
      <c r="B4024" s="23"/>
      <c r="C4024" s="23"/>
      <c r="D4024" s="202" t="str">
        <f t="shared" si="1257"/>
        <v/>
      </c>
      <c r="E4024" s="33" t="str">
        <f t="shared" si="1239"/>
        <v/>
      </c>
      <c r="F4024" s="23"/>
      <c r="G4024" s="23"/>
      <c r="H4024" s="29"/>
      <c r="I4024" s="204" t="str">
        <f t="shared" si="1254"/>
        <v/>
      </c>
      <c r="J4024" s="188"/>
      <c r="K4024" s="29"/>
      <c r="L4024" s="24"/>
      <c r="M4024" s="22"/>
      <c r="N4024" s="22"/>
      <c r="O4024" s="22"/>
      <c r="P4024" s="202" t="str">
        <f t="shared" si="1255"/>
        <v/>
      </c>
      <c r="Q4024" s="22"/>
      <c r="R4024" s="22"/>
      <c r="S4024" s="22"/>
      <c r="T4024" s="22"/>
      <c r="U4024" s="22"/>
      <c r="V4024" s="22"/>
      <c r="W4024" s="22"/>
      <c r="X4024" s="104"/>
      <c r="Y4024" s="195" t="str">
        <f t="shared" si="1240"/>
        <v/>
      </c>
      <c r="Z4024" s="196" t="str">
        <f t="shared" si="1241"/>
        <v/>
      </c>
      <c r="AA4024" s="22"/>
      <c r="AB4024" s="197" t="str">
        <f t="shared" si="1258"/>
        <v/>
      </c>
      <c r="AC4024" s="198" t="str">
        <f t="shared" si="1259"/>
        <v/>
      </c>
      <c r="AD4024" s="162"/>
      <c r="AE4024" s="199" t="str">
        <f t="shared" si="1260"/>
        <v/>
      </c>
      <c r="AF4024" s="199" t="str">
        <f>IF(AND(COUNTIFS($J$18:J4024,J4024)=1,AE4024=1),1,"")</f>
        <v/>
      </c>
      <c r="AG4024" s="199" t="str">
        <f>IF(C4024="","",IF(AND(COUNTIFS($J$18:J4024,J4024)=1,C4024&lt;&gt;""),1,""))</f>
        <v/>
      </c>
      <c r="AH4024" s="199" t="str">
        <f>IF(G4024="","",IF(AND(COUNTIFS($J$18:J4024,J4024)=1,G4024&lt;&gt;""),1,""))</f>
        <v/>
      </c>
      <c r="AI4024" s="200">
        <f t="shared" si="1261"/>
        <v>0</v>
      </c>
      <c r="AJ4024" s="200">
        <f t="shared" si="1262"/>
        <v>0</v>
      </c>
      <c r="AK4024" s="201" t="str">
        <f t="shared" si="1263"/>
        <v/>
      </c>
      <c r="AL4024" s="24"/>
      <c r="AM4024" s="24"/>
      <c r="AN4024" s="24"/>
      <c r="AO4024" s="24"/>
      <c r="AP4024" s="165" t="str">
        <f t="shared" si="1264"/>
        <v/>
      </c>
      <c r="AQ4024" s="203" t="str">
        <f t="shared" si="1265"/>
        <v/>
      </c>
      <c r="AR4024" s="206">
        <f t="shared" si="1266"/>
        <v>0</v>
      </c>
      <c r="AS4024" s="22" t="str">
        <f t="shared" si="1267"/>
        <v/>
      </c>
      <c r="AT4024" s="24" t="str">
        <f t="shared" si="1268"/>
        <v/>
      </c>
      <c r="AU4024" s="22" t="s">
        <v>3240</v>
      </c>
    </row>
    <row r="4025" spans="1:47">
      <c r="A4025" s="246" t="str">
        <f t="shared" si="1256"/>
        <v/>
      </c>
      <c r="B4025" s="23"/>
      <c r="C4025" s="23"/>
      <c r="D4025" s="202" t="str">
        <f t="shared" si="1257"/>
        <v/>
      </c>
      <c r="E4025" s="33" t="str">
        <f t="shared" si="1239"/>
        <v/>
      </c>
      <c r="F4025" s="23"/>
      <c r="G4025" s="23"/>
      <c r="H4025" s="29"/>
      <c r="I4025" s="204" t="str">
        <f t="shared" si="1254"/>
        <v/>
      </c>
      <c r="J4025" s="188"/>
      <c r="K4025" s="29"/>
      <c r="L4025" s="24"/>
      <c r="M4025" s="22"/>
      <c r="N4025" s="22"/>
      <c r="O4025" s="22"/>
      <c r="P4025" s="202" t="str">
        <f t="shared" si="1255"/>
        <v/>
      </c>
      <c r="Q4025" s="22"/>
      <c r="R4025" s="22"/>
      <c r="S4025" s="22"/>
      <c r="T4025" s="22"/>
      <c r="U4025" s="22"/>
      <c r="V4025" s="22"/>
      <c r="W4025" s="22"/>
      <c r="X4025" s="104"/>
      <c r="Y4025" s="195" t="str">
        <f t="shared" si="1240"/>
        <v/>
      </c>
      <c r="Z4025" s="196" t="str">
        <f t="shared" si="1241"/>
        <v/>
      </c>
      <c r="AA4025" s="22"/>
      <c r="AB4025" s="197" t="str">
        <f t="shared" si="1258"/>
        <v/>
      </c>
      <c r="AC4025" s="198" t="str">
        <f t="shared" si="1259"/>
        <v/>
      </c>
      <c r="AD4025" s="162"/>
      <c r="AE4025" s="199" t="str">
        <f t="shared" si="1260"/>
        <v/>
      </c>
      <c r="AF4025" s="199" t="str">
        <f>IF(AND(COUNTIFS($J$18:J4025,J4025)=1,AE4025=1),1,"")</f>
        <v/>
      </c>
      <c r="AG4025" s="199" t="str">
        <f>IF(C4025="","",IF(AND(COUNTIFS($J$18:J4025,J4025)=1,C4025&lt;&gt;""),1,""))</f>
        <v/>
      </c>
      <c r="AH4025" s="199" t="str">
        <f>IF(G4025="","",IF(AND(COUNTIFS($J$18:J4025,J4025)=1,G4025&lt;&gt;""),1,""))</f>
        <v/>
      </c>
      <c r="AI4025" s="200">
        <f t="shared" si="1261"/>
        <v>0</v>
      </c>
      <c r="AJ4025" s="200">
        <f t="shared" si="1262"/>
        <v>0</v>
      </c>
      <c r="AK4025" s="201" t="str">
        <f t="shared" si="1263"/>
        <v/>
      </c>
      <c r="AL4025" s="24"/>
      <c r="AM4025" s="24"/>
      <c r="AN4025" s="24"/>
      <c r="AO4025" s="24"/>
      <c r="AP4025" s="165" t="str">
        <f t="shared" si="1264"/>
        <v/>
      </c>
      <c r="AQ4025" s="203" t="str">
        <f t="shared" si="1265"/>
        <v/>
      </c>
      <c r="AR4025" s="206">
        <f t="shared" si="1266"/>
        <v>0</v>
      </c>
      <c r="AS4025" s="22" t="str">
        <f t="shared" si="1267"/>
        <v/>
      </c>
      <c r="AT4025" s="24" t="str">
        <f t="shared" si="1268"/>
        <v/>
      </c>
      <c r="AU4025" s="22" t="s">
        <v>3240</v>
      </c>
    </row>
    <row r="4026" spans="1:47">
      <c r="A4026" s="246" t="str">
        <f t="shared" si="1256"/>
        <v/>
      </c>
      <c r="B4026" s="23"/>
      <c r="C4026" s="23"/>
      <c r="D4026" s="202" t="str">
        <f t="shared" si="1257"/>
        <v/>
      </c>
      <c r="E4026" s="33" t="str">
        <f t="shared" si="1239"/>
        <v/>
      </c>
      <c r="F4026" s="23"/>
      <c r="G4026" s="23"/>
      <c r="H4026" s="29"/>
      <c r="I4026" s="204" t="str">
        <f t="shared" si="1254"/>
        <v/>
      </c>
      <c r="J4026" s="188"/>
      <c r="K4026" s="29"/>
      <c r="L4026" s="24"/>
      <c r="M4026" s="22"/>
      <c r="N4026" s="22"/>
      <c r="O4026" s="22"/>
      <c r="P4026" s="202" t="str">
        <f t="shared" si="1255"/>
        <v/>
      </c>
      <c r="Q4026" s="22"/>
      <c r="R4026" s="22"/>
      <c r="S4026" s="22"/>
      <c r="T4026" s="22"/>
      <c r="U4026" s="22"/>
      <c r="V4026" s="22"/>
      <c r="W4026" s="22"/>
      <c r="X4026" s="104"/>
      <c r="Y4026" s="195" t="str">
        <f t="shared" si="1240"/>
        <v/>
      </c>
      <c r="Z4026" s="196" t="str">
        <f t="shared" si="1241"/>
        <v/>
      </c>
      <c r="AA4026" s="22"/>
      <c r="AB4026" s="197" t="str">
        <f t="shared" si="1258"/>
        <v/>
      </c>
      <c r="AC4026" s="198" t="str">
        <f t="shared" si="1259"/>
        <v/>
      </c>
      <c r="AD4026" s="162"/>
      <c r="AE4026" s="199" t="str">
        <f t="shared" si="1260"/>
        <v/>
      </c>
      <c r="AF4026" s="199" t="str">
        <f>IF(AND(COUNTIFS($J$18:J4026,J4026)=1,AE4026=1),1,"")</f>
        <v/>
      </c>
      <c r="AG4026" s="199" t="str">
        <f>IF(C4026="","",IF(AND(COUNTIFS($J$18:J4026,J4026)=1,C4026&lt;&gt;""),1,""))</f>
        <v/>
      </c>
      <c r="AH4026" s="199" t="str">
        <f>IF(G4026="","",IF(AND(COUNTIFS($J$18:J4026,J4026)=1,G4026&lt;&gt;""),1,""))</f>
        <v/>
      </c>
      <c r="AI4026" s="200">
        <f t="shared" si="1261"/>
        <v>0</v>
      </c>
      <c r="AJ4026" s="200">
        <f t="shared" si="1262"/>
        <v>0</v>
      </c>
      <c r="AK4026" s="201" t="str">
        <f t="shared" si="1263"/>
        <v/>
      </c>
      <c r="AL4026" s="24"/>
      <c r="AM4026" s="24"/>
      <c r="AN4026" s="24"/>
      <c r="AO4026" s="24"/>
      <c r="AP4026" s="165" t="str">
        <f t="shared" si="1264"/>
        <v/>
      </c>
      <c r="AQ4026" s="203" t="str">
        <f t="shared" si="1265"/>
        <v/>
      </c>
      <c r="AR4026" s="206">
        <f t="shared" si="1266"/>
        <v>0</v>
      </c>
      <c r="AS4026" s="22" t="str">
        <f t="shared" si="1267"/>
        <v/>
      </c>
      <c r="AT4026" s="24" t="str">
        <f t="shared" si="1268"/>
        <v/>
      </c>
      <c r="AU4026" s="22" t="s">
        <v>3240</v>
      </c>
    </row>
    <row r="4027" spans="1:47">
      <c r="A4027" s="246" t="str">
        <f t="shared" si="1256"/>
        <v/>
      </c>
      <c r="B4027" s="23"/>
      <c r="C4027" s="23"/>
      <c r="D4027" s="202" t="str">
        <f t="shared" si="1257"/>
        <v/>
      </c>
      <c r="E4027" s="33" t="str">
        <f t="shared" si="1239"/>
        <v/>
      </c>
      <c r="F4027" s="23"/>
      <c r="G4027" s="23"/>
      <c r="H4027" s="29"/>
      <c r="I4027" s="204" t="str">
        <f t="shared" si="1254"/>
        <v/>
      </c>
      <c r="J4027" s="188"/>
      <c r="K4027" s="29"/>
      <c r="L4027" s="24"/>
      <c r="M4027" s="22"/>
      <c r="N4027" s="22"/>
      <c r="O4027" s="22"/>
      <c r="P4027" s="202" t="str">
        <f t="shared" si="1255"/>
        <v/>
      </c>
      <c r="Q4027" s="22"/>
      <c r="R4027" s="22"/>
      <c r="S4027" s="22"/>
      <c r="T4027" s="22"/>
      <c r="U4027" s="22"/>
      <c r="V4027" s="22"/>
      <c r="W4027" s="22"/>
      <c r="X4027" s="104"/>
      <c r="Y4027" s="195" t="str">
        <f t="shared" si="1240"/>
        <v/>
      </c>
      <c r="Z4027" s="196" t="str">
        <f t="shared" si="1241"/>
        <v/>
      </c>
      <c r="AA4027" s="22"/>
      <c r="AB4027" s="197" t="str">
        <f t="shared" si="1258"/>
        <v/>
      </c>
      <c r="AC4027" s="198" t="str">
        <f t="shared" si="1259"/>
        <v/>
      </c>
      <c r="AD4027" s="162"/>
      <c r="AE4027" s="199" t="str">
        <f t="shared" si="1260"/>
        <v/>
      </c>
      <c r="AF4027" s="199" t="str">
        <f>IF(AND(COUNTIFS($J$18:J4027,J4027)=1,AE4027=1),1,"")</f>
        <v/>
      </c>
      <c r="AG4027" s="199" t="str">
        <f>IF(C4027="","",IF(AND(COUNTIFS($J$18:J4027,J4027)=1,C4027&lt;&gt;""),1,""))</f>
        <v/>
      </c>
      <c r="AH4027" s="199" t="str">
        <f>IF(G4027="","",IF(AND(COUNTIFS($J$18:J4027,J4027)=1,G4027&lt;&gt;""),1,""))</f>
        <v/>
      </c>
      <c r="AI4027" s="200">
        <f t="shared" si="1261"/>
        <v>0</v>
      </c>
      <c r="AJ4027" s="200">
        <f t="shared" si="1262"/>
        <v>0</v>
      </c>
      <c r="AK4027" s="201" t="str">
        <f t="shared" si="1263"/>
        <v/>
      </c>
      <c r="AL4027" s="24"/>
      <c r="AM4027" s="24"/>
      <c r="AN4027" s="24"/>
      <c r="AO4027" s="24"/>
      <c r="AP4027" s="165" t="str">
        <f t="shared" si="1264"/>
        <v/>
      </c>
      <c r="AQ4027" s="203" t="str">
        <f t="shared" si="1265"/>
        <v/>
      </c>
      <c r="AR4027" s="206">
        <f t="shared" si="1266"/>
        <v>0</v>
      </c>
      <c r="AS4027" s="22" t="str">
        <f t="shared" si="1267"/>
        <v/>
      </c>
      <c r="AT4027" s="24" t="str">
        <f t="shared" si="1268"/>
        <v/>
      </c>
      <c r="AU4027" s="22" t="s">
        <v>3240</v>
      </c>
    </row>
    <row r="4028" spans="1:47">
      <c r="A4028" s="246" t="str">
        <f t="shared" si="1256"/>
        <v/>
      </c>
      <c r="B4028" s="23"/>
      <c r="C4028" s="23"/>
      <c r="D4028" s="202" t="str">
        <f t="shared" si="1257"/>
        <v/>
      </c>
      <c r="E4028" s="33" t="str">
        <f t="shared" si="1239"/>
        <v/>
      </c>
      <c r="F4028" s="23"/>
      <c r="G4028" s="23"/>
      <c r="H4028" s="29"/>
      <c r="I4028" s="204" t="str">
        <f t="shared" si="1254"/>
        <v/>
      </c>
      <c r="J4028" s="188"/>
      <c r="K4028" s="29"/>
      <c r="L4028" s="24"/>
      <c r="M4028" s="22"/>
      <c r="N4028" s="22"/>
      <c r="O4028" s="22"/>
      <c r="P4028" s="202" t="str">
        <f t="shared" si="1255"/>
        <v/>
      </c>
      <c r="Q4028" s="22"/>
      <c r="R4028" s="22"/>
      <c r="S4028" s="22"/>
      <c r="T4028" s="22"/>
      <c r="U4028" s="22"/>
      <c r="V4028" s="22"/>
      <c r="W4028" s="22"/>
      <c r="X4028" s="104"/>
      <c r="Y4028" s="195" t="str">
        <f t="shared" si="1240"/>
        <v/>
      </c>
      <c r="Z4028" s="196" t="str">
        <f t="shared" si="1241"/>
        <v/>
      </c>
      <c r="AA4028" s="22"/>
      <c r="AB4028" s="197" t="str">
        <f t="shared" si="1258"/>
        <v/>
      </c>
      <c r="AC4028" s="198" t="str">
        <f t="shared" si="1259"/>
        <v/>
      </c>
      <c r="AD4028" s="162"/>
      <c r="AE4028" s="199" t="str">
        <f t="shared" si="1260"/>
        <v/>
      </c>
      <c r="AF4028" s="199" t="str">
        <f>IF(AND(COUNTIFS($J$18:J4028,J4028)=1,AE4028=1),1,"")</f>
        <v/>
      </c>
      <c r="AG4028" s="199" t="str">
        <f>IF(C4028="","",IF(AND(COUNTIFS($J$18:J4028,J4028)=1,C4028&lt;&gt;""),1,""))</f>
        <v/>
      </c>
      <c r="AH4028" s="199" t="str">
        <f>IF(G4028="","",IF(AND(COUNTIFS($J$18:J4028,J4028)=1,G4028&lt;&gt;""),1,""))</f>
        <v/>
      </c>
      <c r="AI4028" s="200">
        <f t="shared" si="1261"/>
        <v>0</v>
      </c>
      <c r="AJ4028" s="200">
        <f t="shared" si="1262"/>
        <v>0</v>
      </c>
      <c r="AK4028" s="201" t="str">
        <f t="shared" si="1263"/>
        <v/>
      </c>
      <c r="AL4028" s="24"/>
      <c r="AM4028" s="24"/>
      <c r="AN4028" s="24"/>
      <c r="AO4028" s="24"/>
      <c r="AP4028" s="165" t="str">
        <f t="shared" si="1264"/>
        <v/>
      </c>
      <c r="AQ4028" s="203" t="str">
        <f t="shared" si="1265"/>
        <v/>
      </c>
      <c r="AR4028" s="206">
        <f t="shared" si="1266"/>
        <v>0</v>
      </c>
      <c r="AS4028" s="22" t="str">
        <f t="shared" si="1267"/>
        <v/>
      </c>
      <c r="AT4028" s="24" t="str">
        <f t="shared" si="1268"/>
        <v/>
      </c>
      <c r="AU4028" s="22" t="s">
        <v>3240</v>
      </c>
    </row>
    <row r="4029" spans="1:47">
      <c r="A4029" s="246" t="str">
        <f t="shared" si="1256"/>
        <v/>
      </c>
      <c r="B4029" s="23"/>
      <c r="C4029" s="23"/>
      <c r="D4029" s="202" t="str">
        <f t="shared" si="1257"/>
        <v/>
      </c>
      <c r="E4029" s="33" t="str">
        <f t="shared" si="1239"/>
        <v/>
      </c>
      <c r="F4029" s="23"/>
      <c r="G4029" s="23"/>
      <c r="H4029" s="29"/>
      <c r="I4029" s="204" t="str">
        <f t="shared" si="1254"/>
        <v/>
      </c>
      <c r="J4029" s="188"/>
      <c r="K4029" s="29"/>
      <c r="L4029" s="24"/>
      <c r="M4029" s="22"/>
      <c r="N4029" s="22"/>
      <c r="O4029" s="22"/>
      <c r="P4029" s="202" t="str">
        <f t="shared" si="1255"/>
        <v/>
      </c>
      <c r="Q4029" s="22"/>
      <c r="R4029" s="22"/>
      <c r="S4029" s="22"/>
      <c r="T4029" s="22"/>
      <c r="U4029" s="22"/>
      <c r="V4029" s="22"/>
      <c r="W4029" s="22"/>
      <c r="X4029" s="104"/>
      <c r="Y4029" s="195" t="str">
        <f t="shared" si="1240"/>
        <v/>
      </c>
      <c r="Z4029" s="196" t="str">
        <f t="shared" si="1241"/>
        <v/>
      </c>
      <c r="AA4029" s="22"/>
      <c r="AB4029" s="197" t="str">
        <f t="shared" si="1258"/>
        <v/>
      </c>
      <c r="AC4029" s="198" t="str">
        <f t="shared" si="1259"/>
        <v/>
      </c>
      <c r="AD4029" s="162"/>
      <c r="AE4029" s="199" t="str">
        <f t="shared" si="1260"/>
        <v/>
      </c>
      <c r="AF4029" s="199" t="str">
        <f>IF(AND(COUNTIFS($J$18:J4029,J4029)=1,AE4029=1),1,"")</f>
        <v/>
      </c>
      <c r="AG4029" s="199" t="str">
        <f>IF(C4029="","",IF(AND(COUNTIFS($J$18:J4029,J4029)=1,C4029&lt;&gt;""),1,""))</f>
        <v/>
      </c>
      <c r="AH4029" s="199" t="str">
        <f>IF(G4029="","",IF(AND(COUNTIFS($J$18:J4029,J4029)=1,G4029&lt;&gt;""),1,""))</f>
        <v/>
      </c>
      <c r="AI4029" s="200">
        <f t="shared" si="1261"/>
        <v>0</v>
      </c>
      <c r="AJ4029" s="200">
        <f t="shared" si="1262"/>
        <v>0</v>
      </c>
      <c r="AK4029" s="201" t="str">
        <f t="shared" si="1263"/>
        <v/>
      </c>
      <c r="AL4029" s="24"/>
      <c r="AM4029" s="24"/>
      <c r="AN4029" s="24"/>
      <c r="AO4029" s="24"/>
      <c r="AP4029" s="165" t="str">
        <f t="shared" si="1264"/>
        <v/>
      </c>
      <c r="AQ4029" s="203" t="str">
        <f t="shared" si="1265"/>
        <v/>
      </c>
      <c r="AR4029" s="206">
        <f t="shared" si="1266"/>
        <v>0</v>
      </c>
      <c r="AS4029" s="22" t="str">
        <f t="shared" si="1267"/>
        <v/>
      </c>
      <c r="AT4029" s="24" t="str">
        <f t="shared" si="1268"/>
        <v/>
      </c>
      <c r="AU4029" s="22" t="s">
        <v>3240</v>
      </c>
    </row>
    <row r="4030" spans="1:47">
      <c r="A4030" s="246" t="str">
        <f t="shared" si="1256"/>
        <v/>
      </c>
      <c r="B4030" s="23"/>
      <c r="C4030" s="23"/>
      <c r="D4030" s="202" t="str">
        <f t="shared" si="1257"/>
        <v/>
      </c>
      <c r="E4030" s="33" t="str">
        <f t="shared" si="1239"/>
        <v/>
      </c>
      <c r="F4030" s="23"/>
      <c r="G4030" s="23"/>
      <c r="H4030" s="29"/>
      <c r="I4030" s="204" t="str">
        <f t="shared" si="1254"/>
        <v/>
      </c>
      <c r="J4030" s="188"/>
      <c r="K4030" s="29"/>
      <c r="L4030" s="24"/>
      <c r="M4030" s="22"/>
      <c r="N4030" s="22"/>
      <c r="O4030" s="22"/>
      <c r="P4030" s="202" t="str">
        <f t="shared" si="1255"/>
        <v/>
      </c>
      <c r="Q4030" s="22"/>
      <c r="R4030" s="22"/>
      <c r="S4030" s="22"/>
      <c r="T4030" s="22"/>
      <c r="U4030" s="22"/>
      <c r="V4030" s="22"/>
      <c r="W4030" s="22"/>
      <c r="X4030" s="104"/>
      <c r="Y4030" s="195" t="str">
        <f t="shared" si="1240"/>
        <v/>
      </c>
      <c r="Z4030" s="196" t="str">
        <f t="shared" si="1241"/>
        <v/>
      </c>
      <c r="AA4030" s="22"/>
      <c r="AB4030" s="197" t="str">
        <f t="shared" si="1258"/>
        <v/>
      </c>
      <c r="AC4030" s="198" t="str">
        <f t="shared" si="1259"/>
        <v/>
      </c>
      <c r="AD4030" s="162"/>
      <c r="AE4030" s="199" t="str">
        <f t="shared" si="1260"/>
        <v/>
      </c>
      <c r="AF4030" s="199" t="str">
        <f>IF(AND(COUNTIFS($J$18:J4030,J4030)=1,AE4030=1),1,"")</f>
        <v/>
      </c>
      <c r="AG4030" s="199" t="str">
        <f>IF(C4030="","",IF(AND(COUNTIFS($J$18:J4030,J4030)=1,C4030&lt;&gt;""),1,""))</f>
        <v/>
      </c>
      <c r="AH4030" s="199" t="str">
        <f>IF(G4030="","",IF(AND(COUNTIFS($J$18:J4030,J4030)=1,G4030&lt;&gt;""),1,""))</f>
        <v/>
      </c>
      <c r="AI4030" s="200">
        <f t="shared" si="1261"/>
        <v>0</v>
      </c>
      <c r="AJ4030" s="200">
        <f t="shared" si="1262"/>
        <v>0</v>
      </c>
      <c r="AK4030" s="201" t="str">
        <f t="shared" si="1263"/>
        <v/>
      </c>
      <c r="AL4030" s="24"/>
      <c r="AM4030" s="24"/>
      <c r="AN4030" s="24"/>
      <c r="AO4030" s="24"/>
      <c r="AP4030" s="165" t="str">
        <f t="shared" si="1264"/>
        <v/>
      </c>
      <c r="AQ4030" s="203" t="str">
        <f t="shared" si="1265"/>
        <v/>
      </c>
      <c r="AR4030" s="206">
        <f t="shared" si="1266"/>
        <v>0</v>
      </c>
      <c r="AS4030" s="22" t="str">
        <f t="shared" si="1267"/>
        <v/>
      </c>
      <c r="AT4030" s="24" t="str">
        <f t="shared" si="1268"/>
        <v/>
      </c>
      <c r="AU4030" s="22" t="s">
        <v>3240</v>
      </c>
    </row>
    <row r="4031" spans="1:47">
      <c r="A4031" s="246" t="str">
        <f t="shared" si="1256"/>
        <v/>
      </c>
      <c r="B4031" s="23"/>
      <c r="C4031" s="23"/>
      <c r="D4031" s="202" t="str">
        <f t="shared" si="1257"/>
        <v/>
      </c>
      <c r="E4031" s="33" t="str">
        <f t="shared" si="1239"/>
        <v/>
      </c>
      <c r="F4031" s="23"/>
      <c r="G4031" s="23"/>
      <c r="H4031" s="29"/>
      <c r="I4031" s="204" t="str">
        <f t="shared" si="1254"/>
        <v/>
      </c>
      <c r="J4031" s="188"/>
      <c r="K4031" s="29"/>
      <c r="L4031" s="24"/>
      <c r="M4031" s="22"/>
      <c r="N4031" s="22"/>
      <c r="O4031" s="22"/>
      <c r="P4031" s="202" t="str">
        <f t="shared" si="1255"/>
        <v/>
      </c>
      <c r="Q4031" s="22"/>
      <c r="R4031" s="22"/>
      <c r="S4031" s="22"/>
      <c r="T4031" s="22"/>
      <c r="U4031" s="22"/>
      <c r="V4031" s="22"/>
      <c r="W4031" s="22"/>
      <c r="X4031" s="104"/>
      <c r="Y4031" s="195" t="str">
        <f t="shared" si="1240"/>
        <v/>
      </c>
      <c r="Z4031" s="196" t="str">
        <f t="shared" si="1241"/>
        <v/>
      </c>
      <c r="AA4031" s="22"/>
      <c r="AB4031" s="197" t="str">
        <f t="shared" si="1258"/>
        <v/>
      </c>
      <c r="AC4031" s="198" t="str">
        <f t="shared" si="1259"/>
        <v/>
      </c>
      <c r="AD4031" s="162"/>
      <c r="AE4031" s="199" t="str">
        <f t="shared" si="1260"/>
        <v/>
      </c>
      <c r="AF4031" s="199" t="str">
        <f>IF(AND(COUNTIFS($J$18:J4031,J4031)=1,AE4031=1),1,"")</f>
        <v/>
      </c>
      <c r="AG4031" s="199" t="str">
        <f>IF(C4031="","",IF(AND(COUNTIFS($J$18:J4031,J4031)=1,C4031&lt;&gt;""),1,""))</f>
        <v/>
      </c>
      <c r="AH4031" s="199" t="str">
        <f>IF(G4031="","",IF(AND(COUNTIFS($J$18:J4031,J4031)=1,G4031&lt;&gt;""),1,""))</f>
        <v/>
      </c>
      <c r="AI4031" s="200">
        <f t="shared" si="1261"/>
        <v>0</v>
      </c>
      <c r="AJ4031" s="200">
        <f t="shared" si="1262"/>
        <v>0</v>
      </c>
      <c r="AK4031" s="201" t="str">
        <f t="shared" si="1263"/>
        <v/>
      </c>
      <c r="AL4031" s="24"/>
      <c r="AM4031" s="24"/>
      <c r="AN4031" s="24"/>
      <c r="AO4031" s="24"/>
      <c r="AP4031" s="165" t="str">
        <f t="shared" si="1264"/>
        <v/>
      </c>
      <c r="AQ4031" s="203" t="str">
        <f t="shared" si="1265"/>
        <v/>
      </c>
      <c r="AR4031" s="206">
        <f t="shared" si="1266"/>
        <v>0</v>
      </c>
      <c r="AS4031" s="22" t="str">
        <f t="shared" si="1267"/>
        <v/>
      </c>
      <c r="AT4031" s="24" t="str">
        <f t="shared" si="1268"/>
        <v/>
      </c>
      <c r="AU4031" s="22" t="s">
        <v>3240</v>
      </c>
    </row>
    <row r="4032" spans="1:47">
      <c r="A4032" s="246" t="str">
        <f t="shared" si="1256"/>
        <v/>
      </c>
      <c r="B4032" s="23"/>
      <c r="C4032" s="23"/>
      <c r="D4032" s="202" t="str">
        <f t="shared" si="1257"/>
        <v/>
      </c>
      <c r="E4032" s="33" t="str">
        <f t="shared" si="1239"/>
        <v/>
      </c>
      <c r="F4032" s="23"/>
      <c r="G4032" s="23"/>
      <c r="H4032" s="29"/>
      <c r="I4032" s="204" t="str">
        <f t="shared" si="1254"/>
        <v/>
      </c>
      <c r="J4032" s="188"/>
      <c r="K4032" s="29"/>
      <c r="L4032" s="24"/>
      <c r="M4032" s="22"/>
      <c r="N4032" s="22"/>
      <c r="O4032" s="22"/>
      <c r="P4032" s="202" t="str">
        <f t="shared" si="1255"/>
        <v/>
      </c>
      <c r="Q4032" s="22"/>
      <c r="R4032" s="22"/>
      <c r="S4032" s="22"/>
      <c r="T4032" s="22"/>
      <c r="U4032" s="22"/>
      <c r="V4032" s="22"/>
      <c r="W4032" s="22"/>
      <c r="X4032" s="104"/>
      <c r="Y4032" s="195" t="str">
        <f t="shared" si="1240"/>
        <v/>
      </c>
      <c r="Z4032" s="196" t="str">
        <f t="shared" si="1241"/>
        <v/>
      </c>
      <c r="AA4032" s="22"/>
      <c r="AB4032" s="197" t="str">
        <f t="shared" si="1258"/>
        <v/>
      </c>
      <c r="AC4032" s="198" t="str">
        <f t="shared" si="1259"/>
        <v/>
      </c>
      <c r="AD4032" s="162"/>
      <c r="AE4032" s="199" t="str">
        <f t="shared" si="1260"/>
        <v/>
      </c>
      <c r="AF4032" s="199" t="str">
        <f>IF(AND(COUNTIFS($J$18:J4032,J4032)=1,AE4032=1),1,"")</f>
        <v/>
      </c>
      <c r="AG4032" s="199" t="str">
        <f>IF(C4032="","",IF(AND(COUNTIFS($J$18:J4032,J4032)=1,C4032&lt;&gt;""),1,""))</f>
        <v/>
      </c>
      <c r="AH4032" s="199" t="str">
        <f>IF(G4032="","",IF(AND(COUNTIFS($J$18:J4032,J4032)=1,G4032&lt;&gt;""),1,""))</f>
        <v/>
      </c>
      <c r="AI4032" s="200">
        <f t="shared" si="1261"/>
        <v>0</v>
      </c>
      <c r="AJ4032" s="200">
        <f t="shared" si="1262"/>
        <v>0</v>
      </c>
      <c r="AK4032" s="201" t="str">
        <f t="shared" si="1263"/>
        <v/>
      </c>
      <c r="AL4032" s="24"/>
      <c r="AM4032" s="24"/>
      <c r="AN4032" s="24"/>
      <c r="AO4032" s="24"/>
      <c r="AP4032" s="165" t="str">
        <f t="shared" si="1264"/>
        <v/>
      </c>
      <c r="AQ4032" s="203" t="str">
        <f t="shared" si="1265"/>
        <v/>
      </c>
      <c r="AR4032" s="206">
        <f t="shared" si="1266"/>
        <v>0</v>
      </c>
      <c r="AS4032" s="22" t="str">
        <f t="shared" si="1267"/>
        <v/>
      </c>
      <c r="AT4032" s="24" t="str">
        <f t="shared" si="1268"/>
        <v/>
      </c>
      <c r="AU4032" s="22" t="s">
        <v>3240</v>
      </c>
    </row>
    <row r="4033" spans="1:47">
      <c r="A4033" s="246" t="str">
        <f t="shared" si="1256"/>
        <v/>
      </c>
      <c r="B4033" s="23"/>
      <c r="C4033" s="23"/>
      <c r="D4033" s="202" t="str">
        <f t="shared" si="1257"/>
        <v/>
      </c>
      <c r="E4033" s="33" t="str">
        <f t="shared" si="1239"/>
        <v/>
      </c>
      <c r="F4033" s="23"/>
      <c r="G4033" s="23"/>
      <c r="H4033" s="29"/>
      <c r="I4033" s="204" t="str">
        <f t="shared" si="1254"/>
        <v/>
      </c>
      <c r="J4033" s="188"/>
      <c r="K4033" s="29"/>
      <c r="L4033" s="24"/>
      <c r="M4033" s="22"/>
      <c r="N4033" s="22"/>
      <c r="O4033" s="22"/>
      <c r="P4033" s="202" t="str">
        <f t="shared" si="1255"/>
        <v/>
      </c>
      <c r="Q4033" s="22"/>
      <c r="R4033" s="22"/>
      <c r="S4033" s="22"/>
      <c r="T4033" s="22"/>
      <c r="U4033" s="22"/>
      <c r="V4033" s="22"/>
      <c r="W4033" s="22"/>
      <c r="X4033" s="104"/>
      <c r="Y4033" s="195" t="str">
        <f t="shared" si="1240"/>
        <v/>
      </c>
      <c r="Z4033" s="196" t="str">
        <f t="shared" si="1241"/>
        <v/>
      </c>
      <c r="AA4033" s="22"/>
      <c r="AB4033" s="197" t="str">
        <f t="shared" si="1258"/>
        <v/>
      </c>
      <c r="AC4033" s="198" t="str">
        <f t="shared" si="1259"/>
        <v/>
      </c>
      <c r="AD4033" s="162"/>
      <c r="AE4033" s="199" t="str">
        <f t="shared" si="1260"/>
        <v/>
      </c>
      <c r="AF4033" s="199" t="str">
        <f>IF(AND(COUNTIFS($J$18:J4033,J4033)=1,AE4033=1),1,"")</f>
        <v/>
      </c>
      <c r="AG4033" s="199" t="str">
        <f>IF(C4033="","",IF(AND(COUNTIFS($J$18:J4033,J4033)=1,C4033&lt;&gt;""),1,""))</f>
        <v/>
      </c>
      <c r="AH4033" s="199" t="str">
        <f>IF(G4033="","",IF(AND(COUNTIFS($J$18:J4033,J4033)=1,G4033&lt;&gt;""),1,""))</f>
        <v/>
      </c>
      <c r="AI4033" s="200">
        <f t="shared" si="1261"/>
        <v>0</v>
      </c>
      <c r="AJ4033" s="200">
        <f t="shared" si="1262"/>
        <v>0</v>
      </c>
      <c r="AK4033" s="201" t="str">
        <f t="shared" si="1263"/>
        <v/>
      </c>
      <c r="AL4033" s="24"/>
      <c r="AM4033" s="24"/>
      <c r="AN4033" s="24"/>
      <c r="AO4033" s="24"/>
      <c r="AP4033" s="165" t="str">
        <f t="shared" si="1264"/>
        <v/>
      </c>
      <c r="AQ4033" s="203" t="str">
        <f t="shared" si="1265"/>
        <v/>
      </c>
      <c r="AR4033" s="206">
        <f t="shared" si="1266"/>
        <v>0</v>
      </c>
      <c r="AS4033" s="22" t="str">
        <f t="shared" si="1267"/>
        <v/>
      </c>
      <c r="AT4033" s="24" t="str">
        <f t="shared" si="1268"/>
        <v/>
      </c>
      <c r="AU4033" s="22" t="s">
        <v>3240</v>
      </c>
    </row>
    <row r="4034" spans="1:47">
      <c r="A4034" s="246" t="str">
        <f t="shared" si="1256"/>
        <v/>
      </c>
      <c r="B4034" s="23"/>
      <c r="C4034" s="23"/>
      <c r="D4034" s="202" t="str">
        <f t="shared" si="1257"/>
        <v/>
      </c>
      <c r="E4034" s="33" t="str">
        <f t="shared" si="1239"/>
        <v/>
      </c>
      <c r="F4034" s="23"/>
      <c r="G4034" s="23"/>
      <c r="H4034" s="29"/>
      <c r="I4034" s="204" t="str">
        <f t="shared" si="1254"/>
        <v/>
      </c>
      <c r="J4034" s="188"/>
      <c r="K4034" s="29"/>
      <c r="L4034" s="24"/>
      <c r="M4034" s="22"/>
      <c r="N4034" s="22"/>
      <c r="O4034" s="22"/>
      <c r="P4034" s="202" t="str">
        <f t="shared" si="1255"/>
        <v/>
      </c>
      <c r="Q4034" s="22"/>
      <c r="R4034" s="22"/>
      <c r="S4034" s="22"/>
      <c r="T4034" s="22"/>
      <c r="U4034" s="22"/>
      <c r="V4034" s="22"/>
      <c r="W4034" s="22"/>
      <c r="X4034" s="104"/>
      <c r="Y4034" s="195" t="str">
        <f t="shared" si="1240"/>
        <v/>
      </c>
      <c r="Z4034" s="196" t="str">
        <f t="shared" si="1241"/>
        <v/>
      </c>
      <c r="AA4034" s="22"/>
      <c r="AB4034" s="197" t="str">
        <f t="shared" si="1258"/>
        <v/>
      </c>
      <c r="AC4034" s="198" t="str">
        <f t="shared" si="1259"/>
        <v/>
      </c>
      <c r="AD4034" s="162"/>
      <c r="AE4034" s="199" t="str">
        <f t="shared" si="1260"/>
        <v/>
      </c>
      <c r="AF4034" s="199" t="str">
        <f>IF(AND(COUNTIFS($J$18:J4034,J4034)=1,AE4034=1),1,"")</f>
        <v/>
      </c>
      <c r="AG4034" s="199" t="str">
        <f>IF(C4034="","",IF(AND(COUNTIFS($J$18:J4034,J4034)=1,C4034&lt;&gt;""),1,""))</f>
        <v/>
      </c>
      <c r="AH4034" s="199" t="str">
        <f>IF(G4034="","",IF(AND(COUNTIFS($J$18:J4034,J4034)=1,G4034&lt;&gt;""),1,""))</f>
        <v/>
      </c>
      <c r="AI4034" s="200">
        <f t="shared" si="1261"/>
        <v>0</v>
      </c>
      <c r="AJ4034" s="200">
        <f t="shared" si="1262"/>
        <v>0</v>
      </c>
      <c r="AK4034" s="201" t="str">
        <f t="shared" si="1263"/>
        <v/>
      </c>
      <c r="AL4034" s="24"/>
      <c r="AM4034" s="24"/>
      <c r="AN4034" s="24"/>
      <c r="AO4034" s="24"/>
      <c r="AP4034" s="165" t="str">
        <f t="shared" si="1264"/>
        <v/>
      </c>
      <c r="AQ4034" s="203" t="str">
        <f t="shared" si="1265"/>
        <v/>
      </c>
      <c r="AR4034" s="206">
        <f t="shared" si="1266"/>
        <v>0</v>
      </c>
      <c r="AS4034" s="22" t="str">
        <f t="shared" si="1267"/>
        <v/>
      </c>
      <c r="AT4034" s="24" t="str">
        <f t="shared" si="1268"/>
        <v/>
      </c>
      <c r="AU4034" s="22" t="s">
        <v>3240</v>
      </c>
    </row>
    <row r="4035" spans="1:47">
      <c r="A4035" s="246" t="str">
        <f t="shared" si="1256"/>
        <v/>
      </c>
      <c r="B4035" s="23"/>
      <c r="C4035" s="23"/>
      <c r="D4035" s="202" t="str">
        <f t="shared" si="1257"/>
        <v/>
      </c>
      <c r="E4035" s="33" t="str">
        <f t="shared" si="1239"/>
        <v/>
      </c>
      <c r="F4035" s="23"/>
      <c r="G4035" s="23"/>
      <c r="H4035" s="29"/>
      <c r="I4035" s="204" t="str">
        <f t="shared" si="1254"/>
        <v/>
      </c>
      <c r="J4035" s="188"/>
      <c r="K4035" s="29"/>
      <c r="L4035" s="24"/>
      <c r="M4035" s="22"/>
      <c r="N4035" s="22"/>
      <c r="O4035" s="22"/>
      <c r="P4035" s="202" t="str">
        <f t="shared" si="1255"/>
        <v/>
      </c>
      <c r="Q4035" s="22"/>
      <c r="R4035" s="22"/>
      <c r="S4035" s="22"/>
      <c r="T4035" s="22"/>
      <c r="U4035" s="22"/>
      <c r="V4035" s="22"/>
      <c r="W4035" s="22"/>
      <c r="X4035" s="104"/>
      <c r="Y4035" s="195" t="str">
        <f t="shared" si="1240"/>
        <v/>
      </c>
      <c r="Z4035" s="196" t="str">
        <f t="shared" si="1241"/>
        <v/>
      </c>
      <c r="AA4035" s="22"/>
      <c r="AB4035" s="197" t="str">
        <f t="shared" si="1258"/>
        <v/>
      </c>
      <c r="AC4035" s="198" t="str">
        <f t="shared" si="1259"/>
        <v/>
      </c>
      <c r="AD4035" s="162"/>
      <c r="AE4035" s="199" t="str">
        <f t="shared" si="1260"/>
        <v/>
      </c>
      <c r="AF4035" s="199" t="str">
        <f>IF(AND(COUNTIFS($J$18:J4035,J4035)=1,AE4035=1),1,"")</f>
        <v/>
      </c>
      <c r="AG4035" s="199" t="str">
        <f>IF(C4035="","",IF(AND(COUNTIFS($J$18:J4035,J4035)=1,C4035&lt;&gt;""),1,""))</f>
        <v/>
      </c>
      <c r="AH4035" s="199" t="str">
        <f>IF(G4035="","",IF(AND(COUNTIFS($J$18:J4035,J4035)=1,G4035&lt;&gt;""),1,""))</f>
        <v/>
      </c>
      <c r="AI4035" s="200">
        <f t="shared" si="1261"/>
        <v>0</v>
      </c>
      <c r="AJ4035" s="200">
        <f t="shared" si="1262"/>
        <v>0</v>
      </c>
      <c r="AK4035" s="201" t="str">
        <f t="shared" si="1263"/>
        <v/>
      </c>
      <c r="AL4035" s="24"/>
      <c r="AM4035" s="24"/>
      <c r="AN4035" s="24"/>
      <c r="AO4035" s="24"/>
      <c r="AP4035" s="165" t="str">
        <f t="shared" si="1264"/>
        <v/>
      </c>
      <c r="AQ4035" s="203" t="str">
        <f t="shared" si="1265"/>
        <v/>
      </c>
      <c r="AR4035" s="206">
        <f t="shared" si="1266"/>
        <v>0</v>
      </c>
      <c r="AS4035" s="22" t="str">
        <f t="shared" si="1267"/>
        <v/>
      </c>
      <c r="AT4035" s="24" t="str">
        <f t="shared" si="1268"/>
        <v/>
      </c>
      <c r="AU4035" s="22" t="s">
        <v>3240</v>
      </c>
    </row>
    <row r="4036" spans="1:47">
      <c r="A4036" s="246" t="str">
        <f t="shared" si="1256"/>
        <v/>
      </c>
      <c r="B4036" s="23"/>
      <c r="C4036" s="23"/>
      <c r="D4036" s="202" t="str">
        <f t="shared" si="1257"/>
        <v/>
      </c>
      <c r="E4036" s="33" t="str">
        <f t="shared" si="1239"/>
        <v/>
      </c>
      <c r="F4036" s="23"/>
      <c r="G4036" s="23"/>
      <c r="H4036" s="29"/>
      <c r="I4036" s="204" t="str">
        <f t="shared" si="1254"/>
        <v/>
      </c>
      <c r="J4036" s="188"/>
      <c r="K4036" s="29"/>
      <c r="L4036" s="24"/>
      <c r="M4036" s="22"/>
      <c r="N4036" s="22"/>
      <c r="O4036" s="22"/>
      <c r="P4036" s="202" t="str">
        <f t="shared" si="1255"/>
        <v/>
      </c>
      <c r="Q4036" s="22"/>
      <c r="R4036" s="22"/>
      <c r="S4036" s="22"/>
      <c r="T4036" s="22"/>
      <c r="U4036" s="22"/>
      <c r="V4036" s="22"/>
      <c r="W4036" s="22"/>
      <c r="X4036" s="104"/>
      <c r="Y4036" s="195" t="str">
        <f t="shared" si="1240"/>
        <v/>
      </c>
      <c r="Z4036" s="196" t="str">
        <f t="shared" si="1241"/>
        <v/>
      </c>
      <c r="AA4036" s="22"/>
      <c r="AB4036" s="197" t="str">
        <f t="shared" si="1258"/>
        <v/>
      </c>
      <c r="AC4036" s="198" t="str">
        <f t="shared" si="1259"/>
        <v/>
      </c>
      <c r="AD4036" s="162"/>
      <c r="AE4036" s="199" t="str">
        <f t="shared" si="1260"/>
        <v/>
      </c>
      <c r="AF4036" s="199" t="str">
        <f>IF(AND(COUNTIFS($J$18:J4036,J4036)=1,AE4036=1),1,"")</f>
        <v/>
      </c>
      <c r="AG4036" s="199" t="str">
        <f>IF(C4036="","",IF(AND(COUNTIFS($J$18:J4036,J4036)=1,C4036&lt;&gt;""),1,""))</f>
        <v/>
      </c>
      <c r="AH4036" s="199" t="str">
        <f>IF(G4036="","",IF(AND(COUNTIFS($J$18:J4036,J4036)=1,G4036&lt;&gt;""),1,""))</f>
        <v/>
      </c>
      <c r="AI4036" s="200">
        <f t="shared" si="1261"/>
        <v>0</v>
      </c>
      <c r="AJ4036" s="200">
        <f t="shared" si="1262"/>
        <v>0</v>
      </c>
      <c r="AK4036" s="201" t="str">
        <f t="shared" si="1263"/>
        <v/>
      </c>
      <c r="AL4036" s="24"/>
      <c r="AM4036" s="24"/>
      <c r="AN4036" s="24"/>
      <c r="AO4036" s="24"/>
      <c r="AP4036" s="165" t="str">
        <f t="shared" si="1264"/>
        <v/>
      </c>
      <c r="AQ4036" s="203" t="str">
        <f t="shared" si="1265"/>
        <v/>
      </c>
      <c r="AR4036" s="206">
        <f t="shared" si="1266"/>
        <v>0</v>
      </c>
      <c r="AS4036" s="22" t="str">
        <f t="shared" si="1267"/>
        <v/>
      </c>
      <c r="AT4036" s="24" t="str">
        <f t="shared" si="1268"/>
        <v/>
      </c>
      <c r="AU4036" s="22" t="s">
        <v>3240</v>
      </c>
    </row>
    <row r="4037" spans="1:47">
      <c r="A4037" s="246" t="str">
        <f t="shared" si="1256"/>
        <v/>
      </c>
      <c r="B4037" s="23"/>
      <c r="C4037" s="23"/>
      <c r="D4037" s="202" t="str">
        <f t="shared" si="1257"/>
        <v/>
      </c>
      <c r="E4037" s="33" t="str">
        <f t="shared" si="1239"/>
        <v/>
      </c>
      <c r="F4037" s="23"/>
      <c r="G4037" s="23"/>
      <c r="H4037" s="29"/>
      <c r="I4037" s="204" t="str">
        <f t="shared" si="1254"/>
        <v/>
      </c>
      <c r="J4037" s="188"/>
      <c r="K4037" s="29"/>
      <c r="L4037" s="24"/>
      <c r="M4037" s="22"/>
      <c r="N4037" s="22"/>
      <c r="O4037" s="22"/>
      <c r="P4037" s="202" t="str">
        <f t="shared" si="1255"/>
        <v/>
      </c>
      <c r="Q4037" s="22"/>
      <c r="R4037" s="22"/>
      <c r="S4037" s="22"/>
      <c r="T4037" s="22"/>
      <c r="U4037" s="22"/>
      <c r="V4037" s="22"/>
      <c r="W4037" s="22"/>
      <c r="X4037" s="104"/>
      <c r="Y4037" s="195" t="str">
        <f t="shared" si="1240"/>
        <v/>
      </c>
      <c r="Z4037" s="196" t="str">
        <f t="shared" si="1241"/>
        <v/>
      </c>
      <c r="AA4037" s="22"/>
      <c r="AB4037" s="197" t="str">
        <f t="shared" si="1258"/>
        <v/>
      </c>
      <c r="AC4037" s="198" t="str">
        <f t="shared" si="1259"/>
        <v/>
      </c>
      <c r="AD4037" s="162"/>
      <c r="AE4037" s="199" t="str">
        <f t="shared" si="1260"/>
        <v/>
      </c>
      <c r="AF4037" s="199" t="str">
        <f>IF(AND(COUNTIFS($J$18:J4037,J4037)=1,AE4037=1),1,"")</f>
        <v/>
      </c>
      <c r="AG4037" s="199" t="str">
        <f>IF(C4037="","",IF(AND(COUNTIFS($J$18:J4037,J4037)=1,C4037&lt;&gt;""),1,""))</f>
        <v/>
      </c>
      <c r="AH4037" s="199" t="str">
        <f>IF(G4037="","",IF(AND(COUNTIFS($J$18:J4037,J4037)=1,G4037&lt;&gt;""),1,""))</f>
        <v/>
      </c>
      <c r="AI4037" s="200">
        <f t="shared" si="1261"/>
        <v>0</v>
      </c>
      <c r="AJ4037" s="200">
        <f t="shared" si="1262"/>
        <v>0</v>
      </c>
      <c r="AK4037" s="201" t="str">
        <f t="shared" si="1263"/>
        <v/>
      </c>
      <c r="AL4037" s="24"/>
      <c r="AM4037" s="24"/>
      <c r="AN4037" s="24"/>
      <c r="AO4037" s="24"/>
      <c r="AP4037" s="165" t="str">
        <f t="shared" si="1264"/>
        <v/>
      </c>
      <c r="AQ4037" s="203" t="str">
        <f t="shared" si="1265"/>
        <v/>
      </c>
      <c r="AR4037" s="206">
        <f t="shared" si="1266"/>
        <v>0</v>
      </c>
      <c r="AS4037" s="22" t="str">
        <f t="shared" si="1267"/>
        <v/>
      </c>
      <c r="AT4037" s="24" t="str">
        <f t="shared" si="1268"/>
        <v/>
      </c>
      <c r="AU4037" s="22" t="s">
        <v>3240</v>
      </c>
    </row>
    <row r="4038" spans="1:47">
      <c r="A4038" s="246" t="str">
        <f t="shared" si="1256"/>
        <v/>
      </c>
      <c r="B4038" s="23"/>
      <c r="C4038" s="23"/>
      <c r="D4038" s="202" t="str">
        <f t="shared" si="1257"/>
        <v/>
      </c>
      <c r="E4038" s="33" t="str">
        <f t="shared" si="1239"/>
        <v/>
      </c>
      <c r="F4038" s="23"/>
      <c r="G4038" s="23"/>
      <c r="H4038" s="29"/>
      <c r="I4038" s="204" t="str">
        <f t="shared" si="1254"/>
        <v/>
      </c>
      <c r="J4038" s="188"/>
      <c r="K4038" s="29"/>
      <c r="L4038" s="24"/>
      <c r="M4038" s="22"/>
      <c r="N4038" s="22"/>
      <c r="O4038" s="22"/>
      <c r="P4038" s="202" t="str">
        <f t="shared" si="1255"/>
        <v/>
      </c>
      <c r="Q4038" s="22"/>
      <c r="R4038" s="22"/>
      <c r="S4038" s="22"/>
      <c r="T4038" s="22"/>
      <c r="U4038" s="22"/>
      <c r="V4038" s="22"/>
      <c r="W4038" s="22"/>
      <c r="X4038" s="104"/>
      <c r="Y4038" s="195" t="str">
        <f t="shared" si="1240"/>
        <v/>
      </c>
      <c r="Z4038" s="196" t="str">
        <f t="shared" si="1241"/>
        <v/>
      </c>
      <c r="AA4038" s="22"/>
      <c r="AB4038" s="197" t="str">
        <f t="shared" si="1258"/>
        <v/>
      </c>
      <c r="AC4038" s="198" t="str">
        <f t="shared" si="1259"/>
        <v/>
      </c>
      <c r="AD4038" s="162"/>
      <c r="AE4038" s="199" t="str">
        <f t="shared" si="1260"/>
        <v/>
      </c>
      <c r="AF4038" s="199" t="str">
        <f>IF(AND(COUNTIFS($J$18:J4038,J4038)=1,AE4038=1),1,"")</f>
        <v/>
      </c>
      <c r="AG4038" s="199" t="str">
        <f>IF(C4038="","",IF(AND(COUNTIFS($J$18:J4038,J4038)=1,C4038&lt;&gt;""),1,""))</f>
        <v/>
      </c>
      <c r="AH4038" s="199" t="str">
        <f>IF(G4038="","",IF(AND(COUNTIFS($J$18:J4038,J4038)=1,G4038&lt;&gt;""),1,""))</f>
        <v/>
      </c>
      <c r="AI4038" s="200">
        <f t="shared" si="1261"/>
        <v>0</v>
      </c>
      <c r="AJ4038" s="200">
        <f t="shared" si="1262"/>
        <v>0</v>
      </c>
      <c r="AK4038" s="201" t="str">
        <f t="shared" si="1263"/>
        <v/>
      </c>
      <c r="AL4038" s="24"/>
      <c r="AM4038" s="24"/>
      <c r="AN4038" s="24"/>
      <c r="AO4038" s="24"/>
      <c r="AP4038" s="165" t="str">
        <f t="shared" si="1264"/>
        <v/>
      </c>
      <c r="AQ4038" s="203" t="str">
        <f t="shared" si="1265"/>
        <v/>
      </c>
      <c r="AR4038" s="206">
        <f t="shared" si="1266"/>
        <v>0</v>
      </c>
      <c r="AS4038" s="22" t="str">
        <f t="shared" si="1267"/>
        <v/>
      </c>
      <c r="AT4038" s="24" t="str">
        <f t="shared" si="1268"/>
        <v/>
      </c>
      <c r="AU4038" s="22" t="s">
        <v>3240</v>
      </c>
    </row>
    <row r="4039" spans="1:47">
      <c r="A4039" s="246" t="str">
        <f t="shared" si="1256"/>
        <v/>
      </c>
      <c r="B4039" s="23"/>
      <c r="C4039" s="23"/>
      <c r="D4039" s="202" t="str">
        <f t="shared" si="1257"/>
        <v/>
      </c>
      <c r="E4039" s="33" t="str">
        <f t="shared" si="1239"/>
        <v/>
      </c>
      <c r="F4039" s="23"/>
      <c r="G4039" s="23"/>
      <c r="H4039" s="29"/>
      <c r="I4039" s="204" t="str">
        <f t="shared" si="1254"/>
        <v/>
      </c>
      <c r="J4039" s="188"/>
      <c r="K4039" s="29"/>
      <c r="L4039" s="24"/>
      <c r="M4039" s="22"/>
      <c r="N4039" s="22"/>
      <c r="O4039" s="22"/>
      <c r="P4039" s="202" t="str">
        <f t="shared" si="1255"/>
        <v/>
      </c>
      <c r="Q4039" s="22"/>
      <c r="R4039" s="22"/>
      <c r="S4039" s="22"/>
      <c r="T4039" s="22"/>
      <c r="U4039" s="22"/>
      <c r="V4039" s="22"/>
      <c r="W4039" s="22"/>
      <c r="X4039" s="104"/>
      <c r="Y4039" s="195" t="str">
        <f t="shared" si="1240"/>
        <v/>
      </c>
      <c r="Z4039" s="196" t="str">
        <f t="shared" si="1241"/>
        <v/>
      </c>
      <c r="AA4039" s="22"/>
      <c r="AB4039" s="197" t="str">
        <f t="shared" si="1258"/>
        <v/>
      </c>
      <c r="AC4039" s="198" t="str">
        <f t="shared" si="1259"/>
        <v/>
      </c>
      <c r="AD4039" s="162"/>
      <c r="AE4039" s="199" t="str">
        <f t="shared" si="1260"/>
        <v/>
      </c>
      <c r="AF4039" s="199" t="str">
        <f>IF(AND(COUNTIFS($J$18:J4039,J4039)=1,AE4039=1),1,"")</f>
        <v/>
      </c>
      <c r="AG4039" s="199" t="str">
        <f>IF(C4039="","",IF(AND(COUNTIFS($J$18:J4039,J4039)=1,C4039&lt;&gt;""),1,""))</f>
        <v/>
      </c>
      <c r="AH4039" s="199" t="str">
        <f>IF(G4039="","",IF(AND(COUNTIFS($J$18:J4039,J4039)=1,G4039&lt;&gt;""),1,""))</f>
        <v/>
      </c>
      <c r="AI4039" s="200">
        <f t="shared" si="1261"/>
        <v>0</v>
      </c>
      <c r="AJ4039" s="200">
        <f t="shared" si="1262"/>
        <v>0</v>
      </c>
      <c r="AK4039" s="201" t="str">
        <f t="shared" si="1263"/>
        <v/>
      </c>
      <c r="AL4039" s="24"/>
      <c r="AM4039" s="24"/>
      <c r="AN4039" s="24"/>
      <c r="AO4039" s="24"/>
      <c r="AP4039" s="165" t="str">
        <f t="shared" si="1264"/>
        <v/>
      </c>
      <c r="AQ4039" s="203" t="str">
        <f t="shared" si="1265"/>
        <v/>
      </c>
      <c r="AR4039" s="206">
        <f t="shared" si="1266"/>
        <v>0</v>
      </c>
      <c r="AS4039" s="22" t="str">
        <f t="shared" si="1267"/>
        <v/>
      </c>
      <c r="AT4039" s="24" t="str">
        <f t="shared" si="1268"/>
        <v/>
      </c>
      <c r="AU4039" s="22" t="s">
        <v>3240</v>
      </c>
    </row>
    <row r="4040" spans="1:47">
      <c r="A4040" s="246" t="str">
        <f t="shared" si="1256"/>
        <v/>
      </c>
      <c r="B4040" s="23"/>
      <c r="C4040" s="23"/>
      <c r="D4040" s="202" t="str">
        <f t="shared" si="1257"/>
        <v/>
      </c>
      <c r="E4040" s="33" t="str">
        <f t="shared" si="1239"/>
        <v/>
      </c>
      <c r="F4040" s="23"/>
      <c r="G4040" s="23"/>
      <c r="H4040" s="29"/>
      <c r="I4040" s="204" t="str">
        <f t="shared" si="1254"/>
        <v/>
      </c>
      <c r="J4040" s="188"/>
      <c r="K4040" s="29"/>
      <c r="L4040" s="24"/>
      <c r="M4040" s="22"/>
      <c r="N4040" s="22"/>
      <c r="O4040" s="22"/>
      <c r="P4040" s="202" t="str">
        <f t="shared" si="1255"/>
        <v/>
      </c>
      <c r="Q4040" s="22"/>
      <c r="R4040" s="22"/>
      <c r="S4040" s="22"/>
      <c r="T4040" s="22"/>
      <c r="U4040" s="22"/>
      <c r="V4040" s="22"/>
      <c r="W4040" s="22"/>
      <c r="X4040" s="104"/>
      <c r="Y4040" s="195" t="str">
        <f t="shared" si="1240"/>
        <v/>
      </c>
      <c r="Z4040" s="196" t="str">
        <f t="shared" si="1241"/>
        <v/>
      </c>
      <c r="AA4040" s="22"/>
      <c r="AB4040" s="197" t="str">
        <f t="shared" si="1258"/>
        <v/>
      </c>
      <c r="AC4040" s="198" t="str">
        <f t="shared" si="1259"/>
        <v/>
      </c>
      <c r="AD4040" s="162"/>
      <c r="AE4040" s="199" t="str">
        <f t="shared" si="1260"/>
        <v/>
      </c>
      <c r="AF4040" s="199" t="str">
        <f>IF(AND(COUNTIFS($J$18:J4040,J4040)=1,AE4040=1),1,"")</f>
        <v/>
      </c>
      <c r="AG4040" s="199" t="str">
        <f>IF(C4040="","",IF(AND(COUNTIFS($J$18:J4040,J4040)=1,C4040&lt;&gt;""),1,""))</f>
        <v/>
      </c>
      <c r="AH4040" s="199" t="str">
        <f>IF(G4040="","",IF(AND(COUNTIFS($J$18:J4040,J4040)=1,G4040&lt;&gt;""),1,""))</f>
        <v/>
      </c>
      <c r="AI4040" s="200">
        <f t="shared" si="1261"/>
        <v>0</v>
      </c>
      <c r="AJ4040" s="200">
        <f t="shared" si="1262"/>
        <v>0</v>
      </c>
      <c r="AK4040" s="201" t="str">
        <f t="shared" si="1263"/>
        <v/>
      </c>
      <c r="AL4040" s="24"/>
      <c r="AM4040" s="24"/>
      <c r="AN4040" s="24"/>
      <c r="AO4040" s="24"/>
      <c r="AP4040" s="165" t="str">
        <f t="shared" si="1264"/>
        <v/>
      </c>
      <c r="AQ4040" s="203" t="str">
        <f t="shared" si="1265"/>
        <v/>
      </c>
      <c r="AR4040" s="206">
        <f t="shared" si="1266"/>
        <v>0</v>
      </c>
      <c r="AS4040" s="22" t="str">
        <f t="shared" si="1267"/>
        <v/>
      </c>
      <c r="AT4040" s="24" t="str">
        <f t="shared" si="1268"/>
        <v/>
      </c>
      <c r="AU4040" s="22" t="s">
        <v>3240</v>
      </c>
    </row>
    <row r="4041" spans="1:47">
      <c r="A4041" s="246" t="str">
        <f t="shared" si="1256"/>
        <v/>
      </c>
      <c r="B4041" s="23"/>
      <c r="C4041" s="23"/>
      <c r="D4041" s="202" t="str">
        <f t="shared" si="1257"/>
        <v/>
      </c>
      <c r="E4041" s="33" t="str">
        <f t="shared" si="1239"/>
        <v/>
      </c>
      <c r="F4041" s="23"/>
      <c r="G4041" s="23"/>
      <c r="H4041" s="29"/>
      <c r="I4041" s="204" t="str">
        <f t="shared" si="1254"/>
        <v/>
      </c>
      <c r="J4041" s="188"/>
      <c r="K4041" s="29"/>
      <c r="L4041" s="24"/>
      <c r="M4041" s="22"/>
      <c r="N4041" s="22"/>
      <c r="O4041" s="22"/>
      <c r="P4041" s="202" t="str">
        <f t="shared" si="1255"/>
        <v/>
      </c>
      <c r="Q4041" s="22"/>
      <c r="R4041" s="22"/>
      <c r="S4041" s="22"/>
      <c r="T4041" s="22"/>
      <c r="U4041" s="22"/>
      <c r="V4041" s="22"/>
      <c r="W4041" s="22"/>
      <c r="X4041" s="104"/>
      <c r="Y4041" s="195" t="str">
        <f t="shared" si="1240"/>
        <v/>
      </c>
      <c r="Z4041" s="196" t="str">
        <f t="shared" si="1241"/>
        <v/>
      </c>
      <c r="AA4041" s="22"/>
      <c r="AB4041" s="197" t="str">
        <f t="shared" si="1258"/>
        <v/>
      </c>
      <c r="AC4041" s="198" t="str">
        <f t="shared" si="1259"/>
        <v/>
      </c>
      <c r="AD4041" s="162"/>
      <c r="AE4041" s="199" t="str">
        <f t="shared" si="1260"/>
        <v/>
      </c>
      <c r="AF4041" s="199" t="str">
        <f>IF(AND(COUNTIFS($J$18:J4041,J4041)=1,AE4041=1),1,"")</f>
        <v/>
      </c>
      <c r="AG4041" s="199" t="str">
        <f>IF(C4041="","",IF(AND(COUNTIFS($J$18:J4041,J4041)=1,C4041&lt;&gt;""),1,""))</f>
        <v/>
      </c>
      <c r="AH4041" s="199" t="str">
        <f>IF(G4041="","",IF(AND(COUNTIFS($J$18:J4041,J4041)=1,G4041&lt;&gt;""),1,""))</f>
        <v/>
      </c>
      <c r="AI4041" s="200">
        <f t="shared" si="1261"/>
        <v>0</v>
      </c>
      <c r="AJ4041" s="200">
        <f t="shared" si="1262"/>
        <v>0</v>
      </c>
      <c r="AK4041" s="201" t="str">
        <f t="shared" si="1263"/>
        <v/>
      </c>
      <c r="AL4041" s="24"/>
      <c r="AM4041" s="24"/>
      <c r="AN4041" s="24"/>
      <c r="AO4041" s="24"/>
      <c r="AP4041" s="165" t="str">
        <f t="shared" si="1264"/>
        <v/>
      </c>
      <c r="AQ4041" s="203" t="str">
        <f t="shared" si="1265"/>
        <v/>
      </c>
      <c r="AR4041" s="206">
        <f t="shared" si="1266"/>
        <v>0</v>
      </c>
      <c r="AS4041" s="22" t="str">
        <f t="shared" si="1267"/>
        <v/>
      </c>
      <c r="AT4041" s="24" t="str">
        <f t="shared" si="1268"/>
        <v/>
      </c>
      <c r="AU4041" s="22" t="s">
        <v>3240</v>
      </c>
    </row>
    <row r="4042" spans="1:47">
      <c r="A4042" s="246" t="str">
        <f t="shared" si="1256"/>
        <v/>
      </c>
      <c r="B4042" s="23"/>
      <c r="C4042" s="23"/>
      <c r="D4042" s="202" t="str">
        <f t="shared" si="1257"/>
        <v/>
      </c>
      <c r="E4042" s="33" t="str">
        <f t="shared" si="1239"/>
        <v/>
      </c>
      <c r="F4042" s="23"/>
      <c r="G4042" s="23"/>
      <c r="H4042" s="29"/>
      <c r="I4042" s="204" t="str">
        <f t="shared" si="1254"/>
        <v/>
      </c>
      <c r="J4042" s="188"/>
      <c r="K4042" s="29"/>
      <c r="L4042" s="24"/>
      <c r="M4042" s="22"/>
      <c r="N4042" s="22"/>
      <c r="O4042" s="22"/>
      <c r="P4042" s="202" t="str">
        <f t="shared" si="1255"/>
        <v/>
      </c>
      <c r="Q4042" s="22"/>
      <c r="R4042" s="22"/>
      <c r="S4042" s="22"/>
      <c r="T4042" s="22"/>
      <c r="U4042" s="22"/>
      <c r="V4042" s="22"/>
      <c r="W4042" s="22"/>
      <c r="X4042" s="104"/>
      <c r="Y4042" s="195" t="str">
        <f t="shared" si="1240"/>
        <v/>
      </c>
      <c r="Z4042" s="196" t="str">
        <f t="shared" si="1241"/>
        <v/>
      </c>
      <c r="AA4042" s="22"/>
      <c r="AB4042" s="197" t="str">
        <f t="shared" si="1258"/>
        <v/>
      </c>
      <c r="AC4042" s="198" t="str">
        <f t="shared" si="1259"/>
        <v/>
      </c>
      <c r="AD4042" s="162"/>
      <c r="AE4042" s="199" t="str">
        <f t="shared" si="1260"/>
        <v/>
      </c>
      <c r="AF4042" s="199" t="str">
        <f>IF(AND(COUNTIFS($J$18:J4042,J4042)=1,AE4042=1),1,"")</f>
        <v/>
      </c>
      <c r="AG4042" s="199" t="str">
        <f>IF(C4042="","",IF(AND(COUNTIFS($J$18:J4042,J4042)=1,C4042&lt;&gt;""),1,""))</f>
        <v/>
      </c>
      <c r="AH4042" s="199" t="str">
        <f>IF(G4042="","",IF(AND(COUNTIFS($J$18:J4042,J4042)=1,G4042&lt;&gt;""),1,""))</f>
        <v/>
      </c>
      <c r="AI4042" s="200">
        <f t="shared" si="1261"/>
        <v>0</v>
      </c>
      <c r="AJ4042" s="200">
        <f t="shared" si="1262"/>
        <v>0</v>
      </c>
      <c r="AK4042" s="201" t="str">
        <f t="shared" si="1263"/>
        <v/>
      </c>
      <c r="AL4042" s="24"/>
      <c r="AM4042" s="24"/>
      <c r="AN4042" s="24"/>
      <c r="AO4042" s="24"/>
      <c r="AP4042" s="165" t="str">
        <f t="shared" si="1264"/>
        <v/>
      </c>
      <c r="AQ4042" s="203" t="str">
        <f t="shared" si="1265"/>
        <v/>
      </c>
      <c r="AR4042" s="206">
        <f t="shared" si="1266"/>
        <v>0</v>
      </c>
      <c r="AS4042" s="22" t="str">
        <f t="shared" si="1267"/>
        <v/>
      </c>
      <c r="AT4042" s="24" t="str">
        <f t="shared" si="1268"/>
        <v/>
      </c>
      <c r="AU4042" s="22" t="s">
        <v>3240</v>
      </c>
    </row>
    <row r="4043" spans="1:47">
      <c r="A4043" s="246" t="str">
        <f t="shared" si="1256"/>
        <v/>
      </c>
      <c r="B4043" s="23"/>
      <c r="C4043" s="23"/>
      <c r="D4043" s="202" t="str">
        <f t="shared" si="1257"/>
        <v/>
      </c>
      <c r="E4043" s="33" t="str">
        <f t="shared" si="1239"/>
        <v/>
      </c>
      <c r="F4043" s="23"/>
      <c r="G4043" s="23"/>
      <c r="H4043" s="29"/>
      <c r="I4043" s="204" t="str">
        <f t="shared" si="1254"/>
        <v/>
      </c>
      <c r="J4043" s="188"/>
      <c r="K4043" s="29"/>
      <c r="L4043" s="24"/>
      <c r="M4043" s="22"/>
      <c r="N4043" s="22"/>
      <c r="O4043" s="22"/>
      <c r="P4043" s="202" t="str">
        <f t="shared" si="1255"/>
        <v/>
      </c>
      <c r="Q4043" s="22"/>
      <c r="R4043" s="22"/>
      <c r="S4043" s="22"/>
      <c r="T4043" s="22"/>
      <c r="U4043" s="22"/>
      <c r="V4043" s="22"/>
      <c r="W4043" s="22"/>
      <c r="X4043" s="104"/>
      <c r="Y4043" s="195" t="str">
        <f t="shared" si="1240"/>
        <v/>
      </c>
      <c r="Z4043" s="196" t="str">
        <f t="shared" si="1241"/>
        <v/>
      </c>
      <c r="AA4043" s="22"/>
      <c r="AB4043" s="197" t="str">
        <f t="shared" si="1258"/>
        <v/>
      </c>
      <c r="AC4043" s="198" t="str">
        <f t="shared" si="1259"/>
        <v/>
      </c>
      <c r="AD4043" s="162"/>
      <c r="AE4043" s="199" t="str">
        <f t="shared" si="1260"/>
        <v/>
      </c>
      <c r="AF4043" s="199" t="str">
        <f>IF(AND(COUNTIFS($J$18:J4043,J4043)=1,AE4043=1),1,"")</f>
        <v/>
      </c>
      <c r="AG4043" s="199" t="str">
        <f>IF(C4043="","",IF(AND(COUNTIFS($J$18:J4043,J4043)=1,C4043&lt;&gt;""),1,""))</f>
        <v/>
      </c>
      <c r="AH4043" s="199" t="str">
        <f>IF(G4043="","",IF(AND(COUNTIFS($J$18:J4043,J4043)=1,G4043&lt;&gt;""),1,""))</f>
        <v/>
      </c>
      <c r="AI4043" s="200">
        <f t="shared" si="1261"/>
        <v>0</v>
      </c>
      <c r="AJ4043" s="200">
        <f t="shared" si="1262"/>
        <v>0</v>
      </c>
      <c r="AK4043" s="201" t="str">
        <f t="shared" si="1263"/>
        <v/>
      </c>
      <c r="AL4043" s="24"/>
      <c r="AM4043" s="24"/>
      <c r="AN4043" s="24"/>
      <c r="AO4043" s="24"/>
      <c r="AP4043" s="165" t="str">
        <f t="shared" si="1264"/>
        <v/>
      </c>
      <c r="AQ4043" s="203" t="str">
        <f t="shared" si="1265"/>
        <v/>
      </c>
      <c r="AR4043" s="206">
        <f t="shared" si="1266"/>
        <v>0</v>
      </c>
      <c r="AS4043" s="22" t="str">
        <f t="shared" si="1267"/>
        <v/>
      </c>
      <c r="AT4043" s="24" t="str">
        <f t="shared" si="1268"/>
        <v/>
      </c>
      <c r="AU4043" s="22" t="s">
        <v>3240</v>
      </c>
    </row>
    <row r="4044" spans="1:47">
      <c r="A4044" s="246" t="str">
        <f t="shared" si="1256"/>
        <v/>
      </c>
      <c r="B4044" s="23"/>
      <c r="C4044" s="23"/>
      <c r="D4044" s="202" t="str">
        <f t="shared" si="1257"/>
        <v/>
      </c>
      <c r="E4044" s="33" t="str">
        <f t="shared" si="1239"/>
        <v/>
      </c>
      <c r="F4044" s="23"/>
      <c r="G4044" s="23"/>
      <c r="H4044" s="29"/>
      <c r="I4044" s="204" t="str">
        <f t="shared" si="1254"/>
        <v/>
      </c>
      <c r="J4044" s="188"/>
      <c r="K4044" s="29"/>
      <c r="L4044" s="24"/>
      <c r="M4044" s="22"/>
      <c r="N4044" s="22"/>
      <c r="O4044" s="22"/>
      <c r="P4044" s="202" t="str">
        <f t="shared" si="1255"/>
        <v/>
      </c>
      <c r="Q4044" s="22"/>
      <c r="R4044" s="22"/>
      <c r="S4044" s="22"/>
      <c r="T4044" s="22"/>
      <c r="U4044" s="22"/>
      <c r="V4044" s="22"/>
      <c r="W4044" s="22"/>
      <c r="X4044" s="104"/>
      <c r="Y4044" s="195" t="str">
        <f t="shared" si="1240"/>
        <v/>
      </c>
      <c r="Z4044" s="196" t="str">
        <f t="shared" si="1241"/>
        <v/>
      </c>
      <c r="AA4044" s="22"/>
      <c r="AB4044" s="197" t="str">
        <f t="shared" si="1258"/>
        <v/>
      </c>
      <c r="AC4044" s="198" t="str">
        <f t="shared" si="1259"/>
        <v/>
      </c>
      <c r="AD4044" s="162"/>
      <c r="AE4044" s="199" t="str">
        <f t="shared" si="1260"/>
        <v/>
      </c>
      <c r="AF4044" s="199" t="str">
        <f>IF(AND(COUNTIFS($J$18:J4044,J4044)=1,AE4044=1),1,"")</f>
        <v/>
      </c>
      <c r="AG4044" s="199" t="str">
        <f>IF(C4044="","",IF(AND(COUNTIFS($J$18:J4044,J4044)=1,C4044&lt;&gt;""),1,""))</f>
        <v/>
      </c>
      <c r="AH4044" s="199" t="str">
        <f>IF(G4044="","",IF(AND(COUNTIFS($J$18:J4044,J4044)=1,G4044&lt;&gt;""),1,""))</f>
        <v/>
      </c>
      <c r="AI4044" s="200">
        <f t="shared" si="1261"/>
        <v>0</v>
      </c>
      <c r="AJ4044" s="200">
        <f t="shared" si="1262"/>
        <v>0</v>
      </c>
      <c r="AK4044" s="201" t="str">
        <f t="shared" si="1263"/>
        <v/>
      </c>
      <c r="AL4044" s="24"/>
      <c r="AM4044" s="24"/>
      <c r="AN4044" s="24"/>
      <c r="AO4044" s="24"/>
      <c r="AP4044" s="165" t="str">
        <f t="shared" si="1264"/>
        <v/>
      </c>
      <c r="AQ4044" s="203" t="str">
        <f t="shared" si="1265"/>
        <v/>
      </c>
      <c r="AR4044" s="206">
        <f t="shared" si="1266"/>
        <v>0</v>
      </c>
      <c r="AS4044" s="22" t="str">
        <f t="shared" si="1267"/>
        <v/>
      </c>
      <c r="AT4044" s="24" t="str">
        <f t="shared" si="1268"/>
        <v/>
      </c>
      <c r="AU4044" s="22" t="s">
        <v>3240</v>
      </c>
    </row>
    <row r="4045" spans="1:47">
      <c r="A4045" s="246" t="str">
        <f t="shared" si="1256"/>
        <v/>
      </c>
      <c r="B4045" s="23"/>
      <c r="C4045" s="23"/>
      <c r="D4045" s="202" t="str">
        <f t="shared" si="1257"/>
        <v/>
      </c>
      <c r="E4045" s="33" t="str">
        <f t="shared" si="1239"/>
        <v/>
      </c>
      <c r="F4045" s="23"/>
      <c r="G4045" s="23"/>
      <c r="H4045" s="29"/>
      <c r="I4045" s="204" t="str">
        <f t="shared" si="1254"/>
        <v/>
      </c>
      <c r="J4045" s="188"/>
      <c r="K4045" s="29"/>
      <c r="L4045" s="24"/>
      <c r="M4045" s="22"/>
      <c r="N4045" s="22"/>
      <c r="O4045" s="22"/>
      <c r="P4045" s="202" t="str">
        <f t="shared" si="1255"/>
        <v/>
      </c>
      <c r="Q4045" s="22"/>
      <c r="R4045" s="22"/>
      <c r="S4045" s="22"/>
      <c r="T4045" s="22"/>
      <c r="U4045" s="22"/>
      <c r="V4045" s="22"/>
      <c r="W4045" s="22"/>
      <c r="X4045" s="104"/>
      <c r="Y4045" s="195" t="str">
        <f t="shared" si="1240"/>
        <v/>
      </c>
      <c r="Z4045" s="196" t="str">
        <f t="shared" si="1241"/>
        <v/>
      </c>
      <c r="AA4045" s="22"/>
      <c r="AB4045" s="197" t="str">
        <f t="shared" si="1258"/>
        <v/>
      </c>
      <c r="AC4045" s="198" t="str">
        <f t="shared" si="1259"/>
        <v/>
      </c>
      <c r="AD4045" s="162"/>
      <c r="AE4045" s="199" t="str">
        <f t="shared" si="1260"/>
        <v/>
      </c>
      <c r="AF4045" s="199" t="str">
        <f>IF(AND(COUNTIFS($J$18:J4045,J4045)=1,AE4045=1),1,"")</f>
        <v/>
      </c>
      <c r="AG4045" s="199" t="str">
        <f>IF(C4045="","",IF(AND(COUNTIFS($J$18:J4045,J4045)=1,C4045&lt;&gt;""),1,""))</f>
        <v/>
      </c>
      <c r="AH4045" s="199" t="str">
        <f>IF(G4045="","",IF(AND(COUNTIFS($J$18:J4045,J4045)=1,G4045&lt;&gt;""),1,""))</f>
        <v/>
      </c>
      <c r="AI4045" s="200">
        <f t="shared" si="1261"/>
        <v>0</v>
      </c>
      <c r="AJ4045" s="200">
        <f t="shared" si="1262"/>
        <v>0</v>
      </c>
      <c r="AK4045" s="201" t="str">
        <f t="shared" si="1263"/>
        <v/>
      </c>
      <c r="AL4045" s="24"/>
      <c r="AM4045" s="24"/>
      <c r="AN4045" s="24"/>
      <c r="AO4045" s="24"/>
      <c r="AP4045" s="165" t="str">
        <f t="shared" si="1264"/>
        <v/>
      </c>
      <c r="AQ4045" s="203" t="str">
        <f t="shared" si="1265"/>
        <v/>
      </c>
      <c r="AR4045" s="206">
        <f t="shared" si="1266"/>
        <v>0</v>
      </c>
      <c r="AS4045" s="22" t="str">
        <f t="shared" si="1267"/>
        <v/>
      </c>
      <c r="AT4045" s="24" t="str">
        <f t="shared" si="1268"/>
        <v/>
      </c>
      <c r="AU4045" s="22" t="s">
        <v>3240</v>
      </c>
    </row>
    <row r="4046" spans="1:47">
      <c r="A4046" s="246" t="str">
        <f t="shared" si="1256"/>
        <v/>
      </c>
      <c r="B4046" s="23"/>
      <c r="C4046" s="23"/>
      <c r="D4046" s="202" t="str">
        <f t="shared" si="1257"/>
        <v/>
      </c>
      <c r="E4046" s="33" t="str">
        <f t="shared" si="1239"/>
        <v/>
      </c>
      <c r="F4046" s="23"/>
      <c r="G4046" s="23"/>
      <c r="H4046" s="29"/>
      <c r="I4046" s="204" t="str">
        <f t="shared" si="1254"/>
        <v/>
      </c>
      <c r="J4046" s="188"/>
      <c r="K4046" s="29"/>
      <c r="L4046" s="24"/>
      <c r="M4046" s="22"/>
      <c r="N4046" s="22"/>
      <c r="O4046" s="22"/>
      <c r="P4046" s="202" t="str">
        <f t="shared" si="1255"/>
        <v/>
      </c>
      <c r="Q4046" s="22"/>
      <c r="R4046" s="22"/>
      <c r="S4046" s="22"/>
      <c r="T4046" s="22"/>
      <c r="U4046" s="22"/>
      <c r="V4046" s="22"/>
      <c r="W4046" s="22"/>
      <c r="X4046" s="104"/>
      <c r="Y4046" s="195" t="str">
        <f t="shared" si="1240"/>
        <v/>
      </c>
      <c r="Z4046" s="196" t="str">
        <f t="shared" si="1241"/>
        <v/>
      </c>
      <c r="AA4046" s="22"/>
      <c r="AB4046" s="197" t="str">
        <f t="shared" si="1258"/>
        <v/>
      </c>
      <c r="AC4046" s="198" t="str">
        <f t="shared" si="1259"/>
        <v/>
      </c>
      <c r="AD4046" s="162"/>
      <c r="AE4046" s="199" t="str">
        <f t="shared" si="1260"/>
        <v/>
      </c>
      <c r="AF4046" s="199" t="str">
        <f>IF(AND(COUNTIFS($J$18:J4046,J4046)=1,AE4046=1),1,"")</f>
        <v/>
      </c>
      <c r="AG4046" s="199" t="str">
        <f>IF(C4046="","",IF(AND(COUNTIFS($J$18:J4046,J4046)=1,C4046&lt;&gt;""),1,""))</f>
        <v/>
      </c>
      <c r="AH4046" s="199" t="str">
        <f>IF(G4046="","",IF(AND(COUNTIFS($J$18:J4046,J4046)=1,G4046&lt;&gt;""),1,""))</f>
        <v/>
      </c>
      <c r="AI4046" s="200">
        <f t="shared" si="1261"/>
        <v>0</v>
      </c>
      <c r="AJ4046" s="200">
        <f t="shared" si="1262"/>
        <v>0</v>
      </c>
      <c r="AK4046" s="201" t="str">
        <f t="shared" si="1263"/>
        <v/>
      </c>
      <c r="AL4046" s="24"/>
      <c r="AM4046" s="24"/>
      <c r="AN4046" s="24"/>
      <c r="AO4046" s="24"/>
      <c r="AP4046" s="165" t="str">
        <f t="shared" si="1264"/>
        <v/>
      </c>
      <c r="AQ4046" s="203" t="str">
        <f t="shared" si="1265"/>
        <v/>
      </c>
      <c r="AR4046" s="206">
        <f t="shared" si="1266"/>
        <v>0</v>
      </c>
      <c r="AS4046" s="22" t="str">
        <f t="shared" si="1267"/>
        <v/>
      </c>
      <c r="AT4046" s="24" t="str">
        <f t="shared" si="1268"/>
        <v/>
      </c>
      <c r="AU4046" s="22" t="s">
        <v>3240</v>
      </c>
    </row>
    <row r="4047" spans="1:47">
      <c r="A4047" s="246" t="str">
        <f t="shared" si="1256"/>
        <v/>
      </c>
      <c r="B4047" s="23"/>
      <c r="C4047" s="23"/>
      <c r="D4047" s="202" t="str">
        <f t="shared" si="1257"/>
        <v/>
      </c>
      <c r="E4047" s="33" t="str">
        <f t="shared" si="1239"/>
        <v/>
      </c>
      <c r="F4047" s="23"/>
      <c r="G4047" s="23"/>
      <c r="H4047" s="29"/>
      <c r="I4047" s="204" t="str">
        <f t="shared" si="1254"/>
        <v/>
      </c>
      <c r="J4047" s="188"/>
      <c r="K4047" s="29"/>
      <c r="L4047" s="24"/>
      <c r="M4047" s="22"/>
      <c r="N4047" s="22"/>
      <c r="O4047" s="22"/>
      <c r="P4047" s="202" t="str">
        <f t="shared" si="1255"/>
        <v/>
      </c>
      <c r="Q4047" s="22"/>
      <c r="R4047" s="22"/>
      <c r="S4047" s="22"/>
      <c r="T4047" s="22"/>
      <c r="U4047" s="22"/>
      <c r="V4047" s="22"/>
      <c r="W4047" s="22"/>
      <c r="X4047" s="104"/>
      <c r="Y4047" s="195" t="str">
        <f t="shared" si="1240"/>
        <v/>
      </c>
      <c r="Z4047" s="196" t="str">
        <f t="shared" si="1241"/>
        <v/>
      </c>
      <c r="AA4047" s="22"/>
      <c r="AB4047" s="197" t="str">
        <f t="shared" si="1258"/>
        <v/>
      </c>
      <c r="AC4047" s="198" t="str">
        <f t="shared" si="1259"/>
        <v/>
      </c>
      <c r="AD4047" s="162"/>
      <c r="AE4047" s="199" t="str">
        <f t="shared" si="1260"/>
        <v/>
      </c>
      <c r="AF4047" s="199" t="str">
        <f>IF(AND(COUNTIFS($J$18:J4047,J4047)=1,AE4047=1),1,"")</f>
        <v/>
      </c>
      <c r="AG4047" s="199" t="str">
        <f>IF(C4047="","",IF(AND(COUNTIFS($J$18:J4047,J4047)=1,C4047&lt;&gt;""),1,""))</f>
        <v/>
      </c>
      <c r="AH4047" s="199" t="str">
        <f>IF(G4047="","",IF(AND(COUNTIFS($J$18:J4047,J4047)=1,G4047&lt;&gt;""),1,""))</f>
        <v/>
      </c>
      <c r="AI4047" s="200">
        <f t="shared" si="1261"/>
        <v>0</v>
      </c>
      <c r="AJ4047" s="200">
        <f t="shared" si="1262"/>
        <v>0</v>
      </c>
      <c r="AK4047" s="201" t="str">
        <f t="shared" si="1263"/>
        <v/>
      </c>
      <c r="AL4047" s="24"/>
      <c r="AM4047" s="24"/>
      <c r="AN4047" s="24"/>
      <c r="AO4047" s="24"/>
      <c r="AP4047" s="165" t="str">
        <f t="shared" si="1264"/>
        <v/>
      </c>
      <c r="AQ4047" s="203" t="str">
        <f t="shared" si="1265"/>
        <v/>
      </c>
      <c r="AR4047" s="206">
        <f t="shared" si="1266"/>
        <v>0</v>
      </c>
      <c r="AS4047" s="22" t="str">
        <f t="shared" si="1267"/>
        <v/>
      </c>
      <c r="AT4047" s="24" t="str">
        <f t="shared" si="1268"/>
        <v/>
      </c>
      <c r="AU4047" s="22" t="s">
        <v>3240</v>
      </c>
    </row>
    <row r="4048" spans="1:47">
      <c r="A4048" s="246" t="str">
        <f t="shared" si="1256"/>
        <v/>
      </c>
      <c r="B4048" s="23"/>
      <c r="C4048" s="23"/>
      <c r="D4048" s="202" t="str">
        <f t="shared" si="1257"/>
        <v/>
      </c>
      <c r="E4048" s="33" t="str">
        <f t="shared" si="1239"/>
        <v/>
      </c>
      <c r="F4048" s="23"/>
      <c r="G4048" s="23"/>
      <c r="H4048" s="29"/>
      <c r="I4048" s="204" t="str">
        <f t="shared" si="1254"/>
        <v/>
      </c>
      <c r="J4048" s="188"/>
      <c r="K4048" s="29"/>
      <c r="L4048" s="24"/>
      <c r="M4048" s="22"/>
      <c r="N4048" s="22"/>
      <c r="O4048" s="22"/>
      <c r="P4048" s="202" t="str">
        <f t="shared" si="1255"/>
        <v/>
      </c>
      <c r="Q4048" s="22"/>
      <c r="R4048" s="22"/>
      <c r="S4048" s="22"/>
      <c r="T4048" s="22"/>
      <c r="U4048" s="22"/>
      <c r="V4048" s="22"/>
      <c r="W4048" s="22"/>
      <c r="X4048" s="104"/>
      <c r="Y4048" s="195" t="str">
        <f t="shared" si="1240"/>
        <v/>
      </c>
      <c r="Z4048" s="196" t="str">
        <f t="shared" si="1241"/>
        <v/>
      </c>
      <c r="AA4048" s="22"/>
      <c r="AB4048" s="197" t="str">
        <f t="shared" si="1258"/>
        <v/>
      </c>
      <c r="AC4048" s="198" t="str">
        <f t="shared" si="1259"/>
        <v/>
      </c>
      <c r="AD4048" s="162"/>
      <c r="AE4048" s="199" t="str">
        <f t="shared" si="1260"/>
        <v/>
      </c>
      <c r="AF4048" s="199" t="str">
        <f>IF(AND(COUNTIFS($J$18:J4048,J4048)=1,AE4048=1),1,"")</f>
        <v/>
      </c>
      <c r="AG4048" s="199" t="str">
        <f>IF(C4048="","",IF(AND(COUNTIFS($J$18:J4048,J4048)=1,C4048&lt;&gt;""),1,""))</f>
        <v/>
      </c>
      <c r="AH4048" s="199" t="str">
        <f>IF(G4048="","",IF(AND(COUNTIFS($J$18:J4048,J4048)=1,G4048&lt;&gt;""),1,""))</f>
        <v/>
      </c>
      <c r="AI4048" s="200">
        <f t="shared" si="1261"/>
        <v>0</v>
      </c>
      <c r="AJ4048" s="200">
        <f t="shared" si="1262"/>
        <v>0</v>
      </c>
      <c r="AK4048" s="201" t="str">
        <f t="shared" si="1263"/>
        <v/>
      </c>
      <c r="AL4048" s="24"/>
      <c r="AM4048" s="24"/>
      <c r="AN4048" s="24"/>
      <c r="AO4048" s="24"/>
      <c r="AP4048" s="165" t="str">
        <f t="shared" si="1264"/>
        <v/>
      </c>
      <c r="AQ4048" s="203" t="str">
        <f t="shared" si="1265"/>
        <v/>
      </c>
      <c r="AR4048" s="206">
        <f t="shared" si="1266"/>
        <v>0</v>
      </c>
      <c r="AS4048" s="22" t="str">
        <f t="shared" si="1267"/>
        <v/>
      </c>
      <c r="AT4048" s="24" t="str">
        <f t="shared" si="1268"/>
        <v/>
      </c>
      <c r="AU4048" s="22" t="s">
        <v>3240</v>
      </c>
    </row>
    <row r="4049" spans="1:47">
      <c r="A4049" s="246" t="str">
        <f t="shared" si="1256"/>
        <v/>
      </c>
      <c r="B4049" s="23"/>
      <c r="C4049" s="23"/>
      <c r="D4049" s="202" t="str">
        <f t="shared" si="1257"/>
        <v/>
      </c>
      <c r="E4049" s="33" t="str">
        <f t="shared" si="1239"/>
        <v/>
      </c>
      <c r="F4049" s="23"/>
      <c r="G4049" s="23"/>
      <c r="H4049" s="29"/>
      <c r="I4049" s="204" t="str">
        <f t="shared" si="1254"/>
        <v/>
      </c>
      <c r="J4049" s="188"/>
      <c r="K4049" s="29"/>
      <c r="L4049" s="24"/>
      <c r="M4049" s="22"/>
      <c r="N4049" s="22"/>
      <c r="O4049" s="22"/>
      <c r="P4049" s="202" t="str">
        <f t="shared" si="1255"/>
        <v/>
      </c>
      <c r="Q4049" s="22"/>
      <c r="R4049" s="22"/>
      <c r="S4049" s="22"/>
      <c r="T4049" s="22"/>
      <c r="U4049" s="22"/>
      <c r="V4049" s="22"/>
      <c r="W4049" s="22"/>
      <c r="X4049" s="104"/>
      <c r="Y4049" s="195" t="str">
        <f t="shared" si="1240"/>
        <v/>
      </c>
      <c r="Z4049" s="196" t="str">
        <f t="shared" si="1241"/>
        <v/>
      </c>
      <c r="AA4049" s="22"/>
      <c r="AB4049" s="197" t="str">
        <f t="shared" si="1258"/>
        <v/>
      </c>
      <c r="AC4049" s="198" t="str">
        <f t="shared" si="1259"/>
        <v/>
      </c>
      <c r="AD4049" s="162"/>
      <c r="AE4049" s="199" t="str">
        <f t="shared" si="1260"/>
        <v/>
      </c>
      <c r="AF4049" s="199" t="str">
        <f>IF(AND(COUNTIFS($J$18:J4049,J4049)=1,AE4049=1),1,"")</f>
        <v/>
      </c>
      <c r="AG4049" s="199" t="str">
        <f>IF(C4049="","",IF(AND(COUNTIFS($J$18:J4049,J4049)=1,C4049&lt;&gt;""),1,""))</f>
        <v/>
      </c>
      <c r="AH4049" s="199" t="str">
        <f>IF(G4049="","",IF(AND(COUNTIFS($J$18:J4049,J4049)=1,G4049&lt;&gt;""),1,""))</f>
        <v/>
      </c>
      <c r="AI4049" s="200">
        <f t="shared" si="1261"/>
        <v>0</v>
      </c>
      <c r="AJ4049" s="200">
        <f t="shared" si="1262"/>
        <v>0</v>
      </c>
      <c r="AK4049" s="201" t="str">
        <f t="shared" si="1263"/>
        <v/>
      </c>
      <c r="AL4049" s="24"/>
      <c r="AM4049" s="24"/>
      <c r="AN4049" s="24"/>
      <c r="AO4049" s="24"/>
      <c r="AP4049" s="165" t="str">
        <f t="shared" si="1264"/>
        <v/>
      </c>
      <c r="AQ4049" s="203" t="str">
        <f t="shared" si="1265"/>
        <v/>
      </c>
      <c r="AR4049" s="206">
        <f t="shared" si="1266"/>
        <v>0</v>
      </c>
      <c r="AS4049" s="22" t="str">
        <f t="shared" si="1267"/>
        <v/>
      </c>
      <c r="AT4049" s="24" t="str">
        <f t="shared" si="1268"/>
        <v/>
      </c>
      <c r="AU4049" s="22" t="s">
        <v>3240</v>
      </c>
    </row>
    <row r="4050" spans="1:47">
      <c r="A4050" s="246" t="str">
        <f t="shared" si="1256"/>
        <v/>
      </c>
      <c r="B4050" s="23"/>
      <c r="C4050" s="23"/>
      <c r="D4050" s="202" t="str">
        <f t="shared" si="1257"/>
        <v/>
      </c>
      <c r="E4050" s="33" t="str">
        <f t="shared" si="1239"/>
        <v/>
      </c>
      <c r="F4050" s="23"/>
      <c r="G4050" s="23"/>
      <c r="H4050" s="29"/>
      <c r="I4050" s="204" t="str">
        <f t="shared" si="1254"/>
        <v/>
      </c>
      <c r="J4050" s="188"/>
      <c r="K4050" s="29"/>
      <c r="L4050" s="24"/>
      <c r="M4050" s="22"/>
      <c r="N4050" s="22"/>
      <c r="O4050" s="22"/>
      <c r="P4050" s="202" t="str">
        <f t="shared" si="1255"/>
        <v/>
      </c>
      <c r="Q4050" s="22"/>
      <c r="R4050" s="22"/>
      <c r="S4050" s="22"/>
      <c r="T4050" s="22"/>
      <c r="U4050" s="22"/>
      <c r="V4050" s="22"/>
      <c r="W4050" s="22"/>
      <c r="X4050" s="104"/>
      <c r="Y4050" s="195" t="str">
        <f t="shared" si="1240"/>
        <v/>
      </c>
      <c r="Z4050" s="196" t="str">
        <f t="shared" si="1241"/>
        <v/>
      </c>
      <c r="AA4050" s="22"/>
      <c r="AB4050" s="197" t="str">
        <f t="shared" si="1258"/>
        <v/>
      </c>
      <c r="AC4050" s="198" t="str">
        <f t="shared" si="1259"/>
        <v/>
      </c>
      <c r="AD4050" s="162"/>
      <c r="AE4050" s="199" t="str">
        <f t="shared" si="1260"/>
        <v/>
      </c>
      <c r="AF4050" s="199" t="str">
        <f>IF(AND(COUNTIFS($J$18:J4050,J4050)=1,AE4050=1),1,"")</f>
        <v/>
      </c>
      <c r="AG4050" s="199" t="str">
        <f>IF(C4050="","",IF(AND(COUNTIFS($J$18:J4050,J4050)=1,C4050&lt;&gt;""),1,""))</f>
        <v/>
      </c>
      <c r="AH4050" s="199" t="str">
        <f>IF(G4050="","",IF(AND(COUNTIFS($J$18:J4050,J4050)=1,G4050&lt;&gt;""),1,""))</f>
        <v/>
      </c>
      <c r="AI4050" s="200">
        <f t="shared" si="1261"/>
        <v>0</v>
      </c>
      <c r="AJ4050" s="200">
        <f t="shared" si="1262"/>
        <v>0</v>
      </c>
      <c r="AK4050" s="201" t="str">
        <f t="shared" si="1263"/>
        <v/>
      </c>
      <c r="AL4050" s="24"/>
      <c r="AM4050" s="24"/>
      <c r="AN4050" s="24"/>
      <c r="AO4050" s="24"/>
      <c r="AP4050" s="165" t="str">
        <f t="shared" si="1264"/>
        <v/>
      </c>
      <c r="AQ4050" s="203" t="str">
        <f t="shared" si="1265"/>
        <v/>
      </c>
      <c r="AR4050" s="206">
        <f t="shared" si="1266"/>
        <v>0</v>
      </c>
      <c r="AS4050" s="22" t="str">
        <f t="shared" si="1267"/>
        <v/>
      </c>
      <c r="AT4050" s="24" t="str">
        <f t="shared" si="1268"/>
        <v/>
      </c>
      <c r="AU4050" s="22" t="s">
        <v>3240</v>
      </c>
    </row>
    <row r="4051" spans="1:47">
      <c r="A4051" s="246" t="str">
        <f t="shared" si="1256"/>
        <v/>
      </c>
      <c r="B4051" s="23"/>
      <c r="C4051" s="23"/>
      <c r="D4051" s="202" t="str">
        <f t="shared" si="1257"/>
        <v/>
      </c>
      <c r="E4051" s="33" t="str">
        <f t="shared" si="1239"/>
        <v/>
      </c>
      <c r="F4051" s="23"/>
      <c r="G4051" s="23"/>
      <c r="H4051" s="29"/>
      <c r="I4051" s="204" t="str">
        <f t="shared" si="1254"/>
        <v/>
      </c>
      <c r="J4051" s="188"/>
      <c r="K4051" s="29"/>
      <c r="L4051" s="24"/>
      <c r="M4051" s="22"/>
      <c r="N4051" s="22"/>
      <c r="O4051" s="22"/>
      <c r="P4051" s="202" t="str">
        <f t="shared" si="1255"/>
        <v/>
      </c>
      <c r="Q4051" s="22"/>
      <c r="R4051" s="22"/>
      <c r="S4051" s="22"/>
      <c r="T4051" s="22"/>
      <c r="U4051" s="22"/>
      <c r="V4051" s="22"/>
      <c r="W4051" s="22"/>
      <c r="X4051" s="104"/>
      <c r="Y4051" s="195" t="str">
        <f t="shared" si="1240"/>
        <v/>
      </c>
      <c r="Z4051" s="196" t="str">
        <f t="shared" si="1241"/>
        <v/>
      </c>
      <c r="AA4051" s="22"/>
      <c r="AB4051" s="197" t="str">
        <f t="shared" si="1258"/>
        <v/>
      </c>
      <c r="AC4051" s="198" t="str">
        <f t="shared" si="1259"/>
        <v/>
      </c>
      <c r="AD4051" s="162"/>
      <c r="AE4051" s="199" t="str">
        <f t="shared" si="1260"/>
        <v/>
      </c>
      <c r="AF4051" s="199" t="str">
        <f>IF(AND(COUNTIFS($J$18:J4051,J4051)=1,AE4051=1),1,"")</f>
        <v/>
      </c>
      <c r="AG4051" s="199" t="str">
        <f>IF(C4051="","",IF(AND(COUNTIFS($J$18:J4051,J4051)=1,C4051&lt;&gt;""),1,""))</f>
        <v/>
      </c>
      <c r="AH4051" s="199" t="str">
        <f>IF(G4051="","",IF(AND(COUNTIFS($J$18:J4051,J4051)=1,G4051&lt;&gt;""),1,""))</f>
        <v/>
      </c>
      <c r="AI4051" s="200">
        <f t="shared" si="1261"/>
        <v>0</v>
      </c>
      <c r="AJ4051" s="200">
        <f t="shared" si="1262"/>
        <v>0</v>
      </c>
      <c r="AK4051" s="201" t="str">
        <f t="shared" si="1263"/>
        <v/>
      </c>
      <c r="AL4051" s="24"/>
      <c r="AM4051" s="24"/>
      <c r="AN4051" s="24"/>
      <c r="AO4051" s="24"/>
      <c r="AP4051" s="165" t="str">
        <f t="shared" si="1264"/>
        <v/>
      </c>
      <c r="AQ4051" s="203" t="str">
        <f t="shared" si="1265"/>
        <v/>
      </c>
      <c r="AR4051" s="206">
        <f t="shared" si="1266"/>
        <v>0</v>
      </c>
      <c r="AS4051" s="22" t="str">
        <f t="shared" si="1267"/>
        <v/>
      </c>
      <c r="AT4051" s="24" t="str">
        <f t="shared" si="1268"/>
        <v/>
      </c>
      <c r="AU4051" s="22" t="s">
        <v>3240</v>
      </c>
    </row>
    <row r="4052" spans="1:47">
      <c r="A4052" s="246" t="str">
        <f t="shared" si="1256"/>
        <v/>
      </c>
      <c r="B4052" s="23"/>
      <c r="C4052" s="23"/>
      <c r="D4052" s="202" t="str">
        <f t="shared" si="1257"/>
        <v/>
      </c>
      <c r="E4052" s="33" t="str">
        <f t="shared" si="1239"/>
        <v/>
      </c>
      <c r="F4052" s="23"/>
      <c r="G4052" s="23"/>
      <c r="H4052" s="29"/>
      <c r="I4052" s="204" t="str">
        <f t="shared" si="1254"/>
        <v/>
      </c>
      <c r="J4052" s="188"/>
      <c r="K4052" s="29"/>
      <c r="L4052" s="24"/>
      <c r="M4052" s="22"/>
      <c r="N4052" s="22"/>
      <c r="O4052" s="22"/>
      <c r="P4052" s="202" t="str">
        <f t="shared" si="1255"/>
        <v/>
      </c>
      <c r="Q4052" s="22"/>
      <c r="R4052" s="22"/>
      <c r="S4052" s="22"/>
      <c r="T4052" s="22"/>
      <c r="U4052" s="22"/>
      <c r="V4052" s="22"/>
      <c r="W4052" s="22"/>
      <c r="X4052" s="104"/>
      <c r="Y4052" s="195" t="str">
        <f t="shared" si="1240"/>
        <v/>
      </c>
      <c r="Z4052" s="196" t="str">
        <f t="shared" si="1241"/>
        <v/>
      </c>
      <c r="AA4052" s="22"/>
      <c r="AB4052" s="197" t="str">
        <f t="shared" si="1258"/>
        <v/>
      </c>
      <c r="AC4052" s="198" t="str">
        <f t="shared" si="1259"/>
        <v/>
      </c>
      <c r="AD4052" s="162"/>
      <c r="AE4052" s="199" t="str">
        <f t="shared" si="1260"/>
        <v/>
      </c>
      <c r="AF4052" s="199" t="str">
        <f>IF(AND(COUNTIFS($J$18:J4052,J4052)=1,AE4052=1),1,"")</f>
        <v/>
      </c>
      <c r="AG4052" s="199" t="str">
        <f>IF(C4052="","",IF(AND(COUNTIFS($J$18:J4052,J4052)=1,C4052&lt;&gt;""),1,""))</f>
        <v/>
      </c>
      <c r="AH4052" s="199" t="str">
        <f>IF(G4052="","",IF(AND(COUNTIFS($J$18:J4052,J4052)=1,G4052&lt;&gt;""),1,""))</f>
        <v/>
      </c>
      <c r="AI4052" s="200">
        <f t="shared" si="1261"/>
        <v>0</v>
      </c>
      <c r="AJ4052" s="200">
        <f t="shared" si="1262"/>
        <v>0</v>
      </c>
      <c r="AK4052" s="201" t="str">
        <f t="shared" si="1263"/>
        <v/>
      </c>
      <c r="AL4052" s="24"/>
      <c r="AM4052" s="24"/>
      <c r="AN4052" s="24"/>
      <c r="AO4052" s="24"/>
      <c r="AP4052" s="165" t="str">
        <f t="shared" si="1264"/>
        <v/>
      </c>
      <c r="AQ4052" s="203" t="str">
        <f t="shared" si="1265"/>
        <v/>
      </c>
      <c r="AR4052" s="206">
        <f t="shared" si="1266"/>
        <v>0</v>
      </c>
      <c r="AS4052" s="22" t="str">
        <f t="shared" si="1267"/>
        <v/>
      </c>
      <c r="AT4052" s="24" t="str">
        <f t="shared" si="1268"/>
        <v/>
      </c>
      <c r="AU4052" s="22" t="s">
        <v>3240</v>
      </c>
    </row>
    <row r="4053" spans="1:47">
      <c r="A4053" s="246" t="str">
        <f t="shared" si="1256"/>
        <v/>
      </c>
      <c r="B4053" s="23"/>
      <c r="C4053" s="23"/>
      <c r="D4053" s="202" t="str">
        <f t="shared" si="1257"/>
        <v/>
      </c>
      <c r="E4053" s="33" t="str">
        <f t="shared" si="1239"/>
        <v/>
      </c>
      <c r="F4053" s="23"/>
      <c r="G4053" s="23"/>
      <c r="H4053" s="29"/>
      <c r="I4053" s="204" t="str">
        <f t="shared" si="1254"/>
        <v/>
      </c>
      <c r="J4053" s="188"/>
      <c r="K4053" s="29"/>
      <c r="L4053" s="24"/>
      <c r="M4053" s="22"/>
      <c r="N4053" s="22"/>
      <c r="O4053" s="22"/>
      <c r="P4053" s="202" t="str">
        <f t="shared" si="1255"/>
        <v/>
      </c>
      <c r="Q4053" s="22"/>
      <c r="R4053" s="22"/>
      <c r="S4053" s="22"/>
      <c r="T4053" s="22"/>
      <c r="U4053" s="22"/>
      <c r="V4053" s="22"/>
      <c r="W4053" s="22"/>
      <c r="X4053" s="104"/>
      <c r="Y4053" s="195" t="str">
        <f t="shared" si="1240"/>
        <v/>
      </c>
      <c r="Z4053" s="196" t="str">
        <f t="shared" si="1241"/>
        <v/>
      </c>
      <c r="AA4053" s="22"/>
      <c r="AB4053" s="197" t="str">
        <f t="shared" si="1258"/>
        <v/>
      </c>
      <c r="AC4053" s="198" t="str">
        <f t="shared" si="1259"/>
        <v/>
      </c>
      <c r="AD4053" s="162"/>
      <c r="AE4053" s="199" t="str">
        <f t="shared" si="1260"/>
        <v/>
      </c>
      <c r="AF4053" s="199" t="str">
        <f>IF(AND(COUNTIFS($J$18:J4053,J4053)=1,AE4053=1),1,"")</f>
        <v/>
      </c>
      <c r="AG4053" s="199" t="str">
        <f>IF(C4053="","",IF(AND(COUNTIFS($J$18:J4053,J4053)=1,C4053&lt;&gt;""),1,""))</f>
        <v/>
      </c>
      <c r="AH4053" s="199" t="str">
        <f>IF(G4053="","",IF(AND(COUNTIFS($J$18:J4053,J4053)=1,G4053&lt;&gt;""),1,""))</f>
        <v/>
      </c>
      <c r="AI4053" s="200">
        <f t="shared" si="1261"/>
        <v>0</v>
      </c>
      <c r="AJ4053" s="200">
        <f t="shared" si="1262"/>
        <v>0</v>
      </c>
      <c r="AK4053" s="201" t="str">
        <f t="shared" si="1263"/>
        <v/>
      </c>
      <c r="AL4053" s="24"/>
      <c r="AM4053" s="24"/>
      <c r="AN4053" s="24"/>
      <c r="AO4053" s="24"/>
      <c r="AP4053" s="165" t="str">
        <f t="shared" si="1264"/>
        <v/>
      </c>
      <c r="AQ4053" s="203" t="str">
        <f t="shared" si="1265"/>
        <v/>
      </c>
      <c r="AR4053" s="206">
        <f t="shared" si="1266"/>
        <v>0</v>
      </c>
      <c r="AS4053" s="22" t="str">
        <f t="shared" si="1267"/>
        <v/>
      </c>
      <c r="AT4053" s="24" t="str">
        <f t="shared" si="1268"/>
        <v/>
      </c>
      <c r="AU4053" s="22" t="s">
        <v>3240</v>
      </c>
    </row>
    <row r="4054" spans="1:47">
      <c r="A4054" s="246" t="str">
        <f t="shared" si="1256"/>
        <v/>
      </c>
      <c r="B4054" s="23"/>
      <c r="C4054" s="23"/>
      <c r="D4054" s="202" t="str">
        <f t="shared" si="1257"/>
        <v/>
      </c>
      <c r="E4054" s="33" t="str">
        <f t="shared" si="1239"/>
        <v/>
      </c>
      <c r="F4054" s="23"/>
      <c r="G4054" s="23"/>
      <c r="H4054" s="29"/>
      <c r="I4054" s="204" t="str">
        <f t="shared" si="1254"/>
        <v/>
      </c>
      <c r="J4054" s="188"/>
      <c r="K4054" s="29"/>
      <c r="L4054" s="24"/>
      <c r="M4054" s="22"/>
      <c r="N4054" s="22"/>
      <c r="O4054" s="22"/>
      <c r="P4054" s="202" t="str">
        <f t="shared" si="1255"/>
        <v/>
      </c>
      <c r="Q4054" s="22"/>
      <c r="R4054" s="22"/>
      <c r="S4054" s="22"/>
      <c r="T4054" s="22"/>
      <c r="U4054" s="22"/>
      <c r="V4054" s="22"/>
      <c r="W4054" s="22"/>
      <c r="X4054" s="104"/>
      <c r="Y4054" s="195" t="str">
        <f t="shared" si="1240"/>
        <v/>
      </c>
      <c r="Z4054" s="196" t="str">
        <f t="shared" si="1241"/>
        <v/>
      </c>
      <c r="AA4054" s="22"/>
      <c r="AB4054" s="197" t="str">
        <f t="shared" si="1258"/>
        <v/>
      </c>
      <c r="AC4054" s="198" t="str">
        <f t="shared" si="1259"/>
        <v/>
      </c>
      <c r="AD4054" s="162"/>
      <c r="AE4054" s="199" t="str">
        <f t="shared" si="1260"/>
        <v/>
      </c>
      <c r="AF4054" s="199" t="str">
        <f>IF(AND(COUNTIFS($J$18:J4054,J4054)=1,AE4054=1),1,"")</f>
        <v/>
      </c>
      <c r="AG4054" s="199" t="str">
        <f>IF(C4054="","",IF(AND(COUNTIFS($J$18:J4054,J4054)=1,C4054&lt;&gt;""),1,""))</f>
        <v/>
      </c>
      <c r="AH4054" s="199" t="str">
        <f>IF(G4054="","",IF(AND(COUNTIFS($J$18:J4054,J4054)=1,G4054&lt;&gt;""),1,""))</f>
        <v/>
      </c>
      <c r="AI4054" s="200">
        <f t="shared" si="1261"/>
        <v>0</v>
      </c>
      <c r="AJ4054" s="200">
        <f t="shared" si="1262"/>
        <v>0</v>
      </c>
      <c r="AK4054" s="201" t="str">
        <f t="shared" si="1263"/>
        <v/>
      </c>
      <c r="AL4054" s="24"/>
      <c r="AM4054" s="24"/>
      <c r="AN4054" s="24"/>
      <c r="AO4054" s="24"/>
      <c r="AP4054" s="165" t="str">
        <f t="shared" si="1264"/>
        <v/>
      </c>
      <c r="AQ4054" s="203" t="str">
        <f t="shared" si="1265"/>
        <v/>
      </c>
      <c r="AR4054" s="206">
        <f t="shared" si="1266"/>
        <v>0</v>
      </c>
      <c r="AS4054" s="22" t="str">
        <f t="shared" si="1267"/>
        <v/>
      </c>
      <c r="AT4054" s="24" t="str">
        <f t="shared" si="1268"/>
        <v/>
      </c>
      <c r="AU4054" s="22" t="s">
        <v>3240</v>
      </c>
    </row>
    <row r="4055" spans="1:47">
      <c r="A4055" s="246" t="str">
        <f t="shared" si="1256"/>
        <v/>
      </c>
      <c r="B4055" s="23"/>
      <c r="C4055" s="23"/>
      <c r="D4055" s="202" t="str">
        <f t="shared" si="1257"/>
        <v/>
      </c>
      <c r="E4055" s="33" t="str">
        <f t="shared" si="1239"/>
        <v/>
      </c>
      <c r="F4055" s="23"/>
      <c r="G4055" s="23"/>
      <c r="H4055" s="29"/>
      <c r="I4055" s="204" t="str">
        <f t="shared" si="1254"/>
        <v/>
      </c>
      <c r="J4055" s="188"/>
      <c r="K4055" s="29"/>
      <c r="L4055" s="24"/>
      <c r="M4055" s="22"/>
      <c r="N4055" s="22"/>
      <c r="O4055" s="22"/>
      <c r="P4055" s="202" t="str">
        <f t="shared" si="1255"/>
        <v/>
      </c>
      <c r="Q4055" s="22"/>
      <c r="R4055" s="22"/>
      <c r="S4055" s="22"/>
      <c r="T4055" s="22"/>
      <c r="U4055" s="22"/>
      <c r="V4055" s="22"/>
      <c r="W4055" s="22"/>
      <c r="X4055" s="104"/>
      <c r="Y4055" s="195" t="str">
        <f t="shared" si="1240"/>
        <v/>
      </c>
      <c r="Z4055" s="196" t="str">
        <f t="shared" si="1241"/>
        <v/>
      </c>
      <c r="AA4055" s="22"/>
      <c r="AB4055" s="197" t="str">
        <f t="shared" si="1258"/>
        <v/>
      </c>
      <c r="AC4055" s="198" t="str">
        <f t="shared" si="1259"/>
        <v/>
      </c>
      <c r="AD4055" s="162"/>
      <c r="AE4055" s="199" t="str">
        <f t="shared" si="1260"/>
        <v/>
      </c>
      <c r="AF4055" s="199" t="str">
        <f>IF(AND(COUNTIFS($J$18:J4055,J4055)=1,AE4055=1),1,"")</f>
        <v/>
      </c>
      <c r="AG4055" s="199" t="str">
        <f>IF(C4055="","",IF(AND(COUNTIFS($J$18:J4055,J4055)=1,C4055&lt;&gt;""),1,""))</f>
        <v/>
      </c>
      <c r="AH4055" s="199" t="str">
        <f>IF(G4055="","",IF(AND(COUNTIFS($J$18:J4055,J4055)=1,G4055&lt;&gt;""),1,""))</f>
        <v/>
      </c>
      <c r="AI4055" s="200">
        <f t="shared" si="1261"/>
        <v>0</v>
      </c>
      <c r="AJ4055" s="200">
        <f t="shared" si="1262"/>
        <v>0</v>
      </c>
      <c r="AK4055" s="201" t="str">
        <f t="shared" si="1263"/>
        <v/>
      </c>
      <c r="AL4055" s="24"/>
      <c r="AM4055" s="24"/>
      <c r="AN4055" s="24"/>
      <c r="AO4055" s="24"/>
      <c r="AP4055" s="165" t="str">
        <f t="shared" si="1264"/>
        <v/>
      </c>
      <c r="AQ4055" s="203" t="str">
        <f t="shared" si="1265"/>
        <v/>
      </c>
      <c r="AR4055" s="206">
        <f t="shared" si="1266"/>
        <v>0</v>
      </c>
      <c r="AS4055" s="22" t="str">
        <f t="shared" si="1267"/>
        <v/>
      </c>
      <c r="AT4055" s="24" t="str">
        <f t="shared" si="1268"/>
        <v/>
      </c>
      <c r="AU4055" s="22" t="s">
        <v>3240</v>
      </c>
    </row>
    <row r="4056" spans="1:47">
      <c r="A4056" s="246" t="str">
        <f t="shared" si="1256"/>
        <v/>
      </c>
      <c r="B4056" s="23"/>
      <c r="C4056" s="23"/>
      <c r="D4056" s="202" t="str">
        <f t="shared" si="1257"/>
        <v/>
      </c>
      <c r="E4056" s="33" t="str">
        <f t="shared" ref="E4056:E4119" si="1269">IF(G4056="Cancel","Cancel",IF(G4056="TBA","TBA",IFERROR(IF(I4056="Q4","FY "&amp;RIGHT(F4056,2)-1&amp;"/"&amp;RIGHT(F4056,2),"FY "&amp;RIGHT(F4056,2)&amp;"/"&amp;RIGHT(F4056,2)+1),"")))</f>
        <v/>
      </c>
      <c r="F4056" s="23"/>
      <c r="G4056" s="23"/>
      <c r="H4056" s="29"/>
      <c r="I4056" s="204" t="str">
        <f t="shared" si="1254"/>
        <v/>
      </c>
      <c r="J4056" s="188"/>
      <c r="K4056" s="29"/>
      <c r="L4056" s="24"/>
      <c r="M4056" s="22"/>
      <c r="N4056" s="22"/>
      <c r="O4056" s="22"/>
      <c r="P4056" s="202" t="str">
        <f t="shared" si="1255"/>
        <v/>
      </c>
      <c r="Q4056" s="22"/>
      <c r="R4056" s="22"/>
      <c r="S4056" s="22"/>
      <c r="T4056" s="22"/>
      <c r="U4056" s="22"/>
      <c r="V4056" s="22"/>
      <c r="W4056" s="22"/>
      <c r="X4056" s="104"/>
      <c r="Y4056" s="195" t="str">
        <f t="shared" si="1240"/>
        <v/>
      </c>
      <c r="Z4056" s="196" t="str">
        <f t="shared" si="1241"/>
        <v/>
      </c>
      <c r="AA4056" s="22"/>
      <c r="AB4056" s="197" t="str">
        <f t="shared" si="1258"/>
        <v/>
      </c>
      <c r="AC4056" s="198" t="str">
        <f t="shared" si="1259"/>
        <v/>
      </c>
      <c r="AD4056" s="162"/>
      <c r="AE4056" s="199" t="str">
        <f t="shared" si="1260"/>
        <v/>
      </c>
      <c r="AF4056" s="199" t="str">
        <f>IF(AND(COUNTIFS($J$18:J4056,J4056)=1,AE4056=1),1,"")</f>
        <v/>
      </c>
      <c r="AG4056" s="199" t="str">
        <f>IF(C4056="","",IF(AND(COUNTIFS($J$18:J4056,J4056)=1,C4056&lt;&gt;""),1,""))</f>
        <v/>
      </c>
      <c r="AH4056" s="199" t="str">
        <f>IF(G4056="","",IF(AND(COUNTIFS($J$18:J4056,J4056)=1,G4056&lt;&gt;""),1,""))</f>
        <v/>
      </c>
      <c r="AI4056" s="200">
        <f t="shared" si="1261"/>
        <v>0</v>
      </c>
      <c r="AJ4056" s="200">
        <f t="shared" si="1262"/>
        <v>0</v>
      </c>
      <c r="AK4056" s="201" t="str">
        <f t="shared" si="1263"/>
        <v/>
      </c>
      <c r="AL4056" s="24"/>
      <c r="AM4056" s="24"/>
      <c r="AN4056" s="24"/>
      <c r="AO4056" s="24"/>
      <c r="AP4056" s="165" t="str">
        <f t="shared" si="1264"/>
        <v/>
      </c>
      <c r="AQ4056" s="203" t="str">
        <f t="shared" si="1265"/>
        <v/>
      </c>
      <c r="AR4056" s="206">
        <f t="shared" si="1266"/>
        <v>0</v>
      </c>
      <c r="AS4056" s="22" t="str">
        <f t="shared" si="1267"/>
        <v/>
      </c>
      <c r="AT4056" s="24" t="str">
        <f t="shared" si="1268"/>
        <v/>
      </c>
      <c r="AU4056" s="22" t="s">
        <v>3240</v>
      </c>
    </row>
    <row r="4057" spans="1:47">
      <c r="A4057" s="246" t="str">
        <f t="shared" si="1256"/>
        <v/>
      </c>
      <c r="B4057" s="23"/>
      <c r="C4057" s="23"/>
      <c r="D4057" s="202" t="str">
        <f t="shared" si="1257"/>
        <v/>
      </c>
      <c r="E4057" s="33" t="str">
        <f t="shared" si="1269"/>
        <v/>
      </c>
      <c r="F4057" s="23"/>
      <c r="G4057" s="23"/>
      <c r="H4057" s="29"/>
      <c r="I4057" s="204" t="str">
        <f t="shared" si="1254"/>
        <v/>
      </c>
      <c r="J4057" s="188"/>
      <c r="K4057" s="29"/>
      <c r="L4057" s="24"/>
      <c r="M4057" s="22"/>
      <c r="N4057" s="22"/>
      <c r="O4057" s="22"/>
      <c r="P4057" s="202" t="str">
        <f t="shared" si="1255"/>
        <v/>
      </c>
      <c r="Q4057" s="22"/>
      <c r="R4057" s="22"/>
      <c r="S4057" s="22"/>
      <c r="T4057" s="22"/>
      <c r="U4057" s="22"/>
      <c r="V4057" s="22"/>
      <c r="W4057" s="22"/>
      <c r="X4057" s="104"/>
      <c r="Y4057" s="195" t="str">
        <f t="shared" si="1240"/>
        <v/>
      </c>
      <c r="Z4057" s="196" t="str">
        <f t="shared" si="1241"/>
        <v/>
      </c>
      <c r="AA4057" s="22"/>
      <c r="AB4057" s="197" t="str">
        <f t="shared" si="1258"/>
        <v/>
      </c>
      <c r="AC4057" s="198" t="str">
        <f t="shared" si="1259"/>
        <v/>
      </c>
      <c r="AD4057" s="162"/>
      <c r="AE4057" s="199" t="str">
        <f t="shared" si="1260"/>
        <v/>
      </c>
      <c r="AF4057" s="199" t="str">
        <f>IF(AND(COUNTIFS($J$18:J4057,J4057)=1,AE4057=1),1,"")</f>
        <v/>
      </c>
      <c r="AG4057" s="199" t="str">
        <f>IF(C4057="","",IF(AND(COUNTIFS($J$18:J4057,J4057)=1,C4057&lt;&gt;""),1,""))</f>
        <v/>
      </c>
      <c r="AH4057" s="199" t="str">
        <f>IF(G4057="","",IF(AND(COUNTIFS($J$18:J4057,J4057)=1,G4057&lt;&gt;""),1,""))</f>
        <v/>
      </c>
      <c r="AI4057" s="200">
        <f t="shared" si="1261"/>
        <v>0</v>
      </c>
      <c r="AJ4057" s="200">
        <f t="shared" si="1262"/>
        <v>0</v>
      </c>
      <c r="AK4057" s="201" t="str">
        <f t="shared" si="1263"/>
        <v/>
      </c>
      <c r="AL4057" s="24"/>
      <c r="AM4057" s="24"/>
      <c r="AN4057" s="24"/>
      <c r="AO4057" s="24"/>
      <c r="AP4057" s="165" t="str">
        <f t="shared" si="1264"/>
        <v/>
      </c>
      <c r="AQ4057" s="203" t="str">
        <f t="shared" si="1265"/>
        <v/>
      </c>
      <c r="AR4057" s="206">
        <f t="shared" si="1266"/>
        <v>0</v>
      </c>
      <c r="AS4057" s="22" t="str">
        <f t="shared" si="1267"/>
        <v/>
      </c>
      <c r="AT4057" s="24" t="str">
        <f t="shared" si="1268"/>
        <v/>
      </c>
      <c r="AU4057" s="22" t="s">
        <v>3240</v>
      </c>
    </row>
    <row r="4058" spans="1:47">
      <c r="A4058" s="246" t="str">
        <f t="shared" si="1256"/>
        <v/>
      </c>
      <c r="B4058" s="23"/>
      <c r="C4058" s="23"/>
      <c r="D4058" s="202" t="str">
        <f t="shared" si="1257"/>
        <v/>
      </c>
      <c r="E4058" s="33" t="str">
        <f t="shared" si="1269"/>
        <v/>
      </c>
      <c r="F4058" s="23"/>
      <c r="G4058" s="23"/>
      <c r="H4058" s="29"/>
      <c r="I4058" s="204" t="str">
        <f t="shared" si="1254"/>
        <v/>
      </c>
      <c r="J4058" s="188"/>
      <c r="K4058" s="29"/>
      <c r="L4058" s="24"/>
      <c r="M4058" s="22"/>
      <c r="N4058" s="22"/>
      <c r="O4058" s="22"/>
      <c r="P4058" s="202" t="str">
        <f t="shared" si="1255"/>
        <v/>
      </c>
      <c r="Q4058" s="22"/>
      <c r="R4058" s="22"/>
      <c r="S4058" s="22"/>
      <c r="T4058" s="22"/>
      <c r="U4058" s="22"/>
      <c r="V4058" s="22"/>
      <c r="W4058" s="22"/>
      <c r="X4058" s="104"/>
      <c r="Y4058" s="195" t="str">
        <f t="shared" si="1240"/>
        <v/>
      </c>
      <c r="Z4058" s="196" t="str">
        <f t="shared" si="1241"/>
        <v/>
      </c>
      <c r="AA4058" s="22"/>
      <c r="AB4058" s="197" t="str">
        <f t="shared" si="1258"/>
        <v/>
      </c>
      <c r="AC4058" s="198" t="str">
        <f t="shared" si="1259"/>
        <v/>
      </c>
      <c r="AD4058" s="162"/>
      <c r="AE4058" s="199" t="str">
        <f t="shared" si="1260"/>
        <v/>
      </c>
      <c r="AF4058" s="199" t="str">
        <f>IF(AND(COUNTIFS($J$18:J4058,J4058)=1,AE4058=1),1,"")</f>
        <v/>
      </c>
      <c r="AG4058" s="199" t="str">
        <f>IF(C4058="","",IF(AND(COUNTIFS($J$18:J4058,J4058)=1,C4058&lt;&gt;""),1,""))</f>
        <v/>
      </c>
      <c r="AH4058" s="199" t="str">
        <f>IF(G4058="","",IF(AND(COUNTIFS($J$18:J4058,J4058)=1,G4058&lt;&gt;""),1,""))</f>
        <v/>
      </c>
      <c r="AI4058" s="200">
        <f t="shared" si="1261"/>
        <v>0</v>
      </c>
      <c r="AJ4058" s="200">
        <f t="shared" si="1262"/>
        <v>0</v>
      </c>
      <c r="AK4058" s="201" t="str">
        <f t="shared" si="1263"/>
        <v/>
      </c>
      <c r="AL4058" s="24"/>
      <c r="AM4058" s="24"/>
      <c r="AN4058" s="24"/>
      <c r="AO4058" s="24"/>
      <c r="AP4058" s="165" t="str">
        <f t="shared" si="1264"/>
        <v/>
      </c>
      <c r="AQ4058" s="203" t="str">
        <f t="shared" si="1265"/>
        <v/>
      </c>
      <c r="AR4058" s="206">
        <f t="shared" si="1266"/>
        <v>0</v>
      </c>
      <c r="AS4058" s="22" t="str">
        <f t="shared" si="1267"/>
        <v/>
      </c>
      <c r="AT4058" s="24" t="str">
        <f t="shared" si="1268"/>
        <v/>
      </c>
      <c r="AU4058" s="22" t="s">
        <v>3240</v>
      </c>
    </row>
    <row r="4059" spans="1:47">
      <c r="A4059" s="246" t="str">
        <f t="shared" si="1256"/>
        <v/>
      </c>
      <c r="B4059" s="23"/>
      <c r="C4059" s="23"/>
      <c r="D4059" s="202" t="str">
        <f t="shared" si="1257"/>
        <v/>
      </c>
      <c r="E4059" s="33" t="str">
        <f t="shared" si="1269"/>
        <v/>
      </c>
      <c r="F4059" s="23"/>
      <c r="G4059" s="23"/>
      <c r="H4059" s="29"/>
      <c r="I4059" s="204" t="str">
        <f t="shared" si="1254"/>
        <v/>
      </c>
      <c r="J4059" s="188"/>
      <c r="K4059" s="29"/>
      <c r="L4059" s="24"/>
      <c r="M4059" s="22"/>
      <c r="N4059" s="22"/>
      <c r="O4059" s="22"/>
      <c r="P4059" s="202" t="str">
        <f t="shared" si="1255"/>
        <v/>
      </c>
      <c r="Q4059" s="22"/>
      <c r="R4059" s="22"/>
      <c r="S4059" s="22"/>
      <c r="T4059" s="22"/>
      <c r="U4059" s="22"/>
      <c r="V4059" s="22"/>
      <c r="W4059" s="22"/>
      <c r="X4059" s="104"/>
      <c r="Y4059" s="195" t="str">
        <f t="shared" ref="Y4059:Y4122" si="1270">IF(W4059="","",IF(W4059="RMB","1.13", "1"))</f>
        <v/>
      </c>
      <c r="Z4059" s="196" t="str">
        <f t="shared" ref="Z4059:Z4122" si="1271">IF(X4059="","",X4059*MAX(O4059,N4059))</f>
        <v/>
      </c>
      <c r="AA4059" s="22"/>
      <c r="AB4059" s="197" t="str">
        <f t="shared" si="1258"/>
        <v/>
      </c>
      <c r="AC4059" s="198" t="str">
        <f t="shared" si="1259"/>
        <v/>
      </c>
      <c r="AD4059" s="162"/>
      <c r="AE4059" s="199" t="str">
        <f t="shared" si="1260"/>
        <v/>
      </c>
      <c r="AF4059" s="199" t="str">
        <f>IF(AND(COUNTIFS($J$18:J4059,J4059)=1,AE4059=1),1,"")</f>
        <v/>
      </c>
      <c r="AG4059" s="199" t="str">
        <f>IF(C4059="","",IF(AND(COUNTIFS($J$18:J4059,J4059)=1,C4059&lt;&gt;""),1,""))</f>
        <v/>
      </c>
      <c r="AH4059" s="199" t="str">
        <f>IF(G4059="","",IF(AND(COUNTIFS($J$18:J4059,J4059)=1,G4059&lt;&gt;""),1,""))</f>
        <v/>
      </c>
      <c r="AI4059" s="200">
        <f t="shared" si="1261"/>
        <v>0</v>
      </c>
      <c r="AJ4059" s="200">
        <f t="shared" si="1262"/>
        <v>0</v>
      </c>
      <c r="AK4059" s="201" t="str">
        <f t="shared" si="1263"/>
        <v/>
      </c>
      <c r="AL4059" s="24"/>
      <c r="AM4059" s="24"/>
      <c r="AN4059" s="24"/>
      <c r="AO4059" s="24"/>
      <c r="AP4059" s="165" t="str">
        <f t="shared" si="1264"/>
        <v/>
      </c>
      <c r="AQ4059" s="203" t="str">
        <f t="shared" si="1265"/>
        <v/>
      </c>
      <c r="AR4059" s="206">
        <f t="shared" si="1266"/>
        <v>0</v>
      </c>
      <c r="AS4059" s="22" t="str">
        <f t="shared" si="1267"/>
        <v/>
      </c>
      <c r="AT4059" s="24" t="str">
        <f t="shared" si="1268"/>
        <v/>
      </c>
      <c r="AU4059" s="22" t="s">
        <v>3240</v>
      </c>
    </row>
    <row r="4060" spans="1:47">
      <c r="A4060" s="246" t="str">
        <f t="shared" si="1256"/>
        <v/>
      </c>
      <c r="B4060" s="23"/>
      <c r="C4060" s="23"/>
      <c r="D4060" s="202" t="str">
        <f t="shared" si="1257"/>
        <v/>
      </c>
      <c r="E4060" s="33" t="str">
        <f t="shared" si="1269"/>
        <v/>
      </c>
      <c r="F4060" s="23"/>
      <c r="G4060" s="23"/>
      <c r="H4060" s="29"/>
      <c r="I4060" s="204" t="str">
        <f t="shared" si="1254"/>
        <v/>
      </c>
      <c r="J4060" s="188"/>
      <c r="K4060" s="29"/>
      <c r="L4060" s="24"/>
      <c r="M4060" s="22"/>
      <c r="N4060" s="22"/>
      <c r="O4060" s="22"/>
      <c r="P4060" s="202" t="str">
        <f t="shared" si="1255"/>
        <v/>
      </c>
      <c r="Q4060" s="22"/>
      <c r="R4060" s="22"/>
      <c r="S4060" s="22"/>
      <c r="T4060" s="22"/>
      <c r="U4060" s="22"/>
      <c r="V4060" s="22"/>
      <c r="W4060" s="22"/>
      <c r="X4060" s="104"/>
      <c r="Y4060" s="195" t="str">
        <f t="shared" si="1270"/>
        <v/>
      </c>
      <c r="Z4060" s="196" t="str">
        <f t="shared" si="1271"/>
        <v/>
      </c>
      <c r="AA4060" s="22"/>
      <c r="AB4060" s="197" t="str">
        <f t="shared" si="1258"/>
        <v/>
      </c>
      <c r="AC4060" s="198" t="str">
        <f t="shared" si="1259"/>
        <v/>
      </c>
      <c r="AD4060" s="162"/>
      <c r="AE4060" s="199" t="str">
        <f t="shared" si="1260"/>
        <v/>
      </c>
      <c r="AF4060" s="199" t="str">
        <f>IF(AND(COUNTIFS($J$18:J4060,J4060)=1,AE4060=1),1,"")</f>
        <v/>
      </c>
      <c r="AG4060" s="199" t="str">
        <f>IF(C4060="","",IF(AND(COUNTIFS($J$18:J4060,J4060)=1,C4060&lt;&gt;""),1,""))</f>
        <v/>
      </c>
      <c r="AH4060" s="199" t="str">
        <f>IF(G4060="","",IF(AND(COUNTIFS($J$18:J4060,J4060)=1,G4060&lt;&gt;""),1,""))</f>
        <v/>
      </c>
      <c r="AI4060" s="200">
        <f t="shared" si="1261"/>
        <v>0</v>
      </c>
      <c r="AJ4060" s="200">
        <f t="shared" si="1262"/>
        <v>0</v>
      </c>
      <c r="AK4060" s="201" t="str">
        <f t="shared" si="1263"/>
        <v/>
      </c>
      <c r="AL4060" s="24"/>
      <c r="AM4060" s="24"/>
      <c r="AN4060" s="24"/>
      <c r="AO4060" s="24"/>
      <c r="AP4060" s="165" t="str">
        <f t="shared" si="1264"/>
        <v/>
      </c>
      <c r="AQ4060" s="203" t="str">
        <f t="shared" si="1265"/>
        <v/>
      </c>
      <c r="AR4060" s="206">
        <f t="shared" si="1266"/>
        <v>0</v>
      </c>
      <c r="AS4060" s="22" t="str">
        <f t="shared" si="1267"/>
        <v/>
      </c>
      <c r="AT4060" s="24" t="str">
        <f t="shared" si="1268"/>
        <v/>
      </c>
      <c r="AU4060" s="22" t="s">
        <v>3240</v>
      </c>
    </row>
    <row r="4061" spans="1:47">
      <c r="A4061" s="246" t="str">
        <f t="shared" si="1256"/>
        <v/>
      </c>
      <c r="B4061" s="23"/>
      <c r="C4061" s="23"/>
      <c r="D4061" s="202" t="str">
        <f t="shared" si="1257"/>
        <v/>
      </c>
      <c r="E4061" s="33" t="str">
        <f t="shared" si="1269"/>
        <v/>
      </c>
      <c r="F4061" s="23"/>
      <c r="G4061" s="23"/>
      <c r="H4061" s="29"/>
      <c r="I4061" s="204" t="str">
        <f t="shared" si="1254"/>
        <v/>
      </c>
      <c r="J4061" s="188"/>
      <c r="K4061" s="29"/>
      <c r="L4061" s="24"/>
      <c r="M4061" s="22"/>
      <c r="N4061" s="22"/>
      <c r="O4061" s="22"/>
      <c r="P4061" s="202" t="str">
        <f t="shared" si="1255"/>
        <v/>
      </c>
      <c r="Q4061" s="22"/>
      <c r="R4061" s="22"/>
      <c r="S4061" s="22"/>
      <c r="T4061" s="22"/>
      <c r="U4061" s="22"/>
      <c r="V4061" s="22"/>
      <c r="W4061" s="22"/>
      <c r="X4061" s="104"/>
      <c r="Y4061" s="195" t="str">
        <f t="shared" si="1270"/>
        <v/>
      </c>
      <c r="Z4061" s="196" t="str">
        <f t="shared" si="1271"/>
        <v/>
      </c>
      <c r="AA4061" s="22"/>
      <c r="AB4061" s="197" t="str">
        <f t="shared" si="1258"/>
        <v/>
      </c>
      <c r="AC4061" s="198" t="str">
        <f t="shared" si="1259"/>
        <v/>
      </c>
      <c r="AD4061" s="162"/>
      <c r="AE4061" s="199" t="str">
        <f t="shared" si="1260"/>
        <v/>
      </c>
      <c r="AF4061" s="199" t="str">
        <f>IF(AND(COUNTIFS($J$18:J4061,J4061)=1,AE4061=1),1,"")</f>
        <v/>
      </c>
      <c r="AG4061" s="199" t="str">
        <f>IF(C4061="","",IF(AND(COUNTIFS($J$18:J4061,J4061)=1,C4061&lt;&gt;""),1,""))</f>
        <v/>
      </c>
      <c r="AH4061" s="199" t="str">
        <f>IF(G4061="","",IF(AND(COUNTIFS($J$18:J4061,J4061)=1,G4061&lt;&gt;""),1,""))</f>
        <v/>
      </c>
      <c r="AI4061" s="200">
        <f t="shared" si="1261"/>
        <v>0</v>
      </c>
      <c r="AJ4061" s="200">
        <f t="shared" si="1262"/>
        <v>0</v>
      </c>
      <c r="AK4061" s="201" t="str">
        <f t="shared" si="1263"/>
        <v/>
      </c>
      <c r="AL4061" s="24"/>
      <c r="AM4061" s="24"/>
      <c r="AN4061" s="24"/>
      <c r="AO4061" s="24"/>
      <c r="AP4061" s="165" t="str">
        <f t="shared" si="1264"/>
        <v/>
      </c>
      <c r="AQ4061" s="203" t="str">
        <f t="shared" si="1265"/>
        <v/>
      </c>
      <c r="AR4061" s="206">
        <f t="shared" si="1266"/>
        <v>0</v>
      </c>
      <c r="AS4061" s="22" t="str">
        <f t="shared" si="1267"/>
        <v/>
      </c>
      <c r="AT4061" s="24" t="str">
        <f t="shared" si="1268"/>
        <v/>
      </c>
      <c r="AU4061" s="22" t="s">
        <v>3240</v>
      </c>
    </row>
    <row r="4062" spans="1:47">
      <c r="A4062" s="246" t="str">
        <f t="shared" si="1256"/>
        <v/>
      </c>
      <c r="B4062" s="23"/>
      <c r="C4062" s="23"/>
      <c r="D4062" s="202" t="str">
        <f t="shared" si="1257"/>
        <v/>
      </c>
      <c r="E4062" s="33" t="str">
        <f t="shared" si="1269"/>
        <v/>
      </c>
      <c r="F4062" s="23"/>
      <c r="G4062" s="23"/>
      <c r="H4062" s="29"/>
      <c r="I4062" s="204" t="str">
        <f t="shared" si="1254"/>
        <v/>
      </c>
      <c r="J4062" s="188"/>
      <c r="K4062" s="29"/>
      <c r="L4062" s="24"/>
      <c r="M4062" s="22"/>
      <c r="N4062" s="22"/>
      <c r="O4062" s="22"/>
      <c r="P4062" s="202" t="str">
        <f t="shared" si="1255"/>
        <v/>
      </c>
      <c r="Q4062" s="22"/>
      <c r="R4062" s="22"/>
      <c r="S4062" s="22"/>
      <c r="T4062" s="22"/>
      <c r="U4062" s="22"/>
      <c r="V4062" s="22"/>
      <c r="W4062" s="22"/>
      <c r="X4062" s="104"/>
      <c r="Y4062" s="195" t="str">
        <f t="shared" si="1270"/>
        <v/>
      </c>
      <c r="Z4062" s="196" t="str">
        <f t="shared" si="1271"/>
        <v/>
      </c>
      <c r="AA4062" s="22"/>
      <c r="AB4062" s="197" t="str">
        <f t="shared" si="1258"/>
        <v/>
      </c>
      <c r="AC4062" s="198" t="str">
        <f t="shared" si="1259"/>
        <v/>
      </c>
      <c r="AD4062" s="162"/>
      <c r="AE4062" s="199" t="str">
        <f t="shared" si="1260"/>
        <v/>
      </c>
      <c r="AF4062" s="199" t="str">
        <f>IF(AND(COUNTIFS($J$18:J4062,J4062)=1,AE4062=1),1,"")</f>
        <v/>
      </c>
      <c r="AG4062" s="199" t="str">
        <f>IF(C4062="","",IF(AND(COUNTIFS($J$18:J4062,J4062)=1,C4062&lt;&gt;""),1,""))</f>
        <v/>
      </c>
      <c r="AH4062" s="199" t="str">
        <f>IF(G4062="","",IF(AND(COUNTIFS($J$18:J4062,J4062)=1,G4062&lt;&gt;""),1,""))</f>
        <v/>
      </c>
      <c r="AI4062" s="200">
        <f t="shared" si="1261"/>
        <v>0</v>
      </c>
      <c r="AJ4062" s="200">
        <f t="shared" si="1262"/>
        <v>0</v>
      </c>
      <c r="AK4062" s="201" t="str">
        <f t="shared" si="1263"/>
        <v/>
      </c>
      <c r="AL4062" s="24"/>
      <c r="AM4062" s="24"/>
      <c r="AN4062" s="24"/>
      <c r="AO4062" s="24"/>
      <c r="AP4062" s="165" t="str">
        <f t="shared" si="1264"/>
        <v/>
      </c>
      <c r="AQ4062" s="203" t="str">
        <f t="shared" si="1265"/>
        <v/>
      </c>
      <c r="AR4062" s="206">
        <f t="shared" si="1266"/>
        <v>0</v>
      </c>
      <c r="AS4062" s="22" t="str">
        <f t="shared" si="1267"/>
        <v/>
      </c>
      <c r="AT4062" s="24" t="str">
        <f t="shared" si="1268"/>
        <v/>
      </c>
      <c r="AU4062" s="22" t="s">
        <v>3240</v>
      </c>
    </row>
    <row r="4063" spans="1:47">
      <c r="A4063" s="246" t="str">
        <f t="shared" si="1256"/>
        <v/>
      </c>
      <c r="B4063" s="23"/>
      <c r="C4063" s="23"/>
      <c r="D4063" s="202" t="str">
        <f t="shared" si="1257"/>
        <v/>
      </c>
      <c r="E4063" s="33" t="str">
        <f t="shared" si="1269"/>
        <v/>
      </c>
      <c r="F4063" s="23"/>
      <c r="G4063" s="23"/>
      <c r="H4063" s="29"/>
      <c r="I4063" s="204" t="str">
        <f t="shared" si="1254"/>
        <v/>
      </c>
      <c r="J4063" s="188"/>
      <c r="K4063" s="29"/>
      <c r="L4063" s="24"/>
      <c r="M4063" s="22"/>
      <c r="N4063" s="22"/>
      <c r="O4063" s="22"/>
      <c r="P4063" s="202" t="str">
        <f t="shared" si="1255"/>
        <v/>
      </c>
      <c r="Q4063" s="22"/>
      <c r="R4063" s="22"/>
      <c r="S4063" s="22"/>
      <c r="T4063" s="22"/>
      <c r="U4063" s="22"/>
      <c r="V4063" s="22"/>
      <c r="W4063" s="22"/>
      <c r="X4063" s="104"/>
      <c r="Y4063" s="195" t="str">
        <f t="shared" si="1270"/>
        <v/>
      </c>
      <c r="Z4063" s="196" t="str">
        <f t="shared" si="1271"/>
        <v/>
      </c>
      <c r="AA4063" s="22"/>
      <c r="AB4063" s="197" t="str">
        <f t="shared" si="1258"/>
        <v/>
      </c>
      <c r="AC4063" s="198" t="str">
        <f t="shared" si="1259"/>
        <v/>
      </c>
      <c r="AD4063" s="162"/>
      <c r="AE4063" s="199" t="str">
        <f t="shared" si="1260"/>
        <v/>
      </c>
      <c r="AF4063" s="199" t="str">
        <f>IF(AND(COUNTIFS($J$18:J4063,J4063)=1,AE4063=1),1,"")</f>
        <v/>
      </c>
      <c r="AG4063" s="199" t="str">
        <f>IF(C4063="","",IF(AND(COUNTIFS($J$18:J4063,J4063)=1,C4063&lt;&gt;""),1,""))</f>
        <v/>
      </c>
      <c r="AH4063" s="199" t="str">
        <f>IF(G4063="","",IF(AND(COUNTIFS($J$18:J4063,J4063)=1,G4063&lt;&gt;""),1,""))</f>
        <v/>
      </c>
      <c r="AI4063" s="200">
        <f t="shared" si="1261"/>
        <v>0</v>
      </c>
      <c r="AJ4063" s="200">
        <f t="shared" si="1262"/>
        <v>0</v>
      </c>
      <c r="AK4063" s="201" t="str">
        <f t="shared" si="1263"/>
        <v/>
      </c>
      <c r="AL4063" s="24"/>
      <c r="AM4063" s="24"/>
      <c r="AN4063" s="24"/>
      <c r="AO4063" s="24"/>
      <c r="AP4063" s="165" t="str">
        <f t="shared" si="1264"/>
        <v/>
      </c>
      <c r="AQ4063" s="203" t="str">
        <f t="shared" si="1265"/>
        <v/>
      </c>
      <c r="AR4063" s="206">
        <f t="shared" si="1266"/>
        <v>0</v>
      </c>
      <c r="AS4063" s="22" t="str">
        <f t="shared" si="1267"/>
        <v/>
      </c>
      <c r="AT4063" s="24" t="str">
        <f t="shared" si="1268"/>
        <v/>
      </c>
      <c r="AU4063" s="22" t="s">
        <v>3240</v>
      </c>
    </row>
    <row r="4064" spans="1:47">
      <c r="A4064" s="246" t="str">
        <f t="shared" si="1256"/>
        <v/>
      </c>
      <c r="B4064" s="23"/>
      <c r="C4064" s="23"/>
      <c r="D4064" s="202" t="str">
        <f t="shared" si="1257"/>
        <v/>
      </c>
      <c r="E4064" s="33" t="str">
        <f t="shared" si="1269"/>
        <v/>
      </c>
      <c r="F4064" s="23"/>
      <c r="G4064" s="23"/>
      <c r="H4064" s="29"/>
      <c r="I4064" s="204" t="str">
        <f t="shared" ref="I4064:I4127" si="1272">IFERROR(IF(F4064="","",IF(F4064="TBA","TBA",IF(F4064="Cancel","Cancel",IF(AND(G4064&gt;=10,G4064&lt;=12),"Q3",IF(AND(G4064&gt;=1,G4064&lt;=3),"Q4",IF(AND(G4064&gt;=7,G4064&lt;=9),"Q2",IF(AND(G4064&gt;=4,G4064&lt;=6),"Q1"))))))),"")</f>
        <v/>
      </c>
      <c r="J4064" s="188"/>
      <c r="K4064" s="29"/>
      <c r="L4064" s="24"/>
      <c r="M4064" s="22"/>
      <c r="N4064" s="22"/>
      <c r="O4064" s="22"/>
      <c r="P4064" s="202" t="str">
        <f t="shared" si="1255"/>
        <v/>
      </c>
      <c r="Q4064" s="22"/>
      <c r="R4064" s="22"/>
      <c r="S4064" s="22"/>
      <c r="T4064" s="22"/>
      <c r="U4064" s="22"/>
      <c r="V4064" s="22"/>
      <c r="W4064" s="22"/>
      <c r="X4064" s="104"/>
      <c r="Y4064" s="195" t="str">
        <f t="shared" si="1270"/>
        <v/>
      </c>
      <c r="Z4064" s="196" t="str">
        <f t="shared" si="1271"/>
        <v/>
      </c>
      <c r="AA4064" s="22"/>
      <c r="AB4064" s="197" t="str">
        <f t="shared" si="1258"/>
        <v/>
      </c>
      <c r="AC4064" s="198" t="str">
        <f t="shared" si="1259"/>
        <v/>
      </c>
      <c r="AD4064" s="162"/>
      <c r="AE4064" s="199" t="str">
        <f t="shared" si="1260"/>
        <v/>
      </c>
      <c r="AF4064" s="199" t="str">
        <f>IF(AND(COUNTIFS($J$18:J4064,J4064)=1,AE4064=1),1,"")</f>
        <v/>
      </c>
      <c r="AG4064" s="199" t="str">
        <f>IF(C4064="","",IF(AND(COUNTIFS($J$18:J4064,J4064)=1,C4064&lt;&gt;""),1,""))</f>
        <v/>
      </c>
      <c r="AH4064" s="199" t="str">
        <f>IF(G4064="","",IF(AND(COUNTIFS($J$18:J4064,J4064)=1,G4064&lt;&gt;""),1,""))</f>
        <v/>
      </c>
      <c r="AI4064" s="200">
        <f t="shared" si="1261"/>
        <v>0</v>
      </c>
      <c r="AJ4064" s="200">
        <f t="shared" si="1262"/>
        <v>0</v>
      </c>
      <c r="AK4064" s="201" t="str">
        <f t="shared" si="1263"/>
        <v/>
      </c>
      <c r="AL4064" s="24"/>
      <c r="AM4064" s="24"/>
      <c r="AN4064" s="24"/>
      <c r="AO4064" s="24"/>
      <c r="AP4064" s="165" t="str">
        <f t="shared" si="1264"/>
        <v/>
      </c>
      <c r="AQ4064" s="203" t="str">
        <f t="shared" si="1265"/>
        <v/>
      </c>
      <c r="AR4064" s="206">
        <f t="shared" si="1266"/>
        <v>0</v>
      </c>
      <c r="AS4064" s="22" t="str">
        <f t="shared" si="1267"/>
        <v/>
      </c>
      <c r="AT4064" s="24" t="str">
        <f t="shared" si="1268"/>
        <v/>
      </c>
      <c r="AU4064" s="22" t="s">
        <v>3240</v>
      </c>
    </row>
    <row r="4065" spans="1:47">
      <c r="A4065" s="246" t="str">
        <f t="shared" si="1256"/>
        <v/>
      </c>
      <c r="B4065" s="23"/>
      <c r="C4065" s="23"/>
      <c r="D4065" s="202" t="str">
        <f t="shared" si="1257"/>
        <v/>
      </c>
      <c r="E4065" s="33" t="str">
        <f t="shared" si="1269"/>
        <v/>
      </c>
      <c r="F4065" s="23"/>
      <c r="G4065" s="23"/>
      <c r="H4065" s="29"/>
      <c r="I4065" s="204" t="str">
        <f t="shared" si="1272"/>
        <v/>
      </c>
      <c r="J4065" s="188"/>
      <c r="K4065" s="29"/>
      <c r="L4065" s="24"/>
      <c r="M4065" s="22"/>
      <c r="N4065" s="22"/>
      <c r="O4065" s="22"/>
      <c r="P4065" s="202" t="str">
        <f t="shared" ref="P4065:P4128" si="1273">IF(M4065="","",IF(AND(N4065&gt;0,L4065&lt;&gt;""),"MAIN UNIT",IF(AND(O4065&gt;0,L4065&lt;&gt;""),"SERVICE/ PARTS","C66 SERVICE/OTHERS")))</f>
        <v/>
      </c>
      <c r="Q4065" s="22"/>
      <c r="R4065" s="22"/>
      <c r="S4065" s="22"/>
      <c r="T4065" s="22"/>
      <c r="U4065" s="22"/>
      <c r="V4065" s="22"/>
      <c r="W4065" s="22"/>
      <c r="X4065" s="104"/>
      <c r="Y4065" s="195" t="str">
        <f t="shared" si="1270"/>
        <v/>
      </c>
      <c r="Z4065" s="196" t="str">
        <f t="shared" si="1271"/>
        <v/>
      </c>
      <c r="AA4065" s="22"/>
      <c r="AB4065" s="197" t="str">
        <f t="shared" si="1258"/>
        <v/>
      </c>
      <c r="AC4065" s="198" t="str">
        <f t="shared" si="1259"/>
        <v/>
      </c>
      <c r="AD4065" s="162"/>
      <c r="AE4065" s="199" t="str">
        <f t="shared" si="1260"/>
        <v/>
      </c>
      <c r="AF4065" s="199" t="str">
        <f>IF(AND(COUNTIFS($J$18:J4065,J4065)=1,AE4065=1),1,"")</f>
        <v/>
      </c>
      <c r="AG4065" s="199" t="str">
        <f>IF(C4065="","",IF(AND(COUNTIFS($J$18:J4065,J4065)=1,C4065&lt;&gt;""),1,""))</f>
        <v/>
      </c>
      <c r="AH4065" s="199" t="str">
        <f>IF(G4065="","",IF(AND(COUNTIFS($J$18:J4065,J4065)=1,G4065&lt;&gt;""),1,""))</f>
        <v/>
      </c>
      <c r="AI4065" s="200">
        <f t="shared" si="1261"/>
        <v>0</v>
      </c>
      <c r="AJ4065" s="200">
        <f t="shared" si="1262"/>
        <v>0</v>
      </c>
      <c r="AK4065" s="201" t="str">
        <f t="shared" si="1263"/>
        <v/>
      </c>
      <c r="AL4065" s="24"/>
      <c r="AM4065" s="24"/>
      <c r="AN4065" s="24"/>
      <c r="AO4065" s="24"/>
      <c r="AP4065" s="165" t="str">
        <f t="shared" si="1264"/>
        <v/>
      </c>
      <c r="AQ4065" s="203" t="str">
        <f t="shared" si="1265"/>
        <v/>
      </c>
      <c r="AR4065" s="206">
        <f t="shared" si="1266"/>
        <v>0</v>
      </c>
      <c r="AS4065" s="22" t="str">
        <f t="shared" si="1267"/>
        <v/>
      </c>
      <c r="AT4065" s="24" t="str">
        <f t="shared" si="1268"/>
        <v/>
      </c>
      <c r="AU4065" s="22" t="s">
        <v>3240</v>
      </c>
    </row>
    <row r="4066" spans="1:47">
      <c r="A4066" s="246" t="str">
        <f t="shared" ref="A4066:A4129" si="1274">IF(C4066="cancel","cancel",IFERROR(IF(D4066="Q4","FY "&amp;RIGHT(B4066,2)-1&amp;"/"&amp;RIGHT(B4066,2),"FY "&amp;RIGHT(B4066,2)&amp;"/"&amp;RIGHT(B4066,2)+1),""))</f>
        <v/>
      </c>
      <c r="B4066" s="23"/>
      <c r="C4066" s="23"/>
      <c r="D4066" s="202" t="str">
        <f t="shared" ref="D4066:D4129" si="1275">IF(B4066="","",IF(AND(C4066&gt;=10,C4066&lt;=12),"Q3",IF(AND(C4066&gt;=1,C4066&lt;=3),"Q4",IF(AND(C4066&gt;=7,C4066&lt;=9),"Q2",IF(AND(C4066&gt;=4,C4066&lt;=6),"Q1")))))</f>
        <v/>
      </c>
      <c r="E4066" s="33" t="str">
        <f t="shared" si="1269"/>
        <v/>
      </c>
      <c r="F4066" s="23"/>
      <c r="G4066" s="23"/>
      <c r="H4066" s="29"/>
      <c r="I4066" s="204" t="str">
        <f t="shared" si="1272"/>
        <v/>
      </c>
      <c r="J4066" s="188"/>
      <c r="K4066" s="29"/>
      <c r="L4066" s="24"/>
      <c r="M4066" s="22"/>
      <c r="N4066" s="22"/>
      <c r="O4066" s="22"/>
      <c r="P4066" s="202" t="str">
        <f t="shared" si="1273"/>
        <v/>
      </c>
      <c r="Q4066" s="22"/>
      <c r="R4066" s="22"/>
      <c r="S4066" s="22"/>
      <c r="T4066" s="22"/>
      <c r="U4066" s="22"/>
      <c r="V4066" s="22"/>
      <c r="W4066" s="22"/>
      <c r="X4066" s="104"/>
      <c r="Y4066" s="195" t="str">
        <f t="shared" si="1270"/>
        <v/>
      </c>
      <c r="Z4066" s="196" t="str">
        <f t="shared" si="1271"/>
        <v/>
      </c>
      <c r="AA4066" s="22"/>
      <c r="AB4066" s="197" t="str">
        <f t="shared" ref="AB4066:AB4129" si="1276">IF(AND(R4066&lt;&gt;"C66",R4066&lt;&gt;""),Z4066/Y4066*AA4066,"")</f>
        <v/>
      </c>
      <c r="AC4066" s="198" t="str">
        <f t="shared" ref="AC4066:AC4129" si="1277">IF(R4066&lt;&gt;"",AB4066*AD4066,"")</f>
        <v/>
      </c>
      <c r="AD4066" s="162"/>
      <c r="AE4066" s="199" t="str">
        <f t="shared" ref="AE4066:AE4129" si="1278">IF(Q4066="","",IF(Q4066="Yes",1,0))</f>
        <v/>
      </c>
      <c r="AF4066" s="199" t="str">
        <f>IF(AND(COUNTIFS($J$18:J4066,J4066)=1,AE4066=1),1,"")</f>
        <v/>
      </c>
      <c r="AG4066" s="199" t="str">
        <f>IF(C4066="","",IF(AND(COUNTIFS($J$18:J4066,J4066)=1,C4066&lt;&gt;""),1,""))</f>
        <v/>
      </c>
      <c r="AH4066" s="199" t="str">
        <f>IF(G4066="","",IF(AND(COUNTIFS($J$18:J4066,J4066)=1,G4066&lt;&gt;""),1,""))</f>
        <v/>
      </c>
      <c r="AI4066" s="200">
        <f t="shared" ref="AI4066:AI4129" si="1279">IF(P4066="C66 SERVICE","",SUMIFS(AB:AB,F:F,F4066,G:G,G4066,E:E,E4066))</f>
        <v>0</v>
      </c>
      <c r="AJ4066" s="200">
        <f t="shared" ref="AJ4066:AJ4129" si="1280">IF(P4066="C66 SERVICE","",SUMIFS(AC:AC,F:F,F4066,G:G,G4066,E:E,E4066))</f>
        <v>0</v>
      </c>
      <c r="AK4066" s="201" t="str">
        <f t="shared" ref="AK4066:AK4129" si="1281">IF(AJ4066&gt;0,AJ4066/AI4066,"")</f>
        <v/>
      </c>
      <c r="AL4066" s="24"/>
      <c r="AM4066" s="24"/>
      <c r="AN4066" s="24"/>
      <c r="AO4066" s="24"/>
      <c r="AP4066" s="165" t="str">
        <f t="shared" ref="AP4066:AP4129" si="1282">IF(F4066="","",F4066&amp;G4066)</f>
        <v/>
      </c>
      <c r="AQ4066" s="203" t="str">
        <f t="shared" ref="AQ4066:AQ4129" si="1283">IF(W4066="","",F4066&amp;G4066&amp;W4066)</f>
        <v/>
      </c>
      <c r="AR4066" s="206">
        <f t="shared" ref="AR4066:AR4129" si="1284">IFERROR(IF(AND(M4066="YAMAHA", R4066="C28"), "YAMAHA_Non_Mounter", IF(AND(M4066="YAMAHA", R4066="C49"), "YAMAHA_Mounter", M4066)),"")</f>
        <v>0</v>
      </c>
      <c r="AS4066" s="22" t="str">
        <f t="shared" ref="AS4066:AS4129" si="1285">IFERROR(IF(OR(G4066="TBA", G4066=""), "", DATEDIF(DATE(B4066, C4066, 1), DATE(F4066, G4066, 1), "M")),"")</f>
        <v/>
      </c>
      <c r="AT4066" s="24" t="str">
        <f t="shared" ref="AT4066:AT4129" si="1286">IF(ISNUMBER(AS4066), IF(AS4066&gt;=0, IF(AS4066&lt;=3, "0-3 months", IF(AS4066&lt;=6, "4-6 months", "&gt; 6 months"))), "")</f>
        <v/>
      </c>
      <c r="AU4066" s="22" t="s">
        <v>3240</v>
      </c>
    </row>
    <row r="4067" spans="1:47">
      <c r="A4067" s="246" t="str">
        <f t="shared" si="1274"/>
        <v/>
      </c>
      <c r="B4067" s="23"/>
      <c r="C4067" s="23"/>
      <c r="D4067" s="202" t="str">
        <f t="shared" si="1275"/>
        <v/>
      </c>
      <c r="E4067" s="33" t="str">
        <f t="shared" si="1269"/>
        <v/>
      </c>
      <c r="F4067" s="23"/>
      <c r="G4067" s="23"/>
      <c r="H4067" s="29"/>
      <c r="I4067" s="204" t="str">
        <f t="shared" si="1272"/>
        <v/>
      </c>
      <c r="J4067" s="188"/>
      <c r="K4067" s="29"/>
      <c r="L4067" s="24"/>
      <c r="M4067" s="22"/>
      <c r="N4067" s="22"/>
      <c r="O4067" s="22"/>
      <c r="P4067" s="202" t="str">
        <f t="shared" si="1273"/>
        <v/>
      </c>
      <c r="Q4067" s="22"/>
      <c r="R4067" s="22"/>
      <c r="S4067" s="22"/>
      <c r="T4067" s="22"/>
      <c r="U4067" s="22"/>
      <c r="V4067" s="22"/>
      <c r="W4067" s="22"/>
      <c r="X4067" s="104"/>
      <c r="Y4067" s="195" t="str">
        <f t="shared" si="1270"/>
        <v/>
      </c>
      <c r="Z4067" s="196" t="str">
        <f t="shared" si="1271"/>
        <v/>
      </c>
      <c r="AA4067" s="22"/>
      <c r="AB4067" s="197" t="str">
        <f t="shared" si="1276"/>
        <v/>
      </c>
      <c r="AC4067" s="198" t="str">
        <f t="shared" si="1277"/>
        <v/>
      </c>
      <c r="AD4067" s="162"/>
      <c r="AE4067" s="199" t="str">
        <f t="shared" si="1278"/>
        <v/>
      </c>
      <c r="AF4067" s="199" t="str">
        <f>IF(AND(COUNTIFS($J$18:J4067,J4067)=1,AE4067=1),1,"")</f>
        <v/>
      </c>
      <c r="AG4067" s="199" t="str">
        <f>IF(C4067="","",IF(AND(COUNTIFS($J$18:J4067,J4067)=1,C4067&lt;&gt;""),1,""))</f>
        <v/>
      </c>
      <c r="AH4067" s="199" t="str">
        <f>IF(G4067="","",IF(AND(COUNTIFS($J$18:J4067,J4067)=1,G4067&lt;&gt;""),1,""))</f>
        <v/>
      </c>
      <c r="AI4067" s="200">
        <f t="shared" si="1279"/>
        <v>0</v>
      </c>
      <c r="AJ4067" s="200">
        <f t="shared" si="1280"/>
        <v>0</v>
      </c>
      <c r="AK4067" s="201" t="str">
        <f t="shared" si="1281"/>
        <v/>
      </c>
      <c r="AL4067" s="24"/>
      <c r="AM4067" s="24"/>
      <c r="AN4067" s="24"/>
      <c r="AO4067" s="24"/>
      <c r="AP4067" s="165" t="str">
        <f t="shared" si="1282"/>
        <v/>
      </c>
      <c r="AQ4067" s="203" t="str">
        <f t="shared" si="1283"/>
        <v/>
      </c>
      <c r="AR4067" s="206">
        <f t="shared" si="1284"/>
        <v>0</v>
      </c>
      <c r="AS4067" s="22" t="str">
        <f t="shared" si="1285"/>
        <v/>
      </c>
      <c r="AT4067" s="24" t="str">
        <f t="shared" si="1286"/>
        <v/>
      </c>
      <c r="AU4067" s="22" t="s">
        <v>3240</v>
      </c>
    </row>
    <row r="4068" spans="1:47">
      <c r="A4068" s="246" t="str">
        <f t="shared" si="1274"/>
        <v/>
      </c>
      <c r="B4068" s="23"/>
      <c r="C4068" s="23"/>
      <c r="D4068" s="202" t="str">
        <f t="shared" si="1275"/>
        <v/>
      </c>
      <c r="E4068" s="33" t="str">
        <f t="shared" si="1269"/>
        <v/>
      </c>
      <c r="F4068" s="23"/>
      <c r="G4068" s="23"/>
      <c r="H4068" s="29"/>
      <c r="I4068" s="204" t="str">
        <f t="shared" si="1272"/>
        <v/>
      </c>
      <c r="J4068" s="188"/>
      <c r="K4068" s="29"/>
      <c r="L4068" s="24"/>
      <c r="M4068" s="22"/>
      <c r="N4068" s="22"/>
      <c r="O4068" s="22"/>
      <c r="P4068" s="202" t="str">
        <f t="shared" si="1273"/>
        <v/>
      </c>
      <c r="Q4068" s="22"/>
      <c r="R4068" s="22"/>
      <c r="S4068" s="22"/>
      <c r="T4068" s="22"/>
      <c r="U4068" s="22"/>
      <c r="V4068" s="22"/>
      <c r="W4068" s="22"/>
      <c r="X4068" s="104"/>
      <c r="Y4068" s="195" t="str">
        <f t="shared" si="1270"/>
        <v/>
      </c>
      <c r="Z4068" s="196" t="str">
        <f t="shared" si="1271"/>
        <v/>
      </c>
      <c r="AA4068" s="22"/>
      <c r="AB4068" s="197" t="str">
        <f t="shared" si="1276"/>
        <v/>
      </c>
      <c r="AC4068" s="198" t="str">
        <f t="shared" si="1277"/>
        <v/>
      </c>
      <c r="AD4068" s="162"/>
      <c r="AE4068" s="199" t="str">
        <f t="shared" si="1278"/>
        <v/>
      </c>
      <c r="AF4068" s="199" t="str">
        <f>IF(AND(COUNTIFS($J$18:J4068,J4068)=1,AE4068=1),1,"")</f>
        <v/>
      </c>
      <c r="AG4068" s="199" t="str">
        <f>IF(C4068="","",IF(AND(COUNTIFS($J$18:J4068,J4068)=1,C4068&lt;&gt;""),1,""))</f>
        <v/>
      </c>
      <c r="AH4068" s="199" t="str">
        <f>IF(G4068="","",IF(AND(COUNTIFS($J$18:J4068,J4068)=1,G4068&lt;&gt;""),1,""))</f>
        <v/>
      </c>
      <c r="AI4068" s="200">
        <f t="shared" si="1279"/>
        <v>0</v>
      </c>
      <c r="AJ4068" s="200">
        <f t="shared" si="1280"/>
        <v>0</v>
      </c>
      <c r="AK4068" s="201" t="str">
        <f t="shared" si="1281"/>
        <v/>
      </c>
      <c r="AL4068" s="24"/>
      <c r="AM4068" s="24"/>
      <c r="AN4068" s="24"/>
      <c r="AO4068" s="24"/>
      <c r="AP4068" s="165" t="str">
        <f t="shared" si="1282"/>
        <v/>
      </c>
      <c r="AQ4068" s="203" t="str">
        <f t="shared" si="1283"/>
        <v/>
      </c>
      <c r="AR4068" s="206">
        <f t="shared" si="1284"/>
        <v>0</v>
      </c>
      <c r="AS4068" s="22" t="str">
        <f t="shared" si="1285"/>
        <v/>
      </c>
      <c r="AT4068" s="24" t="str">
        <f t="shared" si="1286"/>
        <v/>
      </c>
      <c r="AU4068" s="22" t="s">
        <v>3240</v>
      </c>
    </row>
    <row r="4069" spans="1:47">
      <c r="A4069" s="246" t="str">
        <f t="shared" si="1274"/>
        <v/>
      </c>
      <c r="B4069" s="23"/>
      <c r="C4069" s="23"/>
      <c r="D4069" s="202" t="str">
        <f t="shared" si="1275"/>
        <v/>
      </c>
      <c r="E4069" s="33" t="str">
        <f t="shared" si="1269"/>
        <v/>
      </c>
      <c r="F4069" s="23"/>
      <c r="G4069" s="23"/>
      <c r="H4069" s="29"/>
      <c r="I4069" s="204" t="str">
        <f t="shared" si="1272"/>
        <v/>
      </c>
      <c r="J4069" s="188"/>
      <c r="K4069" s="29"/>
      <c r="L4069" s="24"/>
      <c r="M4069" s="22"/>
      <c r="N4069" s="22"/>
      <c r="O4069" s="22"/>
      <c r="P4069" s="202" t="str">
        <f t="shared" si="1273"/>
        <v/>
      </c>
      <c r="Q4069" s="22"/>
      <c r="R4069" s="22"/>
      <c r="S4069" s="22"/>
      <c r="T4069" s="22"/>
      <c r="U4069" s="22"/>
      <c r="V4069" s="22"/>
      <c r="W4069" s="22"/>
      <c r="X4069" s="104"/>
      <c r="Y4069" s="195" t="str">
        <f t="shared" si="1270"/>
        <v/>
      </c>
      <c r="Z4069" s="196" t="str">
        <f t="shared" si="1271"/>
        <v/>
      </c>
      <c r="AA4069" s="22"/>
      <c r="AB4069" s="197" t="str">
        <f t="shared" si="1276"/>
        <v/>
      </c>
      <c r="AC4069" s="198" t="str">
        <f t="shared" si="1277"/>
        <v/>
      </c>
      <c r="AD4069" s="162"/>
      <c r="AE4069" s="199" t="str">
        <f t="shared" si="1278"/>
        <v/>
      </c>
      <c r="AF4069" s="199" t="str">
        <f>IF(AND(COUNTIFS($J$18:J4069,J4069)=1,AE4069=1),1,"")</f>
        <v/>
      </c>
      <c r="AG4069" s="199" t="str">
        <f>IF(C4069="","",IF(AND(COUNTIFS($J$18:J4069,J4069)=1,C4069&lt;&gt;""),1,""))</f>
        <v/>
      </c>
      <c r="AH4069" s="199" t="str">
        <f>IF(G4069="","",IF(AND(COUNTIFS($J$18:J4069,J4069)=1,G4069&lt;&gt;""),1,""))</f>
        <v/>
      </c>
      <c r="AI4069" s="200">
        <f t="shared" si="1279"/>
        <v>0</v>
      </c>
      <c r="AJ4069" s="200">
        <f t="shared" si="1280"/>
        <v>0</v>
      </c>
      <c r="AK4069" s="201" t="str">
        <f t="shared" si="1281"/>
        <v/>
      </c>
      <c r="AL4069" s="24"/>
      <c r="AM4069" s="24"/>
      <c r="AN4069" s="24"/>
      <c r="AO4069" s="24"/>
      <c r="AP4069" s="165" t="str">
        <f t="shared" si="1282"/>
        <v/>
      </c>
      <c r="AQ4069" s="203" t="str">
        <f t="shared" si="1283"/>
        <v/>
      </c>
      <c r="AR4069" s="206">
        <f t="shared" si="1284"/>
        <v>0</v>
      </c>
      <c r="AS4069" s="22" t="str">
        <f t="shared" si="1285"/>
        <v/>
      </c>
      <c r="AT4069" s="24" t="str">
        <f t="shared" si="1286"/>
        <v/>
      </c>
      <c r="AU4069" s="22" t="s">
        <v>3240</v>
      </c>
    </row>
    <row r="4070" spans="1:47">
      <c r="A4070" s="246" t="str">
        <f t="shared" si="1274"/>
        <v/>
      </c>
      <c r="B4070" s="23"/>
      <c r="C4070" s="23"/>
      <c r="D4070" s="202" t="str">
        <f t="shared" si="1275"/>
        <v/>
      </c>
      <c r="E4070" s="33" t="str">
        <f t="shared" si="1269"/>
        <v/>
      </c>
      <c r="F4070" s="23"/>
      <c r="G4070" s="23"/>
      <c r="H4070" s="29"/>
      <c r="I4070" s="204" t="str">
        <f t="shared" si="1272"/>
        <v/>
      </c>
      <c r="J4070" s="188"/>
      <c r="K4070" s="29"/>
      <c r="L4070" s="24"/>
      <c r="M4070" s="22"/>
      <c r="N4070" s="22"/>
      <c r="O4070" s="22"/>
      <c r="P4070" s="202" t="str">
        <f t="shared" si="1273"/>
        <v/>
      </c>
      <c r="Q4070" s="22"/>
      <c r="R4070" s="22"/>
      <c r="S4070" s="22"/>
      <c r="T4070" s="22"/>
      <c r="U4070" s="22"/>
      <c r="V4070" s="22"/>
      <c r="W4070" s="22"/>
      <c r="X4070" s="104"/>
      <c r="Y4070" s="195" t="str">
        <f t="shared" si="1270"/>
        <v/>
      </c>
      <c r="Z4070" s="196" t="str">
        <f t="shared" si="1271"/>
        <v/>
      </c>
      <c r="AA4070" s="22"/>
      <c r="AB4070" s="197" t="str">
        <f t="shared" si="1276"/>
        <v/>
      </c>
      <c r="AC4070" s="198" t="str">
        <f t="shared" si="1277"/>
        <v/>
      </c>
      <c r="AD4070" s="162"/>
      <c r="AE4070" s="199" t="str">
        <f t="shared" si="1278"/>
        <v/>
      </c>
      <c r="AF4070" s="199" t="str">
        <f>IF(AND(COUNTIFS($J$18:J4070,J4070)=1,AE4070=1),1,"")</f>
        <v/>
      </c>
      <c r="AG4070" s="199" t="str">
        <f>IF(C4070="","",IF(AND(COUNTIFS($J$18:J4070,J4070)=1,C4070&lt;&gt;""),1,""))</f>
        <v/>
      </c>
      <c r="AH4070" s="199" t="str">
        <f>IF(G4070="","",IF(AND(COUNTIFS($J$18:J4070,J4070)=1,G4070&lt;&gt;""),1,""))</f>
        <v/>
      </c>
      <c r="AI4070" s="200">
        <f t="shared" si="1279"/>
        <v>0</v>
      </c>
      <c r="AJ4070" s="200">
        <f t="shared" si="1280"/>
        <v>0</v>
      </c>
      <c r="AK4070" s="201" t="str">
        <f t="shared" si="1281"/>
        <v/>
      </c>
      <c r="AL4070" s="24"/>
      <c r="AM4070" s="24"/>
      <c r="AN4070" s="24"/>
      <c r="AO4070" s="24"/>
      <c r="AP4070" s="165" t="str">
        <f t="shared" si="1282"/>
        <v/>
      </c>
      <c r="AQ4070" s="203" t="str">
        <f t="shared" si="1283"/>
        <v/>
      </c>
      <c r="AR4070" s="206">
        <f t="shared" si="1284"/>
        <v>0</v>
      </c>
      <c r="AS4070" s="22" t="str">
        <f t="shared" si="1285"/>
        <v/>
      </c>
      <c r="AT4070" s="24" t="str">
        <f t="shared" si="1286"/>
        <v/>
      </c>
      <c r="AU4070" s="22" t="s">
        <v>3240</v>
      </c>
    </row>
    <row r="4071" spans="1:47">
      <c r="A4071" s="246" t="str">
        <f t="shared" si="1274"/>
        <v/>
      </c>
      <c r="B4071" s="23"/>
      <c r="C4071" s="23"/>
      <c r="D4071" s="202" t="str">
        <f t="shared" si="1275"/>
        <v/>
      </c>
      <c r="E4071" s="33" t="str">
        <f t="shared" si="1269"/>
        <v/>
      </c>
      <c r="F4071" s="23"/>
      <c r="G4071" s="23"/>
      <c r="H4071" s="29"/>
      <c r="I4071" s="204" t="str">
        <f t="shared" si="1272"/>
        <v/>
      </c>
      <c r="J4071" s="188"/>
      <c r="K4071" s="29"/>
      <c r="L4071" s="24"/>
      <c r="M4071" s="22"/>
      <c r="N4071" s="22"/>
      <c r="O4071" s="22"/>
      <c r="P4071" s="202" t="str">
        <f t="shared" si="1273"/>
        <v/>
      </c>
      <c r="Q4071" s="22"/>
      <c r="R4071" s="22"/>
      <c r="S4071" s="22"/>
      <c r="T4071" s="22"/>
      <c r="U4071" s="22"/>
      <c r="V4071" s="22"/>
      <c r="W4071" s="22"/>
      <c r="X4071" s="104"/>
      <c r="Y4071" s="195" t="str">
        <f t="shared" si="1270"/>
        <v/>
      </c>
      <c r="Z4071" s="196" t="str">
        <f t="shared" si="1271"/>
        <v/>
      </c>
      <c r="AA4071" s="22"/>
      <c r="AB4071" s="197" t="str">
        <f t="shared" si="1276"/>
        <v/>
      </c>
      <c r="AC4071" s="198" t="str">
        <f t="shared" si="1277"/>
        <v/>
      </c>
      <c r="AD4071" s="162"/>
      <c r="AE4071" s="199" t="str">
        <f t="shared" si="1278"/>
        <v/>
      </c>
      <c r="AF4071" s="199" t="str">
        <f>IF(AND(COUNTIFS($J$18:J4071,J4071)=1,AE4071=1),1,"")</f>
        <v/>
      </c>
      <c r="AG4071" s="199" t="str">
        <f>IF(C4071="","",IF(AND(COUNTIFS($J$18:J4071,J4071)=1,C4071&lt;&gt;""),1,""))</f>
        <v/>
      </c>
      <c r="AH4071" s="199" t="str">
        <f>IF(G4071="","",IF(AND(COUNTIFS($J$18:J4071,J4071)=1,G4071&lt;&gt;""),1,""))</f>
        <v/>
      </c>
      <c r="AI4071" s="200">
        <f t="shared" si="1279"/>
        <v>0</v>
      </c>
      <c r="AJ4071" s="200">
        <f t="shared" si="1280"/>
        <v>0</v>
      </c>
      <c r="AK4071" s="201" t="str">
        <f t="shared" si="1281"/>
        <v/>
      </c>
      <c r="AL4071" s="24"/>
      <c r="AM4071" s="24"/>
      <c r="AN4071" s="24"/>
      <c r="AO4071" s="24"/>
      <c r="AP4071" s="165" t="str">
        <f t="shared" si="1282"/>
        <v/>
      </c>
      <c r="AQ4071" s="203" t="str">
        <f t="shared" si="1283"/>
        <v/>
      </c>
      <c r="AR4071" s="206">
        <f t="shared" si="1284"/>
        <v>0</v>
      </c>
      <c r="AS4071" s="22" t="str">
        <f t="shared" si="1285"/>
        <v/>
      </c>
      <c r="AT4071" s="24" t="str">
        <f t="shared" si="1286"/>
        <v/>
      </c>
      <c r="AU4071" s="22" t="s">
        <v>3240</v>
      </c>
    </row>
    <row r="4072" spans="1:47">
      <c r="A4072" s="246" t="str">
        <f t="shared" si="1274"/>
        <v/>
      </c>
      <c r="B4072" s="23"/>
      <c r="C4072" s="23"/>
      <c r="D4072" s="202" t="str">
        <f t="shared" si="1275"/>
        <v/>
      </c>
      <c r="E4072" s="33" t="str">
        <f t="shared" si="1269"/>
        <v/>
      </c>
      <c r="F4072" s="23"/>
      <c r="G4072" s="23"/>
      <c r="H4072" s="29"/>
      <c r="I4072" s="204" t="str">
        <f t="shared" si="1272"/>
        <v/>
      </c>
      <c r="J4072" s="188"/>
      <c r="K4072" s="29"/>
      <c r="L4072" s="24"/>
      <c r="M4072" s="22"/>
      <c r="N4072" s="22"/>
      <c r="O4072" s="22"/>
      <c r="P4072" s="202" t="str">
        <f t="shared" si="1273"/>
        <v/>
      </c>
      <c r="Q4072" s="22"/>
      <c r="R4072" s="22"/>
      <c r="S4072" s="22"/>
      <c r="T4072" s="22"/>
      <c r="U4072" s="22"/>
      <c r="V4072" s="22"/>
      <c r="W4072" s="22"/>
      <c r="X4072" s="104"/>
      <c r="Y4072" s="195" t="str">
        <f t="shared" si="1270"/>
        <v/>
      </c>
      <c r="Z4072" s="196" t="str">
        <f t="shared" si="1271"/>
        <v/>
      </c>
      <c r="AA4072" s="22"/>
      <c r="AB4072" s="197" t="str">
        <f t="shared" si="1276"/>
        <v/>
      </c>
      <c r="AC4072" s="198" t="str">
        <f t="shared" si="1277"/>
        <v/>
      </c>
      <c r="AD4072" s="162"/>
      <c r="AE4072" s="199" t="str">
        <f t="shared" si="1278"/>
        <v/>
      </c>
      <c r="AF4072" s="199" t="str">
        <f>IF(AND(COUNTIFS($J$18:J4072,J4072)=1,AE4072=1),1,"")</f>
        <v/>
      </c>
      <c r="AG4072" s="199" t="str">
        <f>IF(C4072="","",IF(AND(COUNTIFS($J$18:J4072,J4072)=1,C4072&lt;&gt;""),1,""))</f>
        <v/>
      </c>
      <c r="AH4072" s="199" t="str">
        <f>IF(G4072="","",IF(AND(COUNTIFS($J$18:J4072,J4072)=1,G4072&lt;&gt;""),1,""))</f>
        <v/>
      </c>
      <c r="AI4072" s="200">
        <f t="shared" si="1279"/>
        <v>0</v>
      </c>
      <c r="AJ4072" s="200">
        <f t="shared" si="1280"/>
        <v>0</v>
      </c>
      <c r="AK4072" s="201" t="str">
        <f t="shared" si="1281"/>
        <v/>
      </c>
      <c r="AL4072" s="24"/>
      <c r="AM4072" s="24"/>
      <c r="AN4072" s="24"/>
      <c r="AO4072" s="24"/>
      <c r="AP4072" s="165" t="str">
        <f t="shared" si="1282"/>
        <v/>
      </c>
      <c r="AQ4072" s="203" t="str">
        <f t="shared" si="1283"/>
        <v/>
      </c>
      <c r="AR4072" s="206">
        <f t="shared" si="1284"/>
        <v>0</v>
      </c>
      <c r="AS4072" s="22" t="str">
        <f t="shared" si="1285"/>
        <v/>
      </c>
      <c r="AT4072" s="24" t="str">
        <f t="shared" si="1286"/>
        <v/>
      </c>
      <c r="AU4072" s="22" t="s">
        <v>3240</v>
      </c>
    </row>
    <row r="4073" spans="1:47">
      <c r="A4073" s="246" t="str">
        <f t="shared" si="1274"/>
        <v/>
      </c>
      <c r="B4073" s="23"/>
      <c r="C4073" s="23"/>
      <c r="D4073" s="202" t="str">
        <f t="shared" si="1275"/>
        <v/>
      </c>
      <c r="E4073" s="33" t="str">
        <f t="shared" si="1269"/>
        <v/>
      </c>
      <c r="F4073" s="23"/>
      <c r="G4073" s="23"/>
      <c r="H4073" s="29"/>
      <c r="I4073" s="204" t="str">
        <f t="shared" si="1272"/>
        <v/>
      </c>
      <c r="J4073" s="188"/>
      <c r="K4073" s="29"/>
      <c r="L4073" s="24"/>
      <c r="M4073" s="22"/>
      <c r="N4073" s="22"/>
      <c r="O4073" s="22"/>
      <c r="P4073" s="202" t="str">
        <f t="shared" si="1273"/>
        <v/>
      </c>
      <c r="Q4073" s="22"/>
      <c r="R4073" s="22"/>
      <c r="S4073" s="22"/>
      <c r="T4073" s="22"/>
      <c r="U4073" s="22"/>
      <c r="V4073" s="22"/>
      <c r="W4073" s="22"/>
      <c r="X4073" s="104"/>
      <c r="Y4073" s="195" t="str">
        <f t="shared" si="1270"/>
        <v/>
      </c>
      <c r="Z4073" s="196" t="str">
        <f t="shared" si="1271"/>
        <v/>
      </c>
      <c r="AA4073" s="22"/>
      <c r="AB4073" s="197" t="str">
        <f t="shared" si="1276"/>
        <v/>
      </c>
      <c r="AC4073" s="198" t="str">
        <f t="shared" si="1277"/>
        <v/>
      </c>
      <c r="AD4073" s="162"/>
      <c r="AE4073" s="199" t="str">
        <f t="shared" si="1278"/>
        <v/>
      </c>
      <c r="AF4073" s="199" t="str">
        <f>IF(AND(COUNTIFS($J$18:J4073,J4073)=1,AE4073=1),1,"")</f>
        <v/>
      </c>
      <c r="AG4073" s="199" t="str">
        <f>IF(C4073="","",IF(AND(COUNTIFS($J$18:J4073,J4073)=1,C4073&lt;&gt;""),1,""))</f>
        <v/>
      </c>
      <c r="AH4073" s="199" t="str">
        <f>IF(G4073="","",IF(AND(COUNTIFS($J$18:J4073,J4073)=1,G4073&lt;&gt;""),1,""))</f>
        <v/>
      </c>
      <c r="AI4073" s="200">
        <f t="shared" si="1279"/>
        <v>0</v>
      </c>
      <c r="AJ4073" s="200">
        <f t="shared" si="1280"/>
        <v>0</v>
      </c>
      <c r="AK4073" s="201" t="str">
        <f t="shared" si="1281"/>
        <v/>
      </c>
      <c r="AL4073" s="24"/>
      <c r="AM4073" s="24"/>
      <c r="AN4073" s="24"/>
      <c r="AO4073" s="24"/>
      <c r="AP4073" s="165" t="str">
        <f t="shared" si="1282"/>
        <v/>
      </c>
      <c r="AQ4073" s="203" t="str">
        <f t="shared" si="1283"/>
        <v/>
      </c>
      <c r="AR4073" s="206">
        <f t="shared" si="1284"/>
        <v>0</v>
      </c>
      <c r="AS4073" s="22" t="str">
        <f t="shared" si="1285"/>
        <v/>
      </c>
      <c r="AT4073" s="24" t="str">
        <f t="shared" si="1286"/>
        <v/>
      </c>
      <c r="AU4073" s="22" t="s">
        <v>3240</v>
      </c>
    </row>
    <row r="4074" spans="1:47">
      <c r="A4074" s="246" t="str">
        <f t="shared" si="1274"/>
        <v/>
      </c>
      <c r="B4074" s="23"/>
      <c r="C4074" s="23"/>
      <c r="D4074" s="202" t="str">
        <f t="shared" si="1275"/>
        <v/>
      </c>
      <c r="E4074" s="33" t="str">
        <f t="shared" si="1269"/>
        <v/>
      </c>
      <c r="F4074" s="23"/>
      <c r="G4074" s="23"/>
      <c r="H4074" s="29"/>
      <c r="I4074" s="204" t="str">
        <f t="shared" si="1272"/>
        <v/>
      </c>
      <c r="J4074" s="188"/>
      <c r="K4074" s="29"/>
      <c r="L4074" s="24"/>
      <c r="M4074" s="22"/>
      <c r="N4074" s="22"/>
      <c r="O4074" s="22"/>
      <c r="P4074" s="202" t="str">
        <f t="shared" si="1273"/>
        <v/>
      </c>
      <c r="Q4074" s="22"/>
      <c r="R4074" s="22"/>
      <c r="S4074" s="22"/>
      <c r="T4074" s="22"/>
      <c r="U4074" s="22"/>
      <c r="V4074" s="22"/>
      <c r="W4074" s="22"/>
      <c r="X4074" s="104"/>
      <c r="Y4074" s="195" t="str">
        <f t="shared" si="1270"/>
        <v/>
      </c>
      <c r="Z4074" s="196" t="str">
        <f t="shared" si="1271"/>
        <v/>
      </c>
      <c r="AA4074" s="22"/>
      <c r="AB4074" s="197" t="str">
        <f t="shared" si="1276"/>
        <v/>
      </c>
      <c r="AC4074" s="198" t="str">
        <f t="shared" si="1277"/>
        <v/>
      </c>
      <c r="AD4074" s="162"/>
      <c r="AE4074" s="199" t="str">
        <f t="shared" si="1278"/>
        <v/>
      </c>
      <c r="AF4074" s="199" t="str">
        <f>IF(AND(COUNTIFS($J$18:J4074,J4074)=1,AE4074=1),1,"")</f>
        <v/>
      </c>
      <c r="AG4074" s="199" t="str">
        <f>IF(C4074="","",IF(AND(COUNTIFS($J$18:J4074,J4074)=1,C4074&lt;&gt;""),1,""))</f>
        <v/>
      </c>
      <c r="AH4074" s="199" t="str">
        <f>IF(G4074="","",IF(AND(COUNTIFS($J$18:J4074,J4074)=1,G4074&lt;&gt;""),1,""))</f>
        <v/>
      </c>
      <c r="AI4074" s="200">
        <f t="shared" si="1279"/>
        <v>0</v>
      </c>
      <c r="AJ4074" s="200">
        <f t="shared" si="1280"/>
        <v>0</v>
      </c>
      <c r="AK4074" s="201" t="str">
        <f t="shared" si="1281"/>
        <v/>
      </c>
      <c r="AL4074" s="24"/>
      <c r="AM4074" s="24"/>
      <c r="AN4074" s="24"/>
      <c r="AO4074" s="24"/>
      <c r="AP4074" s="165" t="str">
        <f t="shared" si="1282"/>
        <v/>
      </c>
      <c r="AQ4074" s="203" t="str">
        <f t="shared" si="1283"/>
        <v/>
      </c>
      <c r="AR4074" s="206">
        <f t="shared" si="1284"/>
        <v>0</v>
      </c>
      <c r="AS4074" s="22" t="str">
        <f t="shared" si="1285"/>
        <v/>
      </c>
      <c r="AT4074" s="24" t="str">
        <f t="shared" si="1286"/>
        <v/>
      </c>
      <c r="AU4074" s="22" t="s">
        <v>3240</v>
      </c>
    </row>
    <row r="4075" spans="1:47">
      <c r="A4075" s="246" t="str">
        <f t="shared" si="1274"/>
        <v/>
      </c>
      <c r="B4075" s="23"/>
      <c r="C4075" s="23"/>
      <c r="D4075" s="202" t="str">
        <f t="shared" si="1275"/>
        <v/>
      </c>
      <c r="E4075" s="33" t="str">
        <f t="shared" si="1269"/>
        <v/>
      </c>
      <c r="F4075" s="23"/>
      <c r="G4075" s="23"/>
      <c r="H4075" s="29"/>
      <c r="I4075" s="204" t="str">
        <f t="shared" si="1272"/>
        <v/>
      </c>
      <c r="J4075" s="188"/>
      <c r="K4075" s="29"/>
      <c r="L4075" s="24"/>
      <c r="M4075" s="22"/>
      <c r="N4075" s="22"/>
      <c r="O4075" s="22"/>
      <c r="P4075" s="202" t="str">
        <f t="shared" si="1273"/>
        <v/>
      </c>
      <c r="Q4075" s="22"/>
      <c r="R4075" s="22"/>
      <c r="S4075" s="22"/>
      <c r="T4075" s="22"/>
      <c r="U4075" s="22"/>
      <c r="V4075" s="22"/>
      <c r="W4075" s="22"/>
      <c r="X4075" s="104"/>
      <c r="Y4075" s="195" t="str">
        <f t="shared" si="1270"/>
        <v/>
      </c>
      <c r="Z4075" s="196" t="str">
        <f t="shared" si="1271"/>
        <v/>
      </c>
      <c r="AA4075" s="22"/>
      <c r="AB4075" s="197" t="str">
        <f t="shared" si="1276"/>
        <v/>
      </c>
      <c r="AC4075" s="198" t="str">
        <f t="shared" si="1277"/>
        <v/>
      </c>
      <c r="AD4075" s="162"/>
      <c r="AE4075" s="199" t="str">
        <f t="shared" si="1278"/>
        <v/>
      </c>
      <c r="AF4075" s="199" t="str">
        <f>IF(AND(COUNTIFS($J$18:J4075,J4075)=1,AE4075=1),1,"")</f>
        <v/>
      </c>
      <c r="AG4075" s="199" t="str">
        <f>IF(C4075="","",IF(AND(COUNTIFS($J$18:J4075,J4075)=1,C4075&lt;&gt;""),1,""))</f>
        <v/>
      </c>
      <c r="AH4075" s="199" t="str">
        <f>IF(G4075="","",IF(AND(COUNTIFS($J$18:J4075,J4075)=1,G4075&lt;&gt;""),1,""))</f>
        <v/>
      </c>
      <c r="AI4075" s="200">
        <f t="shared" si="1279"/>
        <v>0</v>
      </c>
      <c r="AJ4075" s="200">
        <f t="shared" si="1280"/>
        <v>0</v>
      </c>
      <c r="AK4075" s="201" t="str">
        <f t="shared" si="1281"/>
        <v/>
      </c>
      <c r="AL4075" s="24"/>
      <c r="AM4075" s="24"/>
      <c r="AN4075" s="24"/>
      <c r="AO4075" s="24"/>
      <c r="AP4075" s="165" t="str">
        <f t="shared" si="1282"/>
        <v/>
      </c>
      <c r="AQ4075" s="203" t="str">
        <f t="shared" si="1283"/>
        <v/>
      </c>
      <c r="AR4075" s="206">
        <f t="shared" si="1284"/>
        <v>0</v>
      </c>
      <c r="AS4075" s="22" t="str">
        <f t="shared" si="1285"/>
        <v/>
      </c>
      <c r="AT4075" s="24" t="str">
        <f t="shared" si="1286"/>
        <v/>
      </c>
      <c r="AU4075" s="22" t="s">
        <v>3240</v>
      </c>
    </row>
    <row r="4076" spans="1:47">
      <c r="A4076" s="246" t="str">
        <f t="shared" si="1274"/>
        <v/>
      </c>
      <c r="B4076" s="23"/>
      <c r="C4076" s="23"/>
      <c r="D4076" s="202" t="str">
        <f t="shared" si="1275"/>
        <v/>
      </c>
      <c r="E4076" s="33" t="str">
        <f t="shared" si="1269"/>
        <v/>
      </c>
      <c r="F4076" s="23"/>
      <c r="G4076" s="23"/>
      <c r="H4076" s="29"/>
      <c r="I4076" s="204" t="str">
        <f t="shared" si="1272"/>
        <v/>
      </c>
      <c r="J4076" s="188"/>
      <c r="K4076" s="29"/>
      <c r="L4076" s="24"/>
      <c r="M4076" s="22"/>
      <c r="N4076" s="22"/>
      <c r="O4076" s="22"/>
      <c r="P4076" s="202" t="str">
        <f t="shared" si="1273"/>
        <v/>
      </c>
      <c r="Q4076" s="22"/>
      <c r="R4076" s="22"/>
      <c r="S4076" s="22"/>
      <c r="T4076" s="22"/>
      <c r="U4076" s="22"/>
      <c r="V4076" s="22"/>
      <c r="W4076" s="22"/>
      <c r="X4076" s="104"/>
      <c r="Y4076" s="195" t="str">
        <f t="shared" si="1270"/>
        <v/>
      </c>
      <c r="Z4076" s="196" t="str">
        <f t="shared" si="1271"/>
        <v/>
      </c>
      <c r="AA4076" s="22"/>
      <c r="AB4076" s="197" t="str">
        <f t="shared" si="1276"/>
        <v/>
      </c>
      <c r="AC4076" s="198" t="str">
        <f t="shared" si="1277"/>
        <v/>
      </c>
      <c r="AD4076" s="162"/>
      <c r="AE4076" s="199" t="str">
        <f t="shared" si="1278"/>
        <v/>
      </c>
      <c r="AF4076" s="199" t="str">
        <f>IF(AND(COUNTIFS($J$18:J4076,J4076)=1,AE4076=1),1,"")</f>
        <v/>
      </c>
      <c r="AG4076" s="199" t="str">
        <f>IF(C4076="","",IF(AND(COUNTIFS($J$18:J4076,J4076)=1,C4076&lt;&gt;""),1,""))</f>
        <v/>
      </c>
      <c r="AH4076" s="199" t="str">
        <f>IF(G4076="","",IF(AND(COUNTIFS($J$18:J4076,J4076)=1,G4076&lt;&gt;""),1,""))</f>
        <v/>
      </c>
      <c r="AI4076" s="200">
        <f t="shared" si="1279"/>
        <v>0</v>
      </c>
      <c r="AJ4076" s="200">
        <f t="shared" si="1280"/>
        <v>0</v>
      </c>
      <c r="AK4076" s="201" t="str">
        <f t="shared" si="1281"/>
        <v/>
      </c>
      <c r="AL4076" s="24"/>
      <c r="AM4076" s="24"/>
      <c r="AN4076" s="24"/>
      <c r="AO4076" s="24"/>
      <c r="AP4076" s="165" t="str">
        <f t="shared" si="1282"/>
        <v/>
      </c>
      <c r="AQ4076" s="203" t="str">
        <f t="shared" si="1283"/>
        <v/>
      </c>
      <c r="AR4076" s="206">
        <f t="shared" si="1284"/>
        <v>0</v>
      </c>
      <c r="AS4076" s="22" t="str">
        <f t="shared" si="1285"/>
        <v/>
      </c>
      <c r="AT4076" s="24" t="str">
        <f t="shared" si="1286"/>
        <v/>
      </c>
      <c r="AU4076" s="22" t="s">
        <v>3240</v>
      </c>
    </row>
    <row r="4077" spans="1:47">
      <c r="A4077" s="246" t="str">
        <f t="shared" si="1274"/>
        <v/>
      </c>
      <c r="B4077" s="23"/>
      <c r="C4077" s="23"/>
      <c r="D4077" s="202" t="str">
        <f t="shared" si="1275"/>
        <v/>
      </c>
      <c r="E4077" s="33" t="str">
        <f t="shared" si="1269"/>
        <v/>
      </c>
      <c r="F4077" s="23"/>
      <c r="G4077" s="23"/>
      <c r="H4077" s="29"/>
      <c r="I4077" s="204" t="str">
        <f t="shared" si="1272"/>
        <v/>
      </c>
      <c r="J4077" s="188"/>
      <c r="K4077" s="29"/>
      <c r="L4077" s="24"/>
      <c r="M4077" s="22"/>
      <c r="N4077" s="22"/>
      <c r="O4077" s="22"/>
      <c r="P4077" s="202" t="str">
        <f t="shared" si="1273"/>
        <v/>
      </c>
      <c r="Q4077" s="22"/>
      <c r="R4077" s="22"/>
      <c r="S4077" s="22"/>
      <c r="T4077" s="22"/>
      <c r="U4077" s="22"/>
      <c r="V4077" s="22"/>
      <c r="W4077" s="22"/>
      <c r="X4077" s="104"/>
      <c r="Y4077" s="195" t="str">
        <f t="shared" si="1270"/>
        <v/>
      </c>
      <c r="Z4077" s="196" t="str">
        <f t="shared" si="1271"/>
        <v/>
      </c>
      <c r="AA4077" s="22"/>
      <c r="AB4077" s="197" t="str">
        <f t="shared" si="1276"/>
        <v/>
      </c>
      <c r="AC4077" s="198" t="str">
        <f t="shared" si="1277"/>
        <v/>
      </c>
      <c r="AD4077" s="162"/>
      <c r="AE4077" s="199" t="str">
        <f t="shared" si="1278"/>
        <v/>
      </c>
      <c r="AF4077" s="199" t="str">
        <f>IF(AND(COUNTIFS($J$18:J4077,J4077)=1,AE4077=1),1,"")</f>
        <v/>
      </c>
      <c r="AG4077" s="199" t="str">
        <f>IF(C4077="","",IF(AND(COUNTIFS($J$18:J4077,J4077)=1,C4077&lt;&gt;""),1,""))</f>
        <v/>
      </c>
      <c r="AH4077" s="199" t="str">
        <f>IF(G4077="","",IF(AND(COUNTIFS($J$18:J4077,J4077)=1,G4077&lt;&gt;""),1,""))</f>
        <v/>
      </c>
      <c r="AI4077" s="200">
        <f t="shared" si="1279"/>
        <v>0</v>
      </c>
      <c r="AJ4077" s="200">
        <f t="shared" si="1280"/>
        <v>0</v>
      </c>
      <c r="AK4077" s="201" t="str">
        <f t="shared" si="1281"/>
        <v/>
      </c>
      <c r="AL4077" s="24"/>
      <c r="AM4077" s="24"/>
      <c r="AN4077" s="24"/>
      <c r="AO4077" s="24"/>
      <c r="AP4077" s="165" t="str">
        <f t="shared" si="1282"/>
        <v/>
      </c>
      <c r="AQ4077" s="203" t="str">
        <f t="shared" si="1283"/>
        <v/>
      </c>
      <c r="AR4077" s="206">
        <f t="shared" si="1284"/>
        <v>0</v>
      </c>
      <c r="AS4077" s="22" t="str">
        <f t="shared" si="1285"/>
        <v/>
      </c>
      <c r="AT4077" s="24" t="str">
        <f t="shared" si="1286"/>
        <v/>
      </c>
      <c r="AU4077" s="22" t="s">
        <v>3240</v>
      </c>
    </row>
    <row r="4078" spans="1:47">
      <c r="A4078" s="246" t="str">
        <f t="shared" si="1274"/>
        <v/>
      </c>
      <c r="B4078" s="23"/>
      <c r="C4078" s="23"/>
      <c r="D4078" s="202" t="str">
        <f t="shared" si="1275"/>
        <v/>
      </c>
      <c r="E4078" s="33" t="str">
        <f t="shared" si="1269"/>
        <v/>
      </c>
      <c r="F4078" s="23"/>
      <c r="G4078" s="23"/>
      <c r="H4078" s="29"/>
      <c r="I4078" s="204" t="str">
        <f t="shared" si="1272"/>
        <v/>
      </c>
      <c r="J4078" s="188"/>
      <c r="K4078" s="29"/>
      <c r="L4078" s="24"/>
      <c r="M4078" s="22"/>
      <c r="N4078" s="22"/>
      <c r="O4078" s="22"/>
      <c r="P4078" s="202" t="str">
        <f t="shared" si="1273"/>
        <v/>
      </c>
      <c r="Q4078" s="22"/>
      <c r="R4078" s="22"/>
      <c r="S4078" s="22"/>
      <c r="T4078" s="22"/>
      <c r="U4078" s="22"/>
      <c r="V4078" s="22"/>
      <c r="W4078" s="22"/>
      <c r="X4078" s="104"/>
      <c r="Y4078" s="195" t="str">
        <f t="shared" si="1270"/>
        <v/>
      </c>
      <c r="Z4078" s="196" t="str">
        <f t="shared" si="1271"/>
        <v/>
      </c>
      <c r="AA4078" s="22"/>
      <c r="AB4078" s="197" t="str">
        <f t="shared" si="1276"/>
        <v/>
      </c>
      <c r="AC4078" s="198" t="str">
        <f t="shared" si="1277"/>
        <v/>
      </c>
      <c r="AD4078" s="162"/>
      <c r="AE4078" s="199" t="str">
        <f t="shared" si="1278"/>
        <v/>
      </c>
      <c r="AF4078" s="199" t="str">
        <f>IF(AND(COUNTIFS($J$18:J4078,J4078)=1,AE4078=1),1,"")</f>
        <v/>
      </c>
      <c r="AG4078" s="199" t="str">
        <f>IF(C4078="","",IF(AND(COUNTIFS($J$18:J4078,J4078)=1,C4078&lt;&gt;""),1,""))</f>
        <v/>
      </c>
      <c r="AH4078" s="199" t="str">
        <f>IF(G4078="","",IF(AND(COUNTIFS($J$18:J4078,J4078)=1,G4078&lt;&gt;""),1,""))</f>
        <v/>
      </c>
      <c r="AI4078" s="200">
        <f t="shared" si="1279"/>
        <v>0</v>
      </c>
      <c r="AJ4078" s="200">
        <f t="shared" si="1280"/>
        <v>0</v>
      </c>
      <c r="AK4078" s="201" t="str">
        <f t="shared" si="1281"/>
        <v/>
      </c>
      <c r="AL4078" s="24"/>
      <c r="AM4078" s="24"/>
      <c r="AN4078" s="24"/>
      <c r="AO4078" s="24"/>
      <c r="AP4078" s="165" t="str">
        <f t="shared" si="1282"/>
        <v/>
      </c>
      <c r="AQ4078" s="203" t="str">
        <f t="shared" si="1283"/>
        <v/>
      </c>
      <c r="AR4078" s="206">
        <f t="shared" si="1284"/>
        <v>0</v>
      </c>
      <c r="AS4078" s="22" t="str">
        <f t="shared" si="1285"/>
        <v/>
      </c>
      <c r="AT4078" s="24" t="str">
        <f t="shared" si="1286"/>
        <v/>
      </c>
      <c r="AU4078" s="22" t="s">
        <v>3240</v>
      </c>
    </row>
    <row r="4079" spans="1:47">
      <c r="A4079" s="246" t="str">
        <f t="shared" si="1274"/>
        <v/>
      </c>
      <c r="B4079" s="23"/>
      <c r="C4079" s="23"/>
      <c r="D4079" s="202" t="str">
        <f t="shared" si="1275"/>
        <v/>
      </c>
      <c r="E4079" s="33" t="str">
        <f t="shared" si="1269"/>
        <v/>
      </c>
      <c r="F4079" s="23"/>
      <c r="G4079" s="23"/>
      <c r="H4079" s="29"/>
      <c r="I4079" s="204" t="str">
        <f t="shared" si="1272"/>
        <v/>
      </c>
      <c r="J4079" s="188"/>
      <c r="K4079" s="29"/>
      <c r="L4079" s="24"/>
      <c r="M4079" s="22"/>
      <c r="N4079" s="22"/>
      <c r="O4079" s="22"/>
      <c r="P4079" s="202" t="str">
        <f t="shared" si="1273"/>
        <v/>
      </c>
      <c r="Q4079" s="22"/>
      <c r="R4079" s="22"/>
      <c r="S4079" s="22"/>
      <c r="T4079" s="22"/>
      <c r="U4079" s="22"/>
      <c r="V4079" s="22"/>
      <c r="W4079" s="22"/>
      <c r="X4079" s="104"/>
      <c r="Y4079" s="195" t="str">
        <f t="shared" si="1270"/>
        <v/>
      </c>
      <c r="Z4079" s="196" t="str">
        <f t="shared" si="1271"/>
        <v/>
      </c>
      <c r="AA4079" s="22"/>
      <c r="AB4079" s="197" t="str">
        <f t="shared" si="1276"/>
        <v/>
      </c>
      <c r="AC4079" s="198" t="str">
        <f t="shared" si="1277"/>
        <v/>
      </c>
      <c r="AD4079" s="162"/>
      <c r="AE4079" s="199" t="str">
        <f t="shared" si="1278"/>
        <v/>
      </c>
      <c r="AF4079" s="199" t="str">
        <f>IF(AND(COUNTIFS($J$18:J4079,J4079)=1,AE4079=1),1,"")</f>
        <v/>
      </c>
      <c r="AG4079" s="199" t="str">
        <f>IF(C4079="","",IF(AND(COUNTIFS($J$18:J4079,J4079)=1,C4079&lt;&gt;""),1,""))</f>
        <v/>
      </c>
      <c r="AH4079" s="199" t="str">
        <f>IF(G4079="","",IF(AND(COUNTIFS($J$18:J4079,J4079)=1,G4079&lt;&gt;""),1,""))</f>
        <v/>
      </c>
      <c r="AI4079" s="200">
        <f t="shared" si="1279"/>
        <v>0</v>
      </c>
      <c r="AJ4079" s="200">
        <f t="shared" si="1280"/>
        <v>0</v>
      </c>
      <c r="AK4079" s="201" t="str">
        <f t="shared" si="1281"/>
        <v/>
      </c>
      <c r="AL4079" s="24"/>
      <c r="AM4079" s="24"/>
      <c r="AN4079" s="24"/>
      <c r="AO4079" s="24"/>
      <c r="AP4079" s="165" t="str">
        <f t="shared" si="1282"/>
        <v/>
      </c>
      <c r="AQ4079" s="203" t="str">
        <f t="shared" si="1283"/>
        <v/>
      </c>
      <c r="AR4079" s="206">
        <f t="shared" si="1284"/>
        <v>0</v>
      </c>
      <c r="AS4079" s="22" t="str">
        <f t="shared" si="1285"/>
        <v/>
      </c>
      <c r="AT4079" s="24" t="str">
        <f t="shared" si="1286"/>
        <v/>
      </c>
      <c r="AU4079" s="22" t="s">
        <v>3240</v>
      </c>
    </row>
    <row r="4080" spans="1:47">
      <c r="A4080" s="246" t="str">
        <f t="shared" si="1274"/>
        <v/>
      </c>
      <c r="B4080" s="23"/>
      <c r="C4080" s="23"/>
      <c r="D4080" s="202" t="str">
        <f t="shared" si="1275"/>
        <v/>
      </c>
      <c r="E4080" s="33" t="str">
        <f t="shared" si="1269"/>
        <v/>
      </c>
      <c r="F4080" s="23"/>
      <c r="G4080" s="23"/>
      <c r="H4080" s="29"/>
      <c r="I4080" s="204" t="str">
        <f t="shared" si="1272"/>
        <v/>
      </c>
      <c r="J4080" s="188"/>
      <c r="K4080" s="29"/>
      <c r="L4080" s="24"/>
      <c r="M4080" s="22"/>
      <c r="N4080" s="22"/>
      <c r="O4080" s="22"/>
      <c r="P4080" s="202" t="str">
        <f t="shared" si="1273"/>
        <v/>
      </c>
      <c r="Q4080" s="22"/>
      <c r="R4080" s="22"/>
      <c r="S4080" s="22"/>
      <c r="T4080" s="22"/>
      <c r="U4080" s="22"/>
      <c r="V4080" s="22"/>
      <c r="W4080" s="22"/>
      <c r="X4080" s="104"/>
      <c r="Y4080" s="195" t="str">
        <f t="shared" si="1270"/>
        <v/>
      </c>
      <c r="Z4080" s="196" t="str">
        <f t="shared" si="1271"/>
        <v/>
      </c>
      <c r="AA4080" s="22"/>
      <c r="AB4080" s="197" t="str">
        <f t="shared" si="1276"/>
        <v/>
      </c>
      <c r="AC4080" s="198" t="str">
        <f t="shared" si="1277"/>
        <v/>
      </c>
      <c r="AD4080" s="162"/>
      <c r="AE4080" s="199" t="str">
        <f t="shared" si="1278"/>
        <v/>
      </c>
      <c r="AF4080" s="199" t="str">
        <f>IF(AND(COUNTIFS($J$18:J4080,J4080)=1,AE4080=1),1,"")</f>
        <v/>
      </c>
      <c r="AG4080" s="199" t="str">
        <f>IF(C4080="","",IF(AND(COUNTIFS($J$18:J4080,J4080)=1,C4080&lt;&gt;""),1,""))</f>
        <v/>
      </c>
      <c r="AH4080" s="199" t="str">
        <f>IF(G4080="","",IF(AND(COUNTIFS($J$18:J4080,J4080)=1,G4080&lt;&gt;""),1,""))</f>
        <v/>
      </c>
      <c r="AI4080" s="200">
        <f t="shared" si="1279"/>
        <v>0</v>
      </c>
      <c r="AJ4080" s="200">
        <f t="shared" si="1280"/>
        <v>0</v>
      </c>
      <c r="AK4080" s="201" t="str">
        <f t="shared" si="1281"/>
        <v/>
      </c>
      <c r="AL4080" s="24"/>
      <c r="AM4080" s="24"/>
      <c r="AN4080" s="24"/>
      <c r="AO4080" s="24"/>
      <c r="AP4080" s="165" t="str">
        <f t="shared" si="1282"/>
        <v/>
      </c>
      <c r="AQ4080" s="203" t="str">
        <f t="shared" si="1283"/>
        <v/>
      </c>
      <c r="AR4080" s="206">
        <f t="shared" si="1284"/>
        <v>0</v>
      </c>
      <c r="AS4080" s="22" t="str">
        <f t="shared" si="1285"/>
        <v/>
      </c>
      <c r="AT4080" s="24" t="str">
        <f t="shared" si="1286"/>
        <v/>
      </c>
      <c r="AU4080" s="22" t="s">
        <v>3240</v>
      </c>
    </row>
    <row r="4081" spans="1:47">
      <c r="A4081" s="246" t="str">
        <f t="shared" si="1274"/>
        <v/>
      </c>
      <c r="B4081" s="23"/>
      <c r="C4081" s="23"/>
      <c r="D4081" s="202" t="str">
        <f t="shared" si="1275"/>
        <v/>
      </c>
      <c r="E4081" s="33" t="str">
        <f t="shared" si="1269"/>
        <v/>
      </c>
      <c r="F4081" s="23"/>
      <c r="G4081" s="23"/>
      <c r="H4081" s="29"/>
      <c r="I4081" s="204" t="str">
        <f t="shared" si="1272"/>
        <v/>
      </c>
      <c r="J4081" s="188"/>
      <c r="K4081" s="29"/>
      <c r="L4081" s="24"/>
      <c r="M4081" s="22"/>
      <c r="N4081" s="22"/>
      <c r="O4081" s="22"/>
      <c r="P4081" s="202" t="str">
        <f t="shared" si="1273"/>
        <v/>
      </c>
      <c r="Q4081" s="22"/>
      <c r="R4081" s="22"/>
      <c r="S4081" s="22"/>
      <c r="T4081" s="22"/>
      <c r="U4081" s="22"/>
      <c r="V4081" s="22"/>
      <c r="W4081" s="22"/>
      <c r="X4081" s="104"/>
      <c r="Y4081" s="195" t="str">
        <f t="shared" si="1270"/>
        <v/>
      </c>
      <c r="Z4081" s="196" t="str">
        <f t="shared" si="1271"/>
        <v/>
      </c>
      <c r="AA4081" s="22"/>
      <c r="AB4081" s="197" t="str">
        <f t="shared" si="1276"/>
        <v/>
      </c>
      <c r="AC4081" s="198" t="str">
        <f t="shared" si="1277"/>
        <v/>
      </c>
      <c r="AD4081" s="162"/>
      <c r="AE4081" s="199" t="str">
        <f t="shared" si="1278"/>
        <v/>
      </c>
      <c r="AF4081" s="199" t="str">
        <f>IF(AND(COUNTIFS($J$18:J4081,J4081)=1,AE4081=1),1,"")</f>
        <v/>
      </c>
      <c r="AG4081" s="199" t="str">
        <f>IF(C4081="","",IF(AND(COUNTIFS($J$18:J4081,J4081)=1,C4081&lt;&gt;""),1,""))</f>
        <v/>
      </c>
      <c r="AH4081" s="199" t="str">
        <f>IF(G4081="","",IF(AND(COUNTIFS($J$18:J4081,J4081)=1,G4081&lt;&gt;""),1,""))</f>
        <v/>
      </c>
      <c r="AI4081" s="200">
        <f t="shared" si="1279"/>
        <v>0</v>
      </c>
      <c r="AJ4081" s="200">
        <f t="shared" si="1280"/>
        <v>0</v>
      </c>
      <c r="AK4081" s="201" t="str">
        <f t="shared" si="1281"/>
        <v/>
      </c>
      <c r="AL4081" s="24"/>
      <c r="AM4081" s="24"/>
      <c r="AN4081" s="24"/>
      <c r="AO4081" s="24"/>
      <c r="AP4081" s="165" t="str">
        <f t="shared" si="1282"/>
        <v/>
      </c>
      <c r="AQ4081" s="203" t="str">
        <f t="shared" si="1283"/>
        <v/>
      </c>
      <c r="AR4081" s="206">
        <f t="shared" si="1284"/>
        <v>0</v>
      </c>
      <c r="AS4081" s="22" t="str">
        <f t="shared" si="1285"/>
        <v/>
      </c>
      <c r="AT4081" s="24" t="str">
        <f t="shared" si="1286"/>
        <v/>
      </c>
      <c r="AU4081" s="22" t="s">
        <v>3240</v>
      </c>
    </row>
    <row r="4082" spans="1:47">
      <c r="A4082" s="246" t="str">
        <f t="shared" si="1274"/>
        <v/>
      </c>
      <c r="B4082" s="23"/>
      <c r="C4082" s="23"/>
      <c r="D4082" s="202" t="str">
        <f t="shared" si="1275"/>
        <v/>
      </c>
      <c r="E4082" s="33" t="str">
        <f t="shared" si="1269"/>
        <v/>
      </c>
      <c r="F4082" s="23"/>
      <c r="G4082" s="23"/>
      <c r="H4082" s="29"/>
      <c r="I4082" s="204" t="str">
        <f t="shared" si="1272"/>
        <v/>
      </c>
      <c r="J4082" s="188"/>
      <c r="K4082" s="29"/>
      <c r="L4082" s="24"/>
      <c r="M4082" s="22"/>
      <c r="N4082" s="22"/>
      <c r="O4082" s="22"/>
      <c r="P4082" s="202" t="str">
        <f t="shared" si="1273"/>
        <v/>
      </c>
      <c r="Q4082" s="22"/>
      <c r="R4082" s="22"/>
      <c r="S4082" s="22"/>
      <c r="T4082" s="22"/>
      <c r="U4082" s="22"/>
      <c r="V4082" s="22"/>
      <c r="W4082" s="22"/>
      <c r="X4082" s="104"/>
      <c r="Y4082" s="195" t="str">
        <f t="shared" si="1270"/>
        <v/>
      </c>
      <c r="Z4082" s="196" t="str">
        <f t="shared" si="1271"/>
        <v/>
      </c>
      <c r="AA4082" s="22"/>
      <c r="AB4082" s="197" t="str">
        <f t="shared" si="1276"/>
        <v/>
      </c>
      <c r="AC4082" s="198" t="str">
        <f t="shared" si="1277"/>
        <v/>
      </c>
      <c r="AD4082" s="162"/>
      <c r="AE4082" s="199" t="str">
        <f t="shared" si="1278"/>
        <v/>
      </c>
      <c r="AF4082" s="199" t="str">
        <f>IF(AND(COUNTIFS($J$18:J4082,J4082)=1,AE4082=1),1,"")</f>
        <v/>
      </c>
      <c r="AG4082" s="199" t="str">
        <f>IF(C4082="","",IF(AND(COUNTIFS($J$18:J4082,J4082)=1,C4082&lt;&gt;""),1,""))</f>
        <v/>
      </c>
      <c r="AH4082" s="199" t="str">
        <f>IF(G4082="","",IF(AND(COUNTIFS($J$18:J4082,J4082)=1,G4082&lt;&gt;""),1,""))</f>
        <v/>
      </c>
      <c r="AI4082" s="200">
        <f t="shared" si="1279"/>
        <v>0</v>
      </c>
      <c r="AJ4082" s="200">
        <f t="shared" si="1280"/>
        <v>0</v>
      </c>
      <c r="AK4082" s="201" t="str">
        <f t="shared" si="1281"/>
        <v/>
      </c>
      <c r="AL4082" s="24"/>
      <c r="AM4082" s="24"/>
      <c r="AN4082" s="24"/>
      <c r="AO4082" s="24"/>
      <c r="AP4082" s="165" t="str">
        <f t="shared" si="1282"/>
        <v/>
      </c>
      <c r="AQ4082" s="203" t="str">
        <f t="shared" si="1283"/>
        <v/>
      </c>
      <c r="AR4082" s="206">
        <f t="shared" si="1284"/>
        <v>0</v>
      </c>
      <c r="AS4082" s="22" t="str">
        <f t="shared" si="1285"/>
        <v/>
      </c>
      <c r="AT4082" s="24" t="str">
        <f t="shared" si="1286"/>
        <v/>
      </c>
      <c r="AU4082" s="22" t="s">
        <v>3240</v>
      </c>
    </row>
    <row r="4083" spans="1:47">
      <c r="A4083" s="246" t="str">
        <f t="shared" si="1274"/>
        <v/>
      </c>
      <c r="B4083" s="23"/>
      <c r="C4083" s="23"/>
      <c r="D4083" s="202" t="str">
        <f t="shared" si="1275"/>
        <v/>
      </c>
      <c r="E4083" s="33" t="str">
        <f t="shared" si="1269"/>
        <v/>
      </c>
      <c r="F4083" s="23"/>
      <c r="G4083" s="23"/>
      <c r="H4083" s="29"/>
      <c r="I4083" s="204" t="str">
        <f t="shared" si="1272"/>
        <v/>
      </c>
      <c r="J4083" s="188"/>
      <c r="K4083" s="29"/>
      <c r="L4083" s="24"/>
      <c r="M4083" s="22"/>
      <c r="N4083" s="22"/>
      <c r="O4083" s="22"/>
      <c r="P4083" s="202" t="str">
        <f t="shared" si="1273"/>
        <v/>
      </c>
      <c r="Q4083" s="22"/>
      <c r="R4083" s="22"/>
      <c r="S4083" s="22"/>
      <c r="T4083" s="22"/>
      <c r="U4083" s="22"/>
      <c r="V4083" s="22"/>
      <c r="W4083" s="22"/>
      <c r="X4083" s="104"/>
      <c r="Y4083" s="195" t="str">
        <f t="shared" si="1270"/>
        <v/>
      </c>
      <c r="Z4083" s="196" t="str">
        <f t="shared" si="1271"/>
        <v/>
      </c>
      <c r="AA4083" s="22"/>
      <c r="AB4083" s="197" t="str">
        <f t="shared" si="1276"/>
        <v/>
      </c>
      <c r="AC4083" s="198" t="str">
        <f t="shared" si="1277"/>
        <v/>
      </c>
      <c r="AD4083" s="162"/>
      <c r="AE4083" s="199" t="str">
        <f t="shared" si="1278"/>
        <v/>
      </c>
      <c r="AF4083" s="199" t="str">
        <f>IF(AND(COUNTIFS($J$18:J4083,J4083)=1,AE4083=1),1,"")</f>
        <v/>
      </c>
      <c r="AG4083" s="199" t="str">
        <f>IF(C4083="","",IF(AND(COUNTIFS($J$18:J4083,J4083)=1,C4083&lt;&gt;""),1,""))</f>
        <v/>
      </c>
      <c r="AH4083" s="199" t="str">
        <f>IF(G4083="","",IF(AND(COUNTIFS($J$18:J4083,J4083)=1,G4083&lt;&gt;""),1,""))</f>
        <v/>
      </c>
      <c r="AI4083" s="200">
        <f t="shared" si="1279"/>
        <v>0</v>
      </c>
      <c r="AJ4083" s="200">
        <f t="shared" si="1280"/>
        <v>0</v>
      </c>
      <c r="AK4083" s="201" t="str">
        <f t="shared" si="1281"/>
        <v/>
      </c>
      <c r="AL4083" s="24"/>
      <c r="AM4083" s="24"/>
      <c r="AN4083" s="24"/>
      <c r="AO4083" s="24"/>
      <c r="AP4083" s="165" t="str">
        <f t="shared" si="1282"/>
        <v/>
      </c>
      <c r="AQ4083" s="203" t="str">
        <f t="shared" si="1283"/>
        <v/>
      </c>
      <c r="AR4083" s="206">
        <f t="shared" si="1284"/>
        <v>0</v>
      </c>
      <c r="AS4083" s="22" t="str">
        <f t="shared" si="1285"/>
        <v/>
      </c>
      <c r="AT4083" s="24" t="str">
        <f t="shared" si="1286"/>
        <v/>
      </c>
      <c r="AU4083" s="22" t="s">
        <v>3240</v>
      </c>
    </row>
    <row r="4084" spans="1:47">
      <c r="A4084" s="246" t="str">
        <f t="shared" si="1274"/>
        <v/>
      </c>
      <c r="B4084" s="23"/>
      <c r="C4084" s="23"/>
      <c r="D4084" s="202" t="str">
        <f t="shared" si="1275"/>
        <v/>
      </c>
      <c r="E4084" s="33" t="str">
        <f t="shared" si="1269"/>
        <v/>
      </c>
      <c r="F4084" s="23"/>
      <c r="G4084" s="23"/>
      <c r="H4084" s="29"/>
      <c r="I4084" s="204" t="str">
        <f t="shared" si="1272"/>
        <v/>
      </c>
      <c r="J4084" s="188"/>
      <c r="K4084" s="29"/>
      <c r="L4084" s="24"/>
      <c r="M4084" s="22"/>
      <c r="N4084" s="22"/>
      <c r="O4084" s="22"/>
      <c r="P4084" s="202" t="str">
        <f t="shared" si="1273"/>
        <v/>
      </c>
      <c r="Q4084" s="22"/>
      <c r="R4084" s="22"/>
      <c r="S4084" s="22"/>
      <c r="T4084" s="22"/>
      <c r="U4084" s="22"/>
      <c r="V4084" s="22"/>
      <c r="W4084" s="22"/>
      <c r="X4084" s="104"/>
      <c r="Y4084" s="195" t="str">
        <f t="shared" si="1270"/>
        <v/>
      </c>
      <c r="Z4084" s="196" t="str">
        <f t="shared" si="1271"/>
        <v/>
      </c>
      <c r="AA4084" s="22"/>
      <c r="AB4084" s="197" t="str">
        <f t="shared" si="1276"/>
        <v/>
      </c>
      <c r="AC4084" s="198" t="str">
        <f t="shared" si="1277"/>
        <v/>
      </c>
      <c r="AD4084" s="162"/>
      <c r="AE4084" s="199" t="str">
        <f t="shared" si="1278"/>
        <v/>
      </c>
      <c r="AF4084" s="199" t="str">
        <f>IF(AND(COUNTIFS($J$18:J4084,J4084)=1,AE4084=1),1,"")</f>
        <v/>
      </c>
      <c r="AG4084" s="199" t="str">
        <f>IF(C4084="","",IF(AND(COUNTIFS($J$18:J4084,J4084)=1,C4084&lt;&gt;""),1,""))</f>
        <v/>
      </c>
      <c r="AH4084" s="199" t="str">
        <f>IF(G4084="","",IF(AND(COUNTIFS($J$18:J4084,J4084)=1,G4084&lt;&gt;""),1,""))</f>
        <v/>
      </c>
      <c r="AI4084" s="200">
        <f t="shared" si="1279"/>
        <v>0</v>
      </c>
      <c r="AJ4084" s="200">
        <f t="shared" si="1280"/>
        <v>0</v>
      </c>
      <c r="AK4084" s="201" t="str">
        <f t="shared" si="1281"/>
        <v/>
      </c>
      <c r="AL4084" s="24"/>
      <c r="AM4084" s="24"/>
      <c r="AN4084" s="24"/>
      <c r="AO4084" s="24"/>
      <c r="AP4084" s="165" t="str">
        <f t="shared" si="1282"/>
        <v/>
      </c>
      <c r="AQ4084" s="203" t="str">
        <f t="shared" si="1283"/>
        <v/>
      </c>
      <c r="AR4084" s="206">
        <f t="shared" si="1284"/>
        <v>0</v>
      </c>
      <c r="AS4084" s="22" t="str">
        <f t="shared" si="1285"/>
        <v/>
      </c>
      <c r="AT4084" s="24" t="str">
        <f t="shared" si="1286"/>
        <v/>
      </c>
      <c r="AU4084" s="22" t="s">
        <v>3240</v>
      </c>
    </row>
    <row r="4085" spans="1:47">
      <c r="A4085" s="246" t="str">
        <f t="shared" si="1274"/>
        <v/>
      </c>
      <c r="B4085" s="23"/>
      <c r="C4085" s="23"/>
      <c r="D4085" s="202" t="str">
        <f t="shared" si="1275"/>
        <v/>
      </c>
      <c r="E4085" s="33" t="str">
        <f t="shared" si="1269"/>
        <v/>
      </c>
      <c r="F4085" s="23"/>
      <c r="G4085" s="23"/>
      <c r="H4085" s="29"/>
      <c r="I4085" s="204" t="str">
        <f t="shared" si="1272"/>
        <v/>
      </c>
      <c r="J4085" s="188"/>
      <c r="K4085" s="29"/>
      <c r="L4085" s="24"/>
      <c r="M4085" s="22"/>
      <c r="N4085" s="22"/>
      <c r="O4085" s="22"/>
      <c r="P4085" s="202" t="str">
        <f t="shared" si="1273"/>
        <v/>
      </c>
      <c r="Q4085" s="22"/>
      <c r="R4085" s="22"/>
      <c r="S4085" s="22"/>
      <c r="T4085" s="22"/>
      <c r="U4085" s="22"/>
      <c r="V4085" s="22"/>
      <c r="W4085" s="22"/>
      <c r="X4085" s="104"/>
      <c r="Y4085" s="195" t="str">
        <f t="shared" si="1270"/>
        <v/>
      </c>
      <c r="Z4085" s="196" t="str">
        <f t="shared" si="1271"/>
        <v/>
      </c>
      <c r="AA4085" s="22"/>
      <c r="AB4085" s="197" t="str">
        <f t="shared" si="1276"/>
        <v/>
      </c>
      <c r="AC4085" s="198" t="str">
        <f t="shared" si="1277"/>
        <v/>
      </c>
      <c r="AD4085" s="162"/>
      <c r="AE4085" s="199" t="str">
        <f t="shared" si="1278"/>
        <v/>
      </c>
      <c r="AF4085" s="199" t="str">
        <f>IF(AND(COUNTIFS($J$18:J4085,J4085)=1,AE4085=1),1,"")</f>
        <v/>
      </c>
      <c r="AG4085" s="199" t="str">
        <f>IF(C4085="","",IF(AND(COUNTIFS($J$18:J4085,J4085)=1,C4085&lt;&gt;""),1,""))</f>
        <v/>
      </c>
      <c r="AH4085" s="199" t="str">
        <f>IF(G4085="","",IF(AND(COUNTIFS($J$18:J4085,J4085)=1,G4085&lt;&gt;""),1,""))</f>
        <v/>
      </c>
      <c r="AI4085" s="200">
        <f t="shared" si="1279"/>
        <v>0</v>
      </c>
      <c r="AJ4085" s="200">
        <f t="shared" si="1280"/>
        <v>0</v>
      </c>
      <c r="AK4085" s="201" t="str">
        <f t="shared" si="1281"/>
        <v/>
      </c>
      <c r="AL4085" s="24"/>
      <c r="AM4085" s="24"/>
      <c r="AN4085" s="24"/>
      <c r="AO4085" s="24"/>
      <c r="AP4085" s="165" t="str">
        <f t="shared" si="1282"/>
        <v/>
      </c>
      <c r="AQ4085" s="203" t="str">
        <f t="shared" si="1283"/>
        <v/>
      </c>
      <c r="AR4085" s="206">
        <f t="shared" si="1284"/>
        <v>0</v>
      </c>
      <c r="AS4085" s="22" t="str">
        <f t="shared" si="1285"/>
        <v/>
      </c>
      <c r="AT4085" s="24" t="str">
        <f t="shared" si="1286"/>
        <v/>
      </c>
      <c r="AU4085" s="22" t="s">
        <v>3240</v>
      </c>
    </row>
    <row r="4086" spans="1:47">
      <c r="A4086" s="246" t="str">
        <f t="shared" si="1274"/>
        <v/>
      </c>
      <c r="B4086" s="23"/>
      <c r="C4086" s="23"/>
      <c r="D4086" s="202" t="str">
        <f t="shared" si="1275"/>
        <v/>
      </c>
      <c r="E4086" s="33" t="str">
        <f t="shared" si="1269"/>
        <v/>
      </c>
      <c r="F4086" s="23"/>
      <c r="G4086" s="23"/>
      <c r="H4086" s="29"/>
      <c r="I4086" s="204" t="str">
        <f t="shared" si="1272"/>
        <v/>
      </c>
      <c r="J4086" s="188"/>
      <c r="K4086" s="29"/>
      <c r="L4086" s="24"/>
      <c r="M4086" s="22"/>
      <c r="N4086" s="22"/>
      <c r="O4086" s="22"/>
      <c r="P4086" s="202" t="str">
        <f t="shared" si="1273"/>
        <v/>
      </c>
      <c r="Q4086" s="22"/>
      <c r="R4086" s="22"/>
      <c r="S4086" s="22"/>
      <c r="T4086" s="22"/>
      <c r="U4086" s="22"/>
      <c r="V4086" s="22"/>
      <c r="W4086" s="22"/>
      <c r="X4086" s="104"/>
      <c r="Y4086" s="195" t="str">
        <f t="shared" si="1270"/>
        <v/>
      </c>
      <c r="Z4086" s="196" t="str">
        <f t="shared" si="1271"/>
        <v/>
      </c>
      <c r="AA4086" s="22"/>
      <c r="AB4086" s="197" t="str">
        <f t="shared" si="1276"/>
        <v/>
      </c>
      <c r="AC4086" s="198" t="str">
        <f t="shared" si="1277"/>
        <v/>
      </c>
      <c r="AD4086" s="162"/>
      <c r="AE4086" s="199" t="str">
        <f t="shared" si="1278"/>
        <v/>
      </c>
      <c r="AF4086" s="199" t="str">
        <f>IF(AND(COUNTIFS($J$18:J4086,J4086)=1,AE4086=1),1,"")</f>
        <v/>
      </c>
      <c r="AG4086" s="199" t="str">
        <f>IF(C4086="","",IF(AND(COUNTIFS($J$18:J4086,J4086)=1,C4086&lt;&gt;""),1,""))</f>
        <v/>
      </c>
      <c r="AH4086" s="199" t="str">
        <f>IF(G4086="","",IF(AND(COUNTIFS($J$18:J4086,J4086)=1,G4086&lt;&gt;""),1,""))</f>
        <v/>
      </c>
      <c r="AI4086" s="200">
        <f t="shared" si="1279"/>
        <v>0</v>
      </c>
      <c r="AJ4086" s="200">
        <f t="shared" si="1280"/>
        <v>0</v>
      </c>
      <c r="AK4086" s="201" t="str">
        <f t="shared" si="1281"/>
        <v/>
      </c>
      <c r="AL4086" s="24"/>
      <c r="AM4086" s="24"/>
      <c r="AN4086" s="24"/>
      <c r="AO4086" s="24"/>
      <c r="AP4086" s="165" t="str">
        <f t="shared" si="1282"/>
        <v/>
      </c>
      <c r="AQ4086" s="203" t="str">
        <f t="shared" si="1283"/>
        <v/>
      </c>
      <c r="AR4086" s="206">
        <f t="shared" si="1284"/>
        <v>0</v>
      </c>
      <c r="AS4086" s="22" t="str">
        <f t="shared" si="1285"/>
        <v/>
      </c>
      <c r="AT4086" s="24" t="str">
        <f t="shared" si="1286"/>
        <v/>
      </c>
      <c r="AU4086" s="22" t="s">
        <v>3240</v>
      </c>
    </row>
    <row r="4087" spans="1:47">
      <c r="A4087" s="246" t="str">
        <f t="shared" si="1274"/>
        <v/>
      </c>
      <c r="B4087" s="23"/>
      <c r="C4087" s="23"/>
      <c r="D4087" s="202" t="str">
        <f t="shared" si="1275"/>
        <v/>
      </c>
      <c r="E4087" s="33" t="str">
        <f t="shared" si="1269"/>
        <v/>
      </c>
      <c r="F4087" s="23"/>
      <c r="G4087" s="23"/>
      <c r="H4087" s="29"/>
      <c r="I4087" s="204" t="str">
        <f t="shared" si="1272"/>
        <v/>
      </c>
      <c r="J4087" s="188"/>
      <c r="K4087" s="29"/>
      <c r="L4087" s="24"/>
      <c r="M4087" s="22"/>
      <c r="N4087" s="22"/>
      <c r="O4087" s="22"/>
      <c r="P4087" s="202" t="str">
        <f t="shared" si="1273"/>
        <v/>
      </c>
      <c r="Q4087" s="22"/>
      <c r="R4087" s="22"/>
      <c r="S4087" s="22"/>
      <c r="T4087" s="22"/>
      <c r="U4087" s="22"/>
      <c r="V4087" s="22"/>
      <c r="W4087" s="22"/>
      <c r="X4087" s="104"/>
      <c r="Y4087" s="195" t="str">
        <f t="shared" si="1270"/>
        <v/>
      </c>
      <c r="Z4087" s="196" t="str">
        <f t="shared" si="1271"/>
        <v/>
      </c>
      <c r="AA4087" s="22"/>
      <c r="AB4087" s="197" t="str">
        <f t="shared" si="1276"/>
        <v/>
      </c>
      <c r="AC4087" s="198" t="str">
        <f t="shared" si="1277"/>
        <v/>
      </c>
      <c r="AD4087" s="162"/>
      <c r="AE4087" s="199" t="str">
        <f t="shared" si="1278"/>
        <v/>
      </c>
      <c r="AF4087" s="199" t="str">
        <f>IF(AND(COUNTIFS($J$18:J4087,J4087)=1,AE4087=1),1,"")</f>
        <v/>
      </c>
      <c r="AG4087" s="199" t="str">
        <f>IF(C4087="","",IF(AND(COUNTIFS($J$18:J4087,J4087)=1,C4087&lt;&gt;""),1,""))</f>
        <v/>
      </c>
      <c r="AH4087" s="199" t="str">
        <f>IF(G4087="","",IF(AND(COUNTIFS($J$18:J4087,J4087)=1,G4087&lt;&gt;""),1,""))</f>
        <v/>
      </c>
      <c r="AI4087" s="200">
        <f t="shared" si="1279"/>
        <v>0</v>
      </c>
      <c r="AJ4087" s="200">
        <f t="shared" si="1280"/>
        <v>0</v>
      </c>
      <c r="AK4087" s="201" t="str">
        <f t="shared" si="1281"/>
        <v/>
      </c>
      <c r="AL4087" s="24"/>
      <c r="AM4087" s="24"/>
      <c r="AN4087" s="24"/>
      <c r="AO4087" s="24"/>
      <c r="AP4087" s="165" t="str">
        <f t="shared" si="1282"/>
        <v/>
      </c>
      <c r="AQ4087" s="203" t="str">
        <f t="shared" si="1283"/>
        <v/>
      </c>
      <c r="AR4087" s="206">
        <f t="shared" si="1284"/>
        <v>0</v>
      </c>
      <c r="AS4087" s="22" t="str">
        <f t="shared" si="1285"/>
        <v/>
      </c>
      <c r="AT4087" s="24" t="str">
        <f t="shared" si="1286"/>
        <v/>
      </c>
      <c r="AU4087" s="22" t="s">
        <v>3240</v>
      </c>
    </row>
    <row r="4088" spans="1:47">
      <c r="A4088" s="246" t="str">
        <f t="shared" si="1274"/>
        <v/>
      </c>
      <c r="B4088" s="23"/>
      <c r="C4088" s="23"/>
      <c r="D4088" s="202" t="str">
        <f t="shared" si="1275"/>
        <v/>
      </c>
      <c r="E4088" s="33" t="str">
        <f t="shared" si="1269"/>
        <v/>
      </c>
      <c r="F4088" s="23"/>
      <c r="G4088" s="23"/>
      <c r="H4088" s="29"/>
      <c r="I4088" s="204" t="str">
        <f t="shared" si="1272"/>
        <v/>
      </c>
      <c r="J4088" s="188"/>
      <c r="K4088" s="29"/>
      <c r="L4088" s="24"/>
      <c r="M4088" s="22"/>
      <c r="N4088" s="22"/>
      <c r="O4088" s="22"/>
      <c r="P4088" s="202" t="str">
        <f t="shared" si="1273"/>
        <v/>
      </c>
      <c r="Q4088" s="22"/>
      <c r="R4088" s="22"/>
      <c r="S4088" s="22"/>
      <c r="T4088" s="22"/>
      <c r="U4088" s="22"/>
      <c r="V4088" s="22"/>
      <c r="W4088" s="22"/>
      <c r="X4088" s="104"/>
      <c r="Y4088" s="195" t="str">
        <f t="shared" si="1270"/>
        <v/>
      </c>
      <c r="Z4088" s="196" t="str">
        <f t="shared" si="1271"/>
        <v/>
      </c>
      <c r="AA4088" s="22"/>
      <c r="AB4088" s="197" t="str">
        <f t="shared" si="1276"/>
        <v/>
      </c>
      <c r="AC4088" s="198" t="str">
        <f t="shared" si="1277"/>
        <v/>
      </c>
      <c r="AD4088" s="162"/>
      <c r="AE4088" s="199" t="str">
        <f t="shared" si="1278"/>
        <v/>
      </c>
      <c r="AF4088" s="199" t="str">
        <f>IF(AND(COUNTIFS($J$18:J4088,J4088)=1,AE4088=1),1,"")</f>
        <v/>
      </c>
      <c r="AG4088" s="199" t="str">
        <f>IF(C4088="","",IF(AND(COUNTIFS($J$18:J4088,J4088)=1,C4088&lt;&gt;""),1,""))</f>
        <v/>
      </c>
      <c r="AH4088" s="199" t="str">
        <f>IF(G4088="","",IF(AND(COUNTIFS($J$18:J4088,J4088)=1,G4088&lt;&gt;""),1,""))</f>
        <v/>
      </c>
      <c r="AI4088" s="200">
        <f t="shared" si="1279"/>
        <v>0</v>
      </c>
      <c r="AJ4088" s="200">
        <f t="shared" si="1280"/>
        <v>0</v>
      </c>
      <c r="AK4088" s="201" t="str">
        <f t="shared" si="1281"/>
        <v/>
      </c>
      <c r="AL4088" s="24"/>
      <c r="AM4088" s="24"/>
      <c r="AN4088" s="24"/>
      <c r="AO4088" s="24"/>
      <c r="AP4088" s="165" t="str">
        <f t="shared" si="1282"/>
        <v/>
      </c>
      <c r="AQ4088" s="203" t="str">
        <f t="shared" si="1283"/>
        <v/>
      </c>
      <c r="AR4088" s="206">
        <f t="shared" si="1284"/>
        <v>0</v>
      </c>
      <c r="AS4088" s="22" t="str">
        <f t="shared" si="1285"/>
        <v/>
      </c>
      <c r="AT4088" s="24" t="str">
        <f t="shared" si="1286"/>
        <v/>
      </c>
      <c r="AU4088" s="22" t="s">
        <v>3240</v>
      </c>
    </row>
    <row r="4089" spans="1:47">
      <c r="A4089" s="246" t="str">
        <f t="shared" si="1274"/>
        <v/>
      </c>
      <c r="B4089" s="23"/>
      <c r="C4089" s="23"/>
      <c r="D4089" s="202" t="str">
        <f t="shared" si="1275"/>
        <v/>
      </c>
      <c r="E4089" s="33" t="str">
        <f t="shared" si="1269"/>
        <v/>
      </c>
      <c r="F4089" s="23"/>
      <c r="G4089" s="23"/>
      <c r="H4089" s="29"/>
      <c r="I4089" s="204" t="str">
        <f t="shared" si="1272"/>
        <v/>
      </c>
      <c r="J4089" s="188"/>
      <c r="K4089" s="29"/>
      <c r="L4089" s="24"/>
      <c r="M4089" s="22"/>
      <c r="N4089" s="22"/>
      <c r="O4089" s="22"/>
      <c r="P4089" s="202" t="str">
        <f t="shared" si="1273"/>
        <v/>
      </c>
      <c r="Q4089" s="22"/>
      <c r="R4089" s="22"/>
      <c r="S4089" s="22"/>
      <c r="T4089" s="22"/>
      <c r="U4089" s="22"/>
      <c r="V4089" s="22"/>
      <c r="W4089" s="22"/>
      <c r="X4089" s="104"/>
      <c r="Y4089" s="195" t="str">
        <f t="shared" si="1270"/>
        <v/>
      </c>
      <c r="Z4089" s="196" t="str">
        <f t="shared" si="1271"/>
        <v/>
      </c>
      <c r="AA4089" s="22"/>
      <c r="AB4089" s="197" t="str">
        <f t="shared" si="1276"/>
        <v/>
      </c>
      <c r="AC4089" s="198" t="str">
        <f t="shared" si="1277"/>
        <v/>
      </c>
      <c r="AD4089" s="162"/>
      <c r="AE4089" s="199" t="str">
        <f t="shared" si="1278"/>
        <v/>
      </c>
      <c r="AF4089" s="199" t="str">
        <f>IF(AND(COUNTIFS($J$18:J4089,J4089)=1,AE4089=1),1,"")</f>
        <v/>
      </c>
      <c r="AG4089" s="199" t="str">
        <f>IF(C4089="","",IF(AND(COUNTIFS($J$18:J4089,J4089)=1,C4089&lt;&gt;""),1,""))</f>
        <v/>
      </c>
      <c r="AH4089" s="199" t="str">
        <f>IF(G4089="","",IF(AND(COUNTIFS($J$18:J4089,J4089)=1,G4089&lt;&gt;""),1,""))</f>
        <v/>
      </c>
      <c r="AI4089" s="200">
        <f t="shared" si="1279"/>
        <v>0</v>
      </c>
      <c r="AJ4089" s="200">
        <f t="shared" si="1280"/>
        <v>0</v>
      </c>
      <c r="AK4089" s="201" t="str">
        <f t="shared" si="1281"/>
        <v/>
      </c>
      <c r="AL4089" s="24"/>
      <c r="AM4089" s="24"/>
      <c r="AN4089" s="24"/>
      <c r="AO4089" s="24"/>
      <c r="AP4089" s="165" t="str">
        <f t="shared" si="1282"/>
        <v/>
      </c>
      <c r="AQ4089" s="203" t="str">
        <f t="shared" si="1283"/>
        <v/>
      </c>
      <c r="AR4089" s="206">
        <f t="shared" si="1284"/>
        <v>0</v>
      </c>
      <c r="AS4089" s="22" t="str">
        <f t="shared" si="1285"/>
        <v/>
      </c>
      <c r="AT4089" s="24" t="str">
        <f t="shared" si="1286"/>
        <v/>
      </c>
      <c r="AU4089" s="22" t="s">
        <v>3240</v>
      </c>
    </row>
    <row r="4090" spans="1:47">
      <c r="A4090" s="246" t="str">
        <f t="shared" si="1274"/>
        <v/>
      </c>
      <c r="B4090" s="23"/>
      <c r="C4090" s="23"/>
      <c r="D4090" s="202" t="str">
        <f t="shared" si="1275"/>
        <v/>
      </c>
      <c r="E4090" s="33" t="str">
        <f t="shared" si="1269"/>
        <v/>
      </c>
      <c r="F4090" s="23"/>
      <c r="G4090" s="23"/>
      <c r="H4090" s="29"/>
      <c r="I4090" s="204" t="str">
        <f t="shared" si="1272"/>
        <v/>
      </c>
      <c r="J4090" s="188"/>
      <c r="K4090" s="29"/>
      <c r="L4090" s="24"/>
      <c r="M4090" s="22"/>
      <c r="N4090" s="22"/>
      <c r="O4090" s="22"/>
      <c r="P4090" s="202" t="str">
        <f t="shared" si="1273"/>
        <v/>
      </c>
      <c r="Q4090" s="22"/>
      <c r="R4090" s="22"/>
      <c r="S4090" s="22"/>
      <c r="T4090" s="22"/>
      <c r="U4090" s="22"/>
      <c r="V4090" s="22"/>
      <c r="W4090" s="22"/>
      <c r="X4090" s="104"/>
      <c r="Y4090" s="195" t="str">
        <f t="shared" si="1270"/>
        <v/>
      </c>
      <c r="Z4090" s="196" t="str">
        <f t="shared" si="1271"/>
        <v/>
      </c>
      <c r="AA4090" s="22"/>
      <c r="AB4090" s="197" t="str">
        <f t="shared" si="1276"/>
        <v/>
      </c>
      <c r="AC4090" s="198" t="str">
        <f t="shared" si="1277"/>
        <v/>
      </c>
      <c r="AD4090" s="162"/>
      <c r="AE4090" s="199" t="str">
        <f t="shared" si="1278"/>
        <v/>
      </c>
      <c r="AF4090" s="199" t="str">
        <f>IF(AND(COUNTIFS($J$18:J4090,J4090)=1,AE4090=1),1,"")</f>
        <v/>
      </c>
      <c r="AG4090" s="199" t="str">
        <f>IF(C4090="","",IF(AND(COUNTIFS($J$18:J4090,J4090)=1,C4090&lt;&gt;""),1,""))</f>
        <v/>
      </c>
      <c r="AH4090" s="199" t="str">
        <f>IF(G4090="","",IF(AND(COUNTIFS($J$18:J4090,J4090)=1,G4090&lt;&gt;""),1,""))</f>
        <v/>
      </c>
      <c r="AI4090" s="200">
        <f t="shared" si="1279"/>
        <v>0</v>
      </c>
      <c r="AJ4090" s="200">
        <f t="shared" si="1280"/>
        <v>0</v>
      </c>
      <c r="AK4090" s="201" t="str">
        <f t="shared" si="1281"/>
        <v/>
      </c>
      <c r="AL4090" s="24"/>
      <c r="AM4090" s="24"/>
      <c r="AN4090" s="24"/>
      <c r="AO4090" s="24"/>
      <c r="AP4090" s="165" t="str">
        <f t="shared" si="1282"/>
        <v/>
      </c>
      <c r="AQ4090" s="203" t="str">
        <f t="shared" si="1283"/>
        <v/>
      </c>
      <c r="AR4090" s="206">
        <f t="shared" si="1284"/>
        <v>0</v>
      </c>
      <c r="AS4090" s="22" t="str">
        <f t="shared" si="1285"/>
        <v/>
      </c>
      <c r="AT4090" s="24" t="str">
        <f t="shared" si="1286"/>
        <v/>
      </c>
      <c r="AU4090" s="22" t="s">
        <v>3240</v>
      </c>
    </row>
    <row r="4091" spans="1:47">
      <c r="A4091" s="246" t="str">
        <f t="shared" si="1274"/>
        <v/>
      </c>
      <c r="B4091" s="23"/>
      <c r="C4091" s="23"/>
      <c r="D4091" s="202" t="str">
        <f t="shared" si="1275"/>
        <v/>
      </c>
      <c r="E4091" s="33" t="str">
        <f t="shared" si="1269"/>
        <v/>
      </c>
      <c r="F4091" s="23"/>
      <c r="G4091" s="23"/>
      <c r="H4091" s="29"/>
      <c r="I4091" s="204" t="str">
        <f t="shared" si="1272"/>
        <v/>
      </c>
      <c r="J4091" s="188"/>
      <c r="K4091" s="29"/>
      <c r="L4091" s="24"/>
      <c r="M4091" s="22"/>
      <c r="N4091" s="22"/>
      <c r="O4091" s="22"/>
      <c r="P4091" s="202" t="str">
        <f t="shared" si="1273"/>
        <v/>
      </c>
      <c r="Q4091" s="22"/>
      <c r="R4091" s="22"/>
      <c r="S4091" s="22"/>
      <c r="T4091" s="22"/>
      <c r="U4091" s="22"/>
      <c r="V4091" s="22"/>
      <c r="W4091" s="22"/>
      <c r="X4091" s="104"/>
      <c r="Y4091" s="195" t="str">
        <f t="shared" si="1270"/>
        <v/>
      </c>
      <c r="Z4091" s="196" t="str">
        <f t="shared" si="1271"/>
        <v/>
      </c>
      <c r="AA4091" s="22"/>
      <c r="AB4091" s="197" t="str">
        <f t="shared" si="1276"/>
        <v/>
      </c>
      <c r="AC4091" s="198" t="str">
        <f t="shared" si="1277"/>
        <v/>
      </c>
      <c r="AD4091" s="162"/>
      <c r="AE4091" s="199" t="str">
        <f t="shared" si="1278"/>
        <v/>
      </c>
      <c r="AF4091" s="199" t="str">
        <f>IF(AND(COUNTIFS($J$18:J4091,J4091)=1,AE4091=1),1,"")</f>
        <v/>
      </c>
      <c r="AG4091" s="199" t="str">
        <f>IF(C4091="","",IF(AND(COUNTIFS($J$18:J4091,J4091)=1,C4091&lt;&gt;""),1,""))</f>
        <v/>
      </c>
      <c r="AH4091" s="199" t="str">
        <f>IF(G4091="","",IF(AND(COUNTIFS($J$18:J4091,J4091)=1,G4091&lt;&gt;""),1,""))</f>
        <v/>
      </c>
      <c r="AI4091" s="200">
        <f t="shared" si="1279"/>
        <v>0</v>
      </c>
      <c r="AJ4091" s="200">
        <f t="shared" si="1280"/>
        <v>0</v>
      </c>
      <c r="AK4091" s="201" t="str">
        <f t="shared" si="1281"/>
        <v/>
      </c>
      <c r="AL4091" s="24"/>
      <c r="AM4091" s="24"/>
      <c r="AN4091" s="24"/>
      <c r="AO4091" s="24"/>
      <c r="AP4091" s="165" t="str">
        <f t="shared" si="1282"/>
        <v/>
      </c>
      <c r="AQ4091" s="203" t="str">
        <f t="shared" si="1283"/>
        <v/>
      </c>
      <c r="AR4091" s="206">
        <f t="shared" si="1284"/>
        <v>0</v>
      </c>
      <c r="AS4091" s="22" t="str">
        <f t="shared" si="1285"/>
        <v/>
      </c>
      <c r="AT4091" s="24" t="str">
        <f t="shared" si="1286"/>
        <v/>
      </c>
      <c r="AU4091" s="22" t="s">
        <v>3240</v>
      </c>
    </row>
    <row r="4092" spans="1:47">
      <c r="A4092" s="246" t="str">
        <f t="shared" si="1274"/>
        <v/>
      </c>
      <c r="B4092" s="23"/>
      <c r="C4092" s="23"/>
      <c r="D4092" s="202" t="str">
        <f t="shared" si="1275"/>
        <v/>
      </c>
      <c r="E4092" s="33" t="str">
        <f t="shared" si="1269"/>
        <v/>
      </c>
      <c r="F4092" s="23"/>
      <c r="G4092" s="23"/>
      <c r="H4092" s="29"/>
      <c r="I4092" s="204" t="str">
        <f t="shared" si="1272"/>
        <v/>
      </c>
      <c r="J4092" s="188"/>
      <c r="K4092" s="29"/>
      <c r="L4092" s="24"/>
      <c r="M4092" s="22"/>
      <c r="N4092" s="22"/>
      <c r="O4092" s="22"/>
      <c r="P4092" s="202" t="str">
        <f t="shared" si="1273"/>
        <v/>
      </c>
      <c r="Q4092" s="22"/>
      <c r="R4092" s="22"/>
      <c r="S4092" s="22"/>
      <c r="T4092" s="22"/>
      <c r="U4092" s="22"/>
      <c r="V4092" s="22"/>
      <c r="W4092" s="22"/>
      <c r="X4092" s="104"/>
      <c r="Y4092" s="195" t="str">
        <f t="shared" si="1270"/>
        <v/>
      </c>
      <c r="Z4092" s="196" t="str">
        <f t="shared" si="1271"/>
        <v/>
      </c>
      <c r="AA4092" s="22"/>
      <c r="AB4092" s="197" t="str">
        <f t="shared" si="1276"/>
        <v/>
      </c>
      <c r="AC4092" s="198" t="str">
        <f t="shared" si="1277"/>
        <v/>
      </c>
      <c r="AD4092" s="162"/>
      <c r="AE4092" s="199" t="str">
        <f t="shared" si="1278"/>
        <v/>
      </c>
      <c r="AF4092" s="199" t="str">
        <f>IF(AND(COUNTIFS($J$18:J4092,J4092)=1,AE4092=1),1,"")</f>
        <v/>
      </c>
      <c r="AG4092" s="199" t="str">
        <f>IF(C4092="","",IF(AND(COUNTIFS($J$18:J4092,J4092)=1,C4092&lt;&gt;""),1,""))</f>
        <v/>
      </c>
      <c r="AH4092" s="199" t="str">
        <f>IF(G4092="","",IF(AND(COUNTIFS($J$18:J4092,J4092)=1,G4092&lt;&gt;""),1,""))</f>
        <v/>
      </c>
      <c r="AI4092" s="200">
        <f t="shared" si="1279"/>
        <v>0</v>
      </c>
      <c r="AJ4092" s="200">
        <f t="shared" si="1280"/>
        <v>0</v>
      </c>
      <c r="AK4092" s="201" t="str">
        <f t="shared" si="1281"/>
        <v/>
      </c>
      <c r="AL4092" s="24"/>
      <c r="AM4092" s="24"/>
      <c r="AN4092" s="24"/>
      <c r="AO4092" s="24"/>
      <c r="AP4092" s="165" t="str">
        <f t="shared" si="1282"/>
        <v/>
      </c>
      <c r="AQ4092" s="203" t="str">
        <f t="shared" si="1283"/>
        <v/>
      </c>
      <c r="AR4092" s="206">
        <f t="shared" si="1284"/>
        <v>0</v>
      </c>
      <c r="AS4092" s="22" t="str">
        <f t="shared" si="1285"/>
        <v/>
      </c>
      <c r="AT4092" s="24" t="str">
        <f t="shared" si="1286"/>
        <v/>
      </c>
      <c r="AU4092" s="22" t="s">
        <v>3240</v>
      </c>
    </row>
    <row r="4093" spans="1:47">
      <c r="A4093" s="246" t="str">
        <f t="shared" si="1274"/>
        <v/>
      </c>
      <c r="B4093" s="23"/>
      <c r="C4093" s="23"/>
      <c r="D4093" s="202" t="str">
        <f t="shared" si="1275"/>
        <v/>
      </c>
      <c r="E4093" s="33" t="str">
        <f t="shared" si="1269"/>
        <v/>
      </c>
      <c r="F4093" s="23"/>
      <c r="G4093" s="23"/>
      <c r="H4093" s="29"/>
      <c r="I4093" s="204" t="str">
        <f t="shared" si="1272"/>
        <v/>
      </c>
      <c r="J4093" s="188"/>
      <c r="K4093" s="29"/>
      <c r="L4093" s="24"/>
      <c r="M4093" s="22"/>
      <c r="N4093" s="22"/>
      <c r="O4093" s="22"/>
      <c r="P4093" s="202" t="str">
        <f t="shared" si="1273"/>
        <v/>
      </c>
      <c r="Q4093" s="22"/>
      <c r="R4093" s="22"/>
      <c r="S4093" s="22"/>
      <c r="T4093" s="22"/>
      <c r="U4093" s="22"/>
      <c r="V4093" s="22"/>
      <c r="W4093" s="22"/>
      <c r="X4093" s="104"/>
      <c r="Y4093" s="195" t="str">
        <f t="shared" si="1270"/>
        <v/>
      </c>
      <c r="Z4093" s="196" t="str">
        <f t="shared" si="1271"/>
        <v/>
      </c>
      <c r="AA4093" s="22"/>
      <c r="AB4093" s="197" t="str">
        <f t="shared" si="1276"/>
        <v/>
      </c>
      <c r="AC4093" s="198" t="str">
        <f t="shared" si="1277"/>
        <v/>
      </c>
      <c r="AD4093" s="162"/>
      <c r="AE4093" s="199" t="str">
        <f t="shared" si="1278"/>
        <v/>
      </c>
      <c r="AF4093" s="199" t="str">
        <f>IF(AND(COUNTIFS($J$18:J4093,J4093)=1,AE4093=1),1,"")</f>
        <v/>
      </c>
      <c r="AG4093" s="199" t="str">
        <f>IF(C4093="","",IF(AND(COUNTIFS($J$18:J4093,J4093)=1,C4093&lt;&gt;""),1,""))</f>
        <v/>
      </c>
      <c r="AH4093" s="199" t="str">
        <f>IF(G4093="","",IF(AND(COUNTIFS($J$18:J4093,J4093)=1,G4093&lt;&gt;""),1,""))</f>
        <v/>
      </c>
      <c r="AI4093" s="200">
        <f t="shared" si="1279"/>
        <v>0</v>
      </c>
      <c r="AJ4093" s="200">
        <f t="shared" si="1280"/>
        <v>0</v>
      </c>
      <c r="AK4093" s="201" t="str">
        <f t="shared" si="1281"/>
        <v/>
      </c>
      <c r="AL4093" s="24"/>
      <c r="AM4093" s="24"/>
      <c r="AN4093" s="24"/>
      <c r="AO4093" s="24"/>
      <c r="AP4093" s="165" t="str">
        <f t="shared" si="1282"/>
        <v/>
      </c>
      <c r="AQ4093" s="203" t="str">
        <f t="shared" si="1283"/>
        <v/>
      </c>
      <c r="AR4093" s="206">
        <f t="shared" si="1284"/>
        <v>0</v>
      </c>
      <c r="AS4093" s="22" t="str">
        <f t="shared" si="1285"/>
        <v/>
      </c>
      <c r="AT4093" s="24" t="str">
        <f t="shared" si="1286"/>
        <v/>
      </c>
      <c r="AU4093" s="22" t="s">
        <v>3240</v>
      </c>
    </row>
    <row r="4094" spans="1:47">
      <c r="A4094" s="246" t="str">
        <f t="shared" si="1274"/>
        <v/>
      </c>
      <c r="B4094" s="23"/>
      <c r="C4094" s="23"/>
      <c r="D4094" s="202" t="str">
        <f t="shared" si="1275"/>
        <v/>
      </c>
      <c r="E4094" s="33" t="str">
        <f t="shared" si="1269"/>
        <v/>
      </c>
      <c r="F4094" s="23"/>
      <c r="G4094" s="23"/>
      <c r="H4094" s="29"/>
      <c r="I4094" s="204" t="str">
        <f t="shared" si="1272"/>
        <v/>
      </c>
      <c r="J4094" s="188"/>
      <c r="K4094" s="29"/>
      <c r="L4094" s="24"/>
      <c r="M4094" s="22"/>
      <c r="N4094" s="22"/>
      <c r="O4094" s="22"/>
      <c r="P4094" s="202" t="str">
        <f t="shared" si="1273"/>
        <v/>
      </c>
      <c r="Q4094" s="22"/>
      <c r="R4094" s="22"/>
      <c r="S4094" s="22"/>
      <c r="T4094" s="22"/>
      <c r="U4094" s="22"/>
      <c r="V4094" s="22"/>
      <c r="W4094" s="22"/>
      <c r="X4094" s="104"/>
      <c r="Y4094" s="195" t="str">
        <f t="shared" si="1270"/>
        <v/>
      </c>
      <c r="Z4094" s="196" t="str">
        <f t="shared" si="1271"/>
        <v/>
      </c>
      <c r="AA4094" s="22"/>
      <c r="AB4094" s="197" t="str">
        <f t="shared" si="1276"/>
        <v/>
      </c>
      <c r="AC4094" s="198" t="str">
        <f t="shared" si="1277"/>
        <v/>
      </c>
      <c r="AD4094" s="162"/>
      <c r="AE4094" s="199" t="str">
        <f t="shared" si="1278"/>
        <v/>
      </c>
      <c r="AF4094" s="199" t="str">
        <f>IF(AND(COUNTIFS($J$18:J4094,J4094)=1,AE4094=1),1,"")</f>
        <v/>
      </c>
      <c r="AG4094" s="199" t="str">
        <f>IF(C4094="","",IF(AND(COUNTIFS($J$18:J4094,J4094)=1,C4094&lt;&gt;""),1,""))</f>
        <v/>
      </c>
      <c r="AH4094" s="199" t="str">
        <f>IF(G4094="","",IF(AND(COUNTIFS($J$18:J4094,J4094)=1,G4094&lt;&gt;""),1,""))</f>
        <v/>
      </c>
      <c r="AI4094" s="200">
        <f t="shared" si="1279"/>
        <v>0</v>
      </c>
      <c r="AJ4094" s="200">
        <f t="shared" si="1280"/>
        <v>0</v>
      </c>
      <c r="AK4094" s="201" t="str">
        <f t="shared" si="1281"/>
        <v/>
      </c>
      <c r="AL4094" s="24"/>
      <c r="AM4094" s="24"/>
      <c r="AN4094" s="24"/>
      <c r="AO4094" s="24"/>
      <c r="AP4094" s="165" t="str">
        <f t="shared" si="1282"/>
        <v/>
      </c>
      <c r="AQ4094" s="203" t="str">
        <f t="shared" si="1283"/>
        <v/>
      </c>
      <c r="AR4094" s="206">
        <f t="shared" si="1284"/>
        <v>0</v>
      </c>
      <c r="AS4094" s="22" t="str">
        <f t="shared" si="1285"/>
        <v/>
      </c>
      <c r="AT4094" s="24" t="str">
        <f t="shared" si="1286"/>
        <v/>
      </c>
      <c r="AU4094" s="22" t="s">
        <v>3240</v>
      </c>
    </row>
    <row r="4095" spans="1:47">
      <c r="A4095" s="246" t="str">
        <f t="shared" si="1274"/>
        <v/>
      </c>
      <c r="B4095" s="23"/>
      <c r="C4095" s="23"/>
      <c r="D4095" s="202" t="str">
        <f t="shared" si="1275"/>
        <v/>
      </c>
      <c r="E4095" s="33" t="str">
        <f t="shared" si="1269"/>
        <v/>
      </c>
      <c r="F4095" s="23"/>
      <c r="G4095" s="23"/>
      <c r="H4095" s="29"/>
      <c r="I4095" s="204" t="str">
        <f t="shared" si="1272"/>
        <v/>
      </c>
      <c r="J4095" s="188"/>
      <c r="K4095" s="29"/>
      <c r="L4095" s="24"/>
      <c r="M4095" s="22"/>
      <c r="N4095" s="22"/>
      <c r="O4095" s="22"/>
      <c r="P4095" s="202" t="str">
        <f t="shared" si="1273"/>
        <v/>
      </c>
      <c r="Q4095" s="22"/>
      <c r="R4095" s="22"/>
      <c r="S4095" s="22"/>
      <c r="T4095" s="22"/>
      <c r="U4095" s="22"/>
      <c r="V4095" s="22"/>
      <c r="W4095" s="22"/>
      <c r="X4095" s="104"/>
      <c r="Y4095" s="195" t="str">
        <f t="shared" si="1270"/>
        <v/>
      </c>
      <c r="Z4095" s="196" t="str">
        <f t="shared" si="1271"/>
        <v/>
      </c>
      <c r="AA4095" s="22"/>
      <c r="AB4095" s="197" t="str">
        <f t="shared" si="1276"/>
        <v/>
      </c>
      <c r="AC4095" s="198" t="str">
        <f t="shared" si="1277"/>
        <v/>
      </c>
      <c r="AD4095" s="162"/>
      <c r="AE4095" s="199" t="str">
        <f t="shared" si="1278"/>
        <v/>
      </c>
      <c r="AF4095" s="199" t="str">
        <f>IF(AND(COUNTIFS($J$18:J4095,J4095)=1,AE4095=1),1,"")</f>
        <v/>
      </c>
      <c r="AG4095" s="199" t="str">
        <f>IF(C4095="","",IF(AND(COUNTIFS($J$18:J4095,J4095)=1,C4095&lt;&gt;""),1,""))</f>
        <v/>
      </c>
      <c r="AH4095" s="199" t="str">
        <f>IF(G4095="","",IF(AND(COUNTIFS($J$18:J4095,J4095)=1,G4095&lt;&gt;""),1,""))</f>
        <v/>
      </c>
      <c r="AI4095" s="200">
        <f t="shared" si="1279"/>
        <v>0</v>
      </c>
      <c r="AJ4095" s="200">
        <f t="shared" si="1280"/>
        <v>0</v>
      </c>
      <c r="AK4095" s="201" t="str">
        <f t="shared" si="1281"/>
        <v/>
      </c>
      <c r="AL4095" s="24"/>
      <c r="AM4095" s="24"/>
      <c r="AN4095" s="24"/>
      <c r="AO4095" s="24"/>
      <c r="AP4095" s="165" t="str">
        <f t="shared" si="1282"/>
        <v/>
      </c>
      <c r="AQ4095" s="203" t="str">
        <f t="shared" si="1283"/>
        <v/>
      </c>
      <c r="AR4095" s="206">
        <f t="shared" si="1284"/>
        <v>0</v>
      </c>
      <c r="AS4095" s="22" t="str">
        <f t="shared" si="1285"/>
        <v/>
      </c>
      <c r="AT4095" s="24" t="str">
        <f t="shared" si="1286"/>
        <v/>
      </c>
      <c r="AU4095" s="22" t="s">
        <v>3240</v>
      </c>
    </row>
    <row r="4096" spans="1:47">
      <c r="A4096" s="246" t="str">
        <f t="shared" si="1274"/>
        <v/>
      </c>
      <c r="B4096" s="23"/>
      <c r="C4096" s="23"/>
      <c r="D4096" s="202" t="str">
        <f t="shared" si="1275"/>
        <v/>
      </c>
      <c r="E4096" s="33" t="str">
        <f t="shared" si="1269"/>
        <v/>
      </c>
      <c r="F4096" s="23"/>
      <c r="G4096" s="23"/>
      <c r="H4096" s="29"/>
      <c r="I4096" s="204" t="str">
        <f t="shared" si="1272"/>
        <v/>
      </c>
      <c r="J4096" s="188"/>
      <c r="K4096" s="29"/>
      <c r="L4096" s="24"/>
      <c r="M4096" s="22"/>
      <c r="N4096" s="22"/>
      <c r="O4096" s="22"/>
      <c r="P4096" s="202" t="str">
        <f t="shared" si="1273"/>
        <v/>
      </c>
      <c r="Q4096" s="22"/>
      <c r="R4096" s="22"/>
      <c r="S4096" s="22"/>
      <c r="T4096" s="22"/>
      <c r="U4096" s="22"/>
      <c r="V4096" s="22"/>
      <c r="W4096" s="22"/>
      <c r="X4096" s="104"/>
      <c r="Y4096" s="195" t="str">
        <f t="shared" si="1270"/>
        <v/>
      </c>
      <c r="Z4096" s="196" t="str">
        <f t="shared" si="1271"/>
        <v/>
      </c>
      <c r="AA4096" s="22"/>
      <c r="AB4096" s="197" t="str">
        <f t="shared" si="1276"/>
        <v/>
      </c>
      <c r="AC4096" s="198" t="str">
        <f t="shared" si="1277"/>
        <v/>
      </c>
      <c r="AD4096" s="162"/>
      <c r="AE4096" s="199" t="str">
        <f t="shared" si="1278"/>
        <v/>
      </c>
      <c r="AF4096" s="199" t="str">
        <f>IF(AND(COUNTIFS($J$18:J4096,J4096)=1,AE4096=1),1,"")</f>
        <v/>
      </c>
      <c r="AG4096" s="199" t="str">
        <f>IF(C4096="","",IF(AND(COUNTIFS($J$18:J4096,J4096)=1,C4096&lt;&gt;""),1,""))</f>
        <v/>
      </c>
      <c r="AH4096" s="199" t="str">
        <f>IF(G4096="","",IF(AND(COUNTIFS($J$18:J4096,J4096)=1,G4096&lt;&gt;""),1,""))</f>
        <v/>
      </c>
      <c r="AI4096" s="200">
        <f t="shared" si="1279"/>
        <v>0</v>
      </c>
      <c r="AJ4096" s="200">
        <f t="shared" si="1280"/>
        <v>0</v>
      </c>
      <c r="AK4096" s="201" t="str">
        <f t="shared" si="1281"/>
        <v/>
      </c>
      <c r="AL4096" s="24"/>
      <c r="AM4096" s="24"/>
      <c r="AN4096" s="24"/>
      <c r="AO4096" s="24"/>
      <c r="AP4096" s="165" t="str">
        <f t="shared" si="1282"/>
        <v/>
      </c>
      <c r="AQ4096" s="203" t="str">
        <f t="shared" si="1283"/>
        <v/>
      </c>
      <c r="AR4096" s="206">
        <f t="shared" si="1284"/>
        <v>0</v>
      </c>
      <c r="AS4096" s="22" t="str">
        <f t="shared" si="1285"/>
        <v/>
      </c>
      <c r="AT4096" s="24" t="str">
        <f t="shared" si="1286"/>
        <v/>
      </c>
      <c r="AU4096" s="22" t="s">
        <v>3240</v>
      </c>
    </row>
    <row r="4097" spans="1:47">
      <c r="A4097" s="246" t="str">
        <f t="shared" si="1274"/>
        <v/>
      </c>
      <c r="B4097" s="23"/>
      <c r="C4097" s="23"/>
      <c r="D4097" s="202" t="str">
        <f t="shared" si="1275"/>
        <v/>
      </c>
      <c r="E4097" s="33" t="str">
        <f t="shared" si="1269"/>
        <v/>
      </c>
      <c r="F4097" s="23"/>
      <c r="G4097" s="23"/>
      <c r="H4097" s="29"/>
      <c r="I4097" s="204" t="str">
        <f t="shared" si="1272"/>
        <v/>
      </c>
      <c r="J4097" s="188"/>
      <c r="K4097" s="29"/>
      <c r="L4097" s="24"/>
      <c r="M4097" s="22"/>
      <c r="N4097" s="22"/>
      <c r="O4097" s="22"/>
      <c r="P4097" s="202" t="str">
        <f t="shared" si="1273"/>
        <v/>
      </c>
      <c r="Q4097" s="22"/>
      <c r="R4097" s="22"/>
      <c r="S4097" s="22"/>
      <c r="T4097" s="22"/>
      <c r="U4097" s="22"/>
      <c r="V4097" s="22"/>
      <c r="W4097" s="22"/>
      <c r="X4097" s="104"/>
      <c r="Y4097" s="195" t="str">
        <f t="shared" si="1270"/>
        <v/>
      </c>
      <c r="Z4097" s="196" t="str">
        <f t="shared" si="1271"/>
        <v/>
      </c>
      <c r="AA4097" s="22"/>
      <c r="AB4097" s="197" t="str">
        <f t="shared" si="1276"/>
        <v/>
      </c>
      <c r="AC4097" s="198" t="str">
        <f t="shared" si="1277"/>
        <v/>
      </c>
      <c r="AD4097" s="162"/>
      <c r="AE4097" s="199" t="str">
        <f t="shared" si="1278"/>
        <v/>
      </c>
      <c r="AF4097" s="199" t="str">
        <f>IF(AND(COUNTIFS($J$18:J4097,J4097)=1,AE4097=1),1,"")</f>
        <v/>
      </c>
      <c r="AG4097" s="199" t="str">
        <f>IF(C4097="","",IF(AND(COUNTIFS($J$18:J4097,J4097)=1,C4097&lt;&gt;""),1,""))</f>
        <v/>
      </c>
      <c r="AH4097" s="199" t="str">
        <f>IF(G4097="","",IF(AND(COUNTIFS($J$18:J4097,J4097)=1,G4097&lt;&gt;""),1,""))</f>
        <v/>
      </c>
      <c r="AI4097" s="200">
        <f t="shared" si="1279"/>
        <v>0</v>
      </c>
      <c r="AJ4097" s="200">
        <f t="shared" si="1280"/>
        <v>0</v>
      </c>
      <c r="AK4097" s="201" t="str">
        <f t="shared" si="1281"/>
        <v/>
      </c>
      <c r="AL4097" s="24"/>
      <c r="AM4097" s="24"/>
      <c r="AN4097" s="24"/>
      <c r="AO4097" s="24"/>
      <c r="AP4097" s="165" t="str">
        <f t="shared" si="1282"/>
        <v/>
      </c>
      <c r="AQ4097" s="203" t="str">
        <f t="shared" si="1283"/>
        <v/>
      </c>
      <c r="AR4097" s="206">
        <f t="shared" si="1284"/>
        <v>0</v>
      </c>
      <c r="AS4097" s="22" t="str">
        <f t="shared" si="1285"/>
        <v/>
      </c>
      <c r="AT4097" s="24" t="str">
        <f t="shared" si="1286"/>
        <v/>
      </c>
      <c r="AU4097" s="22" t="s">
        <v>3240</v>
      </c>
    </row>
    <row r="4098" spans="1:47">
      <c r="A4098" s="246" t="str">
        <f t="shared" si="1274"/>
        <v/>
      </c>
      <c r="B4098" s="23"/>
      <c r="C4098" s="23"/>
      <c r="D4098" s="202" t="str">
        <f t="shared" si="1275"/>
        <v/>
      </c>
      <c r="E4098" s="33" t="str">
        <f t="shared" si="1269"/>
        <v/>
      </c>
      <c r="F4098" s="23"/>
      <c r="G4098" s="23"/>
      <c r="H4098" s="29"/>
      <c r="I4098" s="204" t="str">
        <f t="shared" si="1272"/>
        <v/>
      </c>
      <c r="J4098" s="188"/>
      <c r="K4098" s="29"/>
      <c r="L4098" s="24"/>
      <c r="M4098" s="22"/>
      <c r="N4098" s="22"/>
      <c r="O4098" s="22"/>
      <c r="P4098" s="202" t="str">
        <f t="shared" si="1273"/>
        <v/>
      </c>
      <c r="Q4098" s="22"/>
      <c r="R4098" s="22"/>
      <c r="S4098" s="22"/>
      <c r="T4098" s="22"/>
      <c r="U4098" s="22"/>
      <c r="V4098" s="22"/>
      <c r="W4098" s="22"/>
      <c r="X4098" s="104"/>
      <c r="Y4098" s="195" t="str">
        <f t="shared" si="1270"/>
        <v/>
      </c>
      <c r="Z4098" s="196" t="str">
        <f t="shared" si="1271"/>
        <v/>
      </c>
      <c r="AA4098" s="22"/>
      <c r="AB4098" s="197" t="str">
        <f t="shared" si="1276"/>
        <v/>
      </c>
      <c r="AC4098" s="198" t="str">
        <f t="shared" si="1277"/>
        <v/>
      </c>
      <c r="AD4098" s="162"/>
      <c r="AE4098" s="199" t="str">
        <f t="shared" si="1278"/>
        <v/>
      </c>
      <c r="AF4098" s="199" t="str">
        <f>IF(AND(COUNTIFS($J$18:J4098,J4098)=1,AE4098=1),1,"")</f>
        <v/>
      </c>
      <c r="AG4098" s="199" t="str">
        <f>IF(C4098="","",IF(AND(COUNTIFS($J$18:J4098,J4098)=1,C4098&lt;&gt;""),1,""))</f>
        <v/>
      </c>
      <c r="AH4098" s="199" t="str">
        <f>IF(G4098="","",IF(AND(COUNTIFS($J$18:J4098,J4098)=1,G4098&lt;&gt;""),1,""))</f>
        <v/>
      </c>
      <c r="AI4098" s="200">
        <f t="shared" si="1279"/>
        <v>0</v>
      </c>
      <c r="AJ4098" s="200">
        <f t="shared" si="1280"/>
        <v>0</v>
      </c>
      <c r="AK4098" s="201" t="str">
        <f t="shared" si="1281"/>
        <v/>
      </c>
      <c r="AL4098" s="24"/>
      <c r="AM4098" s="24"/>
      <c r="AN4098" s="24"/>
      <c r="AO4098" s="24"/>
      <c r="AP4098" s="165" t="str">
        <f t="shared" si="1282"/>
        <v/>
      </c>
      <c r="AQ4098" s="203" t="str">
        <f t="shared" si="1283"/>
        <v/>
      </c>
      <c r="AR4098" s="206">
        <f t="shared" si="1284"/>
        <v>0</v>
      </c>
      <c r="AS4098" s="22" t="str">
        <f t="shared" si="1285"/>
        <v/>
      </c>
      <c r="AT4098" s="24" t="str">
        <f t="shared" si="1286"/>
        <v/>
      </c>
      <c r="AU4098" s="22" t="s">
        <v>3240</v>
      </c>
    </row>
    <row r="4099" spans="1:47">
      <c r="A4099" s="246" t="str">
        <f t="shared" si="1274"/>
        <v/>
      </c>
      <c r="B4099" s="23"/>
      <c r="C4099" s="23"/>
      <c r="D4099" s="202" t="str">
        <f t="shared" si="1275"/>
        <v/>
      </c>
      <c r="E4099" s="33" t="str">
        <f t="shared" si="1269"/>
        <v/>
      </c>
      <c r="F4099" s="23"/>
      <c r="G4099" s="23"/>
      <c r="H4099" s="29"/>
      <c r="I4099" s="204" t="str">
        <f t="shared" si="1272"/>
        <v/>
      </c>
      <c r="J4099" s="188"/>
      <c r="K4099" s="29"/>
      <c r="L4099" s="24"/>
      <c r="M4099" s="22"/>
      <c r="N4099" s="22"/>
      <c r="O4099" s="22"/>
      <c r="P4099" s="202" t="str">
        <f t="shared" si="1273"/>
        <v/>
      </c>
      <c r="Q4099" s="22"/>
      <c r="R4099" s="22"/>
      <c r="S4099" s="22"/>
      <c r="T4099" s="22"/>
      <c r="U4099" s="22"/>
      <c r="V4099" s="22"/>
      <c r="W4099" s="22"/>
      <c r="X4099" s="104"/>
      <c r="Y4099" s="195" t="str">
        <f t="shared" si="1270"/>
        <v/>
      </c>
      <c r="Z4099" s="196" t="str">
        <f t="shared" si="1271"/>
        <v/>
      </c>
      <c r="AA4099" s="22"/>
      <c r="AB4099" s="197" t="str">
        <f t="shared" si="1276"/>
        <v/>
      </c>
      <c r="AC4099" s="198" t="str">
        <f t="shared" si="1277"/>
        <v/>
      </c>
      <c r="AD4099" s="162"/>
      <c r="AE4099" s="199" t="str">
        <f t="shared" si="1278"/>
        <v/>
      </c>
      <c r="AF4099" s="199" t="str">
        <f>IF(AND(COUNTIFS($J$18:J4099,J4099)=1,AE4099=1),1,"")</f>
        <v/>
      </c>
      <c r="AG4099" s="199" t="str">
        <f>IF(C4099="","",IF(AND(COUNTIFS($J$18:J4099,J4099)=1,C4099&lt;&gt;""),1,""))</f>
        <v/>
      </c>
      <c r="AH4099" s="199" t="str">
        <f>IF(G4099="","",IF(AND(COUNTIFS($J$18:J4099,J4099)=1,G4099&lt;&gt;""),1,""))</f>
        <v/>
      </c>
      <c r="AI4099" s="200">
        <f t="shared" si="1279"/>
        <v>0</v>
      </c>
      <c r="AJ4099" s="200">
        <f t="shared" si="1280"/>
        <v>0</v>
      </c>
      <c r="AK4099" s="201" t="str">
        <f t="shared" si="1281"/>
        <v/>
      </c>
      <c r="AL4099" s="24"/>
      <c r="AM4099" s="24"/>
      <c r="AN4099" s="24"/>
      <c r="AO4099" s="24"/>
      <c r="AP4099" s="165" t="str">
        <f t="shared" si="1282"/>
        <v/>
      </c>
      <c r="AQ4099" s="203" t="str">
        <f t="shared" si="1283"/>
        <v/>
      </c>
      <c r="AR4099" s="206">
        <f t="shared" si="1284"/>
        <v>0</v>
      </c>
      <c r="AS4099" s="22" t="str">
        <f t="shared" si="1285"/>
        <v/>
      </c>
      <c r="AT4099" s="24" t="str">
        <f t="shared" si="1286"/>
        <v/>
      </c>
      <c r="AU4099" s="22" t="s">
        <v>3240</v>
      </c>
    </row>
    <row r="4100" spans="1:47">
      <c r="A4100" s="246" t="str">
        <f t="shared" si="1274"/>
        <v/>
      </c>
      <c r="B4100" s="23"/>
      <c r="C4100" s="23"/>
      <c r="D4100" s="202" t="str">
        <f t="shared" si="1275"/>
        <v/>
      </c>
      <c r="E4100" s="33" t="str">
        <f t="shared" si="1269"/>
        <v/>
      </c>
      <c r="F4100" s="23"/>
      <c r="G4100" s="23"/>
      <c r="H4100" s="29"/>
      <c r="I4100" s="204" t="str">
        <f t="shared" si="1272"/>
        <v/>
      </c>
      <c r="J4100" s="188"/>
      <c r="K4100" s="29"/>
      <c r="L4100" s="24"/>
      <c r="M4100" s="22"/>
      <c r="N4100" s="22"/>
      <c r="O4100" s="22"/>
      <c r="P4100" s="202" t="str">
        <f t="shared" si="1273"/>
        <v/>
      </c>
      <c r="Q4100" s="22"/>
      <c r="R4100" s="22"/>
      <c r="S4100" s="22"/>
      <c r="T4100" s="22"/>
      <c r="U4100" s="22"/>
      <c r="V4100" s="22"/>
      <c r="W4100" s="22"/>
      <c r="X4100" s="104"/>
      <c r="Y4100" s="195" t="str">
        <f t="shared" si="1270"/>
        <v/>
      </c>
      <c r="Z4100" s="196" t="str">
        <f t="shared" si="1271"/>
        <v/>
      </c>
      <c r="AA4100" s="22"/>
      <c r="AB4100" s="197" t="str">
        <f t="shared" si="1276"/>
        <v/>
      </c>
      <c r="AC4100" s="198" t="str">
        <f t="shared" si="1277"/>
        <v/>
      </c>
      <c r="AD4100" s="162"/>
      <c r="AE4100" s="199" t="str">
        <f t="shared" si="1278"/>
        <v/>
      </c>
      <c r="AF4100" s="199" t="str">
        <f>IF(AND(COUNTIFS($J$18:J4100,J4100)=1,AE4100=1),1,"")</f>
        <v/>
      </c>
      <c r="AG4100" s="199" t="str">
        <f>IF(C4100="","",IF(AND(COUNTIFS($J$18:J4100,J4100)=1,C4100&lt;&gt;""),1,""))</f>
        <v/>
      </c>
      <c r="AH4100" s="199" t="str">
        <f>IF(G4100="","",IF(AND(COUNTIFS($J$18:J4100,J4100)=1,G4100&lt;&gt;""),1,""))</f>
        <v/>
      </c>
      <c r="AI4100" s="200">
        <f t="shared" si="1279"/>
        <v>0</v>
      </c>
      <c r="AJ4100" s="200">
        <f t="shared" si="1280"/>
        <v>0</v>
      </c>
      <c r="AK4100" s="201" t="str">
        <f t="shared" si="1281"/>
        <v/>
      </c>
      <c r="AL4100" s="24"/>
      <c r="AM4100" s="24"/>
      <c r="AN4100" s="24"/>
      <c r="AO4100" s="24"/>
      <c r="AP4100" s="165" t="str">
        <f t="shared" si="1282"/>
        <v/>
      </c>
      <c r="AQ4100" s="203" t="str">
        <f t="shared" si="1283"/>
        <v/>
      </c>
      <c r="AR4100" s="206">
        <f t="shared" si="1284"/>
        <v>0</v>
      </c>
      <c r="AS4100" s="22" t="str">
        <f t="shared" si="1285"/>
        <v/>
      </c>
      <c r="AT4100" s="24" t="str">
        <f t="shared" si="1286"/>
        <v/>
      </c>
      <c r="AU4100" s="22" t="s">
        <v>3240</v>
      </c>
    </row>
    <row r="4101" spans="1:47">
      <c r="A4101" s="246" t="str">
        <f t="shared" si="1274"/>
        <v/>
      </c>
      <c r="B4101" s="23"/>
      <c r="C4101" s="23"/>
      <c r="D4101" s="202" t="str">
        <f t="shared" si="1275"/>
        <v/>
      </c>
      <c r="E4101" s="33" t="str">
        <f t="shared" si="1269"/>
        <v/>
      </c>
      <c r="F4101" s="23"/>
      <c r="G4101" s="23"/>
      <c r="H4101" s="29"/>
      <c r="I4101" s="204" t="str">
        <f t="shared" si="1272"/>
        <v/>
      </c>
      <c r="J4101" s="188"/>
      <c r="K4101" s="29"/>
      <c r="L4101" s="24"/>
      <c r="M4101" s="22"/>
      <c r="N4101" s="22"/>
      <c r="O4101" s="22"/>
      <c r="P4101" s="202" t="str">
        <f t="shared" si="1273"/>
        <v/>
      </c>
      <c r="Q4101" s="22"/>
      <c r="R4101" s="22"/>
      <c r="S4101" s="22"/>
      <c r="T4101" s="22"/>
      <c r="U4101" s="22"/>
      <c r="V4101" s="22"/>
      <c r="W4101" s="22"/>
      <c r="X4101" s="104"/>
      <c r="Y4101" s="195" t="str">
        <f t="shared" si="1270"/>
        <v/>
      </c>
      <c r="Z4101" s="196" t="str">
        <f t="shared" si="1271"/>
        <v/>
      </c>
      <c r="AA4101" s="22"/>
      <c r="AB4101" s="197" t="str">
        <f t="shared" si="1276"/>
        <v/>
      </c>
      <c r="AC4101" s="198" t="str">
        <f t="shared" si="1277"/>
        <v/>
      </c>
      <c r="AD4101" s="162"/>
      <c r="AE4101" s="199" t="str">
        <f t="shared" si="1278"/>
        <v/>
      </c>
      <c r="AF4101" s="199" t="str">
        <f>IF(AND(COUNTIFS($J$18:J4101,J4101)=1,AE4101=1),1,"")</f>
        <v/>
      </c>
      <c r="AG4101" s="199" t="str">
        <f>IF(C4101="","",IF(AND(COUNTIFS($J$18:J4101,J4101)=1,C4101&lt;&gt;""),1,""))</f>
        <v/>
      </c>
      <c r="AH4101" s="199" t="str">
        <f>IF(G4101="","",IF(AND(COUNTIFS($J$18:J4101,J4101)=1,G4101&lt;&gt;""),1,""))</f>
        <v/>
      </c>
      <c r="AI4101" s="200">
        <f t="shared" si="1279"/>
        <v>0</v>
      </c>
      <c r="AJ4101" s="200">
        <f t="shared" si="1280"/>
        <v>0</v>
      </c>
      <c r="AK4101" s="201" t="str">
        <f t="shared" si="1281"/>
        <v/>
      </c>
      <c r="AL4101" s="24"/>
      <c r="AM4101" s="24"/>
      <c r="AN4101" s="24"/>
      <c r="AO4101" s="24"/>
      <c r="AP4101" s="165" t="str">
        <f t="shared" si="1282"/>
        <v/>
      </c>
      <c r="AQ4101" s="203" t="str">
        <f t="shared" si="1283"/>
        <v/>
      </c>
      <c r="AR4101" s="206">
        <f t="shared" si="1284"/>
        <v>0</v>
      </c>
      <c r="AS4101" s="22" t="str">
        <f t="shared" si="1285"/>
        <v/>
      </c>
      <c r="AT4101" s="24" t="str">
        <f t="shared" si="1286"/>
        <v/>
      </c>
      <c r="AU4101" s="22" t="s">
        <v>3240</v>
      </c>
    </row>
    <row r="4102" spans="1:47">
      <c r="A4102" s="246" t="str">
        <f t="shared" si="1274"/>
        <v/>
      </c>
      <c r="B4102" s="23"/>
      <c r="C4102" s="23"/>
      <c r="D4102" s="202" t="str">
        <f t="shared" si="1275"/>
        <v/>
      </c>
      <c r="E4102" s="33" t="str">
        <f t="shared" si="1269"/>
        <v/>
      </c>
      <c r="F4102" s="23"/>
      <c r="G4102" s="23"/>
      <c r="H4102" s="29"/>
      <c r="I4102" s="204" t="str">
        <f t="shared" si="1272"/>
        <v/>
      </c>
      <c r="J4102" s="188"/>
      <c r="K4102" s="29"/>
      <c r="L4102" s="24"/>
      <c r="M4102" s="22"/>
      <c r="N4102" s="22"/>
      <c r="O4102" s="22"/>
      <c r="P4102" s="202" t="str">
        <f t="shared" si="1273"/>
        <v/>
      </c>
      <c r="Q4102" s="22"/>
      <c r="R4102" s="22"/>
      <c r="S4102" s="22"/>
      <c r="T4102" s="22"/>
      <c r="U4102" s="22"/>
      <c r="V4102" s="22"/>
      <c r="W4102" s="22"/>
      <c r="X4102" s="104"/>
      <c r="Y4102" s="195" t="str">
        <f t="shared" si="1270"/>
        <v/>
      </c>
      <c r="Z4102" s="196" t="str">
        <f t="shared" si="1271"/>
        <v/>
      </c>
      <c r="AA4102" s="22"/>
      <c r="AB4102" s="197" t="str">
        <f t="shared" si="1276"/>
        <v/>
      </c>
      <c r="AC4102" s="198" t="str">
        <f t="shared" si="1277"/>
        <v/>
      </c>
      <c r="AD4102" s="162"/>
      <c r="AE4102" s="199" t="str">
        <f t="shared" si="1278"/>
        <v/>
      </c>
      <c r="AF4102" s="199" t="str">
        <f>IF(AND(COUNTIFS($J$18:J4102,J4102)=1,AE4102=1),1,"")</f>
        <v/>
      </c>
      <c r="AG4102" s="199" t="str">
        <f>IF(C4102="","",IF(AND(COUNTIFS($J$18:J4102,J4102)=1,C4102&lt;&gt;""),1,""))</f>
        <v/>
      </c>
      <c r="AH4102" s="199" t="str">
        <f>IF(G4102="","",IF(AND(COUNTIFS($J$18:J4102,J4102)=1,G4102&lt;&gt;""),1,""))</f>
        <v/>
      </c>
      <c r="AI4102" s="200">
        <f t="shared" si="1279"/>
        <v>0</v>
      </c>
      <c r="AJ4102" s="200">
        <f t="shared" si="1280"/>
        <v>0</v>
      </c>
      <c r="AK4102" s="201" t="str">
        <f t="shared" si="1281"/>
        <v/>
      </c>
      <c r="AL4102" s="24"/>
      <c r="AM4102" s="24"/>
      <c r="AN4102" s="24"/>
      <c r="AO4102" s="24"/>
      <c r="AP4102" s="165" t="str">
        <f t="shared" si="1282"/>
        <v/>
      </c>
      <c r="AQ4102" s="203" t="str">
        <f t="shared" si="1283"/>
        <v/>
      </c>
      <c r="AR4102" s="206">
        <f t="shared" si="1284"/>
        <v>0</v>
      </c>
      <c r="AS4102" s="22" t="str">
        <f t="shared" si="1285"/>
        <v/>
      </c>
      <c r="AT4102" s="24" t="str">
        <f t="shared" si="1286"/>
        <v/>
      </c>
      <c r="AU4102" s="22" t="s">
        <v>3240</v>
      </c>
    </row>
    <row r="4103" spans="1:47">
      <c r="A4103" s="246" t="str">
        <f t="shared" si="1274"/>
        <v/>
      </c>
      <c r="B4103" s="23"/>
      <c r="C4103" s="23"/>
      <c r="D4103" s="202" t="str">
        <f t="shared" si="1275"/>
        <v/>
      </c>
      <c r="E4103" s="33" t="str">
        <f t="shared" si="1269"/>
        <v/>
      </c>
      <c r="F4103" s="23"/>
      <c r="G4103" s="23"/>
      <c r="H4103" s="29"/>
      <c r="I4103" s="204" t="str">
        <f t="shared" si="1272"/>
        <v/>
      </c>
      <c r="J4103" s="188"/>
      <c r="K4103" s="29"/>
      <c r="L4103" s="24"/>
      <c r="M4103" s="22"/>
      <c r="N4103" s="22"/>
      <c r="O4103" s="22"/>
      <c r="P4103" s="202" t="str">
        <f t="shared" si="1273"/>
        <v/>
      </c>
      <c r="Q4103" s="22"/>
      <c r="R4103" s="22"/>
      <c r="S4103" s="22"/>
      <c r="T4103" s="22"/>
      <c r="U4103" s="22"/>
      <c r="V4103" s="22"/>
      <c r="W4103" s="22"/>
      <c r="X4103" s="104"/>
      <c r="Y4103" s="195" t="str">
        <f t="shared" si="1270"/>
        <v/>
      </c>
      <c r="Z4103" s="196" t="str">
        <f t="shared" si="1271"/>
        <v/>
      </c>
      <c r="AA4103" s="22"/>
      <c r="AB4103" s="197" t="str">
        <f t="shared" si="1276"/>
        <v/>
      </c>
      <c r="AC4103" s="198" t="str">
        <f t="shared" si="1277"/>
        <v/>
      </c>
      <c r="AD4103" s="162"/>
      <c r="AE4103" s="199" t="str">
        <f t="shared" si="1278"/>
        <v/>
      </c>
      <c r="AF4103" s="199" t="str">
        <f>IF(AND(COUNTIFS($J$18:J4103,J4103)=1,AE4103=1),1,"")</f>
        <v/>
      </c>
      <c r="AG4103" s="199" t="str">
        <f>IF(C4103="","",IF(AND(COUNTIFS($J$18:J4103,J4103)=1,C4103&lt;&gt;""),1,""))</f>
        <v/>
      </c>
      <c r="AH4103" s="199" t="str">
        <f>IF(G4103="","",IF(AND(COUNTIFS($J$18:J4103,J4103)=1,G4103&lt;&gt;""),1,""))</f>
        <v/>
      </c>
      <c r="AI4103" s="200">
        <f t="shared" si="1279"/>
        <v>0</v>
      </c>
      <c r="AJ4103" s="200">
        <f t="shared" si="1280"/>
        <v>0</v>
      </c>
      <c r="AK4103" s="201" t="str">
        <f t="shared" si="1281"/>
        <v/>
      </c>
      <c r="AL4103" s="24"/>
      <c r="AM4103" s="24"/>
      <c r="AN4103" s="24"/>
      <c r="AO4103" s="24"/>
      <c r="AP4103" s="165" t="str">
        <f t="shared" si="1282"/>
        <v/>
      </c>
      <c r="AQ4103" s="203" t="str">
        <f t="shared" si="1283"/>
        <v/>
      </c>
      <c r="AR4103" s="206">
        <f t="shared" si="1284"/>
        <v>0</v>
      </c>
      <c r="AS4103" s="22" t="str">
        <f t="shared" si="1285"/>
        <v/>
      </c>
      <c r="AT4103" s="24" t="str">
        <f t="shared" si="1286"/>
        <v/>
      </c>
      <c r="AU4103" s="22" t="s">
        <v>3240</v>
      </c>
    </row>
    <row r="4104" spans="1:47">
      <c r="A4104" s="246" t="str">
        <f t="shared" si="1274"/>
        <v/>
      </c>
      <c r="B4104" s="23"/>
      <c r="C4104" s="23"/>
      <c r="D4104" s="202" t="str">
        <f t="shared" si="1275"/>
        <v/>
      </c>
      <c r="E4104" s="33" t="str">
        <f t="shared" si="1269"/>
        <v/>
      </c>
      <c r="F4104" s="23"/>
      <c r="G4104" s="23"/>
      <c r="H4104" s="29"/>
      <c r="I4104" s="204" t="str">
        <f t="shared" si="1272"/>
        <v/>
      </c>
      <c r="J4104" s="188"/>
      <c r="K4104" s="29"/>
      <c r="L4104" s="24"/>
      <c r="M4104" s="22"/>
      <c r="N4104" s="22"/>
      <c r="O4104" s="22"/>
      <c r="P4104" s="202" t="str">
        <f t="shared" si="1273"/>
        <v/>
      </c>
      <c r="Q4104" s="22"/>
      <c r="R4104" s="22"/>
      <c r="S4104" s="22"/>
      <c r="T4104" s="22"/>
      <c r="U4104" s="22"/>
      <c r="V4104" s="22"/>
      <c r="W4104" s="22"/>
      <c r="X4104" s="104"/>
      <c r="Y4104" s="195" t="str">
        <f t="shared" si="1270"/>
        <v/>
      </c>
      <c r="Z4104" s="196" t="str">
        <f t="shared" si="1271"/>
        <v/>
      </c>
      <c r="AA4104" s="22"/>
      <c r="AB4104" s="197" t="str">
        <f t="shared" si="1276"/>
        <v/>
      </c>
      <c r="AC4104" s="198" t="str">
        <f t="shared" si="1277"/>
        <v/>
      </c>
      <c r="AD4104" s="162"/>
      <c r="AE4104" s="199" t="str">
        <f t="shared" si="1278"/>
        <v/>
      </c>
      <c r="AF4104" s="199" t="str">
        <f>IF(AND(COUNTIFS($J$18:J4104,J4104)=1,AE4104=1),1,"")</f>
        <v/>
      </c>
      <c r="AG4104" s="199" t="str">
        <f>IF(C4104="","",IF(AND(COUNTIFS($J$18:J4104,J4104)=1,C4104&lt;&gt;""),1,""))</f>
        <v/>
      </c>
      <c r="AH4104" s="199" t="str">
        <f>IF(G4104="","",IF(AND(COUNTIFS($J$18:J4104,J4104)=1,G4104&lt;&gt;""),1,""))</f>
        <v/>
      </c>
      <c r="AI4104" s="200">
        <f t="shared" si="1279"/>
        <v>0</v>
      </c>
      <c r="AJ4104" s="200">
        <f t="shared" si="1280"/>
        <v>0</v>
      </c>
      <c r="AK4104" s="201" t="str">
        <f t="shared" si="1281"/>
        <v/>
      </c>
      <c r="AL4104" s="24"/>
      <c r="AM4104" s="24"/>
      <c r="AN4104" s="24"/>
      <c r="AO4104" s="24"/>
      <c r="AP4104" s="165" t="str">
        <f t="shared" si="1282"/>
        <v/>
      </c>
      <c r="AQ4104" s="203" t="str">
        <f t="shared" si="1283"/>
        <v/>
      </c>
      <c r="AR4104" s="206">
        <f t="shared" si="1284"/>
        <v>0</v>
      </c>
      <c r="AS4104" s="22" t="str">
        <f t="shared" si="1285"/>
        <v/>
      </c>
      <c r="AT4104" s="24" t="str">
        <f t="shared" si="1286"/>
        <v/>
      </c>
      <c r="AU4104" s="22" t="s">
        <v>3240</v>
      </c>
    </row>
    <row r="4105" spans="1:47">
      <c r="A4105" s="246" t="str">
        <f t="shared" si="1274"/>
        <v/>
      </c>
      <c r="B4105" s="23"/>
      <c r="C4105" s="23"/>
      <c r="D4105" s="202" t="str">
        <f t="shared" si="1275"/>
        <v/>
      </c>
      <c r="E4105" s="33" t="str">
        <f t="shared" si="1269"/>
        <v/>
      </c>
      <c r="F4105" s="23"/>
      <c r="G4105" s="23"/>
      <c r="H4105" s="29"/>
      <c r="I4105" s="204" t="str">
        <f t="shared" si="1272"/>
        <v/>
      </c>
      <c r="J4105" s="188"/>
      <c r="K4105" s="29"/>
      <c r="L4105" s="24"/>
      <c r="M4105" s="22"/>
      <c r="N4105" s="22"/>
      <c r="O4105" s="22"/>
      <c r="P4105" s="202" t="str">
        <f t="shared" si="1273"/>
        <v/>
      </c>
      <c r="Q4105" s="22"/>
      <c r="R4105" s="22"/>
      <c r="S4105" s="22"/>
      <c r="T4105" s="22"/>
      <c r="U4105" s="22"/>
      <c r="V4105" s="22"/>
      <c r="W4105" s="22"/>
      <c r="X4105" s="104"/>
      <c r="Y4105" s="195" t="str">
        <f t="shared" si="1270"/>
        <v/>
      </c>
      <c r="Z4105" s="196" t="str">
        <f t="shared" si="1271"/>
        <v/>
      </c>
      <c r="AA4105" s="22"/>
      <c r="AB4105" s="197" t="str">
        <f t="shared" si="1276"/>
        <v/>
      </c>
      <c r="AC4105" s="198" t="str">
        <f t="shared" si="1277"/>
        <v/>
      </c>
      <c r="AD4105" s="162"/>
      <c r="AE4105" s="199" t="str">
        <f t="shared" si="1278"/>
        <v/>
      </c>
      <c r="AF4105" s="199" t="str">
        <f>IF(AND(COUNTIFS($J$18:J4105,J4105)=1,AE4105=1),1,"")</f>
        <v/>
      </c>
      <c r="AG4105" s="199" t="str">
        <f>IF(C4105="","",IF(AND(COUNTIFS($J$18:J4105,J4105)=1,C4105&lt;&gt;""),1,""))</f>
        <v/>
      </c>
      <c r="AH4105" s="199" t="str">
        <f>IF(G4105="","",IF(AND(COUNTIFS($J$18:J4105,J4105)=1,G4105&lt;&gt;""),1,""))</f>
        <v/>
      </c>
      <c r="AI4105" s="200">
        <f t="shared" si="1279"/>
        <v>0</v>
      </c>
      <c r="AJ4105" s="200">
        <f t="shared" si="1280"/>
        <v>0</v>
      </c>
      <c r="AK4105" s="201" t="str">
        <f t="shared" si="1281"/>
        <v/>
      </c>
      <c r="AL4105" s="24"/>
      <c r="AM4105" s="24"/>
      <c r="AN4105" s="24"/>
      <c r="AO4105" s="24"/>
      <c r="AP4105" s="165" t="str">
        <f t="shared" si="1282"/>
        <v/>
      </c>
      <c r="AQ4105" s="203" t="str">
        <f t="shared" si="1283"/>
        <v/>
      </c>
      <c r="AR4105" s="206">
        <f t="shared" si="1284"/>
        <v>0</v>
      </c>
      <c r="AS4105" s="22" t="str">
        <f t="shared" si="1285"/>
        <v/>
      </c>
      <c r="AT4105" s="24" t="str">
        <f t="shared" si="1286"/>
        <v/>
      </c>
      <c r="AU4105" s="22" t="s">
        <v>3240</v>
      </c>
    </row>
    <row r="4106" spans="1:47">
      <c r="A4106" s="246" t="str">
        <f t="shared" si="1274"/>
        <v/>
      </c>
      <c r="B4106" s="23"/>
      <c r="C4106" s="23"/>
      <c r="D4106" s="202" t="str">
        <f t="shared" si="1275"/>
        <v/>
      </c>
      <c r="E4106" s="33" t="str">
        <f t="shared" si="1269"/>
        <v/>
      </c>
      <c r="F4106" s="23"/>
      <c r="G4106" s="23"/>
      <c r="H4106" s="29"/>
      <c r="I4106" s="204" t="str">
        <f t="shared" si="1272"/>
        <v/>
      </c>
      <c r="J4106" s="188"/>
      <c r="K4106" s="29"/>
      <c r="L4106" s="24"/>
      <c r="M4106" s="22"/>
      <c r="N4106" s="22"/>
      <c r="O4106" s="22"/>
      <c r="P4106" s="202" t="str">
        <f t="shared" si="1273"/>
        <v/>
      </c>
      <c r="Q4106" s="22"/>
      <c r="R4106" s="22"/>
      <c r="S4106" s="22"/>
      <c r="T4106" s="22"/>
      <c r="U4106" s="22"/>
      <c r="V4106" s="22"/>
      <c r="W4106" s="22"/>
      <c r="X4106" s="104"/>
      <c r="Y4106" s="195" t="str">
        <f t="shared" si="1270"/>
        <v/>
      </c>
      <c r="Z4106" s="196" t="str">
        <f t="shared" si="1271"/>
        <v/>
      </c>
      <c r="AA4106" s="22"/>
      <c r="AB4106" s="197" t="str">
        <f t="shared" si="1276"/>
        <v/>
      </c>
      <c r="AC4106" s="198" t="str">
        <f t="shared" si="1277"/>
        <v/>
      </c>
      <c r="AD4106" s="162"/>
      <c r="AE4106" s="199" t="str">
        <f t="shared" si="1278"/>
        <v/>
      </c>
      <c r="AF4106" s="199" t="str">
        <f>IF(AND(COUNTIFS($J$18:J4106,J4106)=1,AE4106=1),1,"")</f>
        <v/>
      </c>
      <c r="AG4106" s="199" t="str">
        <f>IF(C4106="","",IF(AND(COUNTIFS($J$18:J4106,J4106)=1,C4106&lt;&gt;""),1,""))</f>
        <v/>
      </c>
      <c r="AH4106" s="199" t="str">
        <f>IF(G4106="","",IF(AND(COUNTIFS($J$18:J4106,J4106)=1,G4106&lt;&gt;""),1,""))</f>
        <v/>
      </c>
      <c r="AI4106" s="200">
        <f t="shared" si="1279"/>
        <v>0</v>
      </c>
      <c r="AJ4106" s="200">
        <f t="shared" si="1280"/>
        <v>0</v>
      </c>
      <c r="AK4106" s="201" t="str">
        <f t="shared" si="1281"/>
        <v/>
      </c>
      <c r="AL4106" s="24"/>
      <c r="AM4106" s="24"/>
      <c r="AN4106" s="24"/>
      <c r="AO4106" s="24"/>
      <c r="AP4106" s="165" t="str">
        <f t="shared" si="1282"/>
        <v/>
      </c>
      <c r="AQ4106" s="203" t="str">
        <f t="shared" si="1283"/>
        <v/>
      </c>
      <c r="AR4106" s="206">
        <f t="shared" si="1284"/>
        <v>0</v>
      </c>
      <c r="AS4106" s="22" t="str">
        <f t="shared" si="1285"/>
        <v/>
      </c>
      <c r="AT4106" s="24" t="str">
        <f t="shared" si="1286"/>
        <v/>
      </c>
      <c r="AU4106" s="22" t="s">
        <v>3240</v>
      </c>
    </row>
    <row r="4107" spans="1:47">
      <c r="A4107" s="246" t="str">
        <f t="shared" si="1274"/>
        <v/>
      </c>
      <c r="B4107" s="23"/>
      <c r="C4107" s="23"/>
      <c r="D4107" s="202" t="str">
        <f t="shared" si="1275"/>
        <v/>
      </c>
      <c r="E4107" s="33" t="str">
        <f t="shared" si="1269"/>
        <v/>
      </c>
      <c r="F4107" s="23"/>
      <c r="G4107" s="23"/>
      <c r="H4107" s="29"/>
      <c r="I4107" s="204" t="str">
        <f t="shared" si="1272"/>
        <v/>
      </c>
      <c r="J4107" s="188"/>
      <c r="K4107" s="29"/>
      <c r="L4107" s="24"/>
      <c r="M4107" s="22"/>
      <c r="N4107" s="22"/>
      <c r="O4107" s="22"/>
      <c r="P4107" s="202" t="str">
        <f t="shared" si="1273"/>
        <v/>
      </c>
      <c r="Q4107" s="22"/>
      <c r="R4107" s="22"/>
      <c r="S4107" s="22"/>
      <c r="T4107" s="22"/>
      <c r="U4107" s="22"/>
      <c r="V4107" s="22"/>
      <c r="W4107" s="22"/>
      <c r="X4107" s="104"/>
      <c r="Y4107" s="195" t="str">
        <f t="shared" si="1270"/>
        <v/>
      </c>
      <c r="Z4107" s="196" t="str">
        <f t="shared" si="1271"/>
        <v/>
      </c>
      <c r="AA4107" s="22"/>
      <c r="AB4107" s="197" t="str">
        <f t="shared" si="1276"/>
        <v/>
      </c>
      <c r="AC4107" s="198" t="str">
        <f t="shared" si="1277"/>
        <v/>
      </c>
      <c r="AD4107" s="162"/>
      <c r="AE4107" s="199" t="str">
        <f t="shared" si="1278"/>
        <v/>
      </c>
      <c r="AF4107" s="199" t="str">
        <f>IF(AND(COUNTIFS($J$18:J4107,J4107)=1,AE4107=1),1,"")</f>
        <v/>
      </c>
      <c r="AG4107" s="199" t="str">
        <f>IF(C4107="","",IF(AND(COUNTIFS($J$18:J4107,J4107)=1,C4107&lt;&gt;""),1,""))</f>
        <v/>
      </c>
      <c r="AH4107" s="199" t="str">
        <f>IF(G4107="","",IF(AND(COUNTIFS($J$18:J4107,J4107)=1,G4107&lt;&gt;""),1,""))</f>
        <v/>
      </c>
      <c r="AI4107" s="200">
        <f t="shared" si="1279"/>
        <v>0</v>
      </c>
      <c r="AJ4107" s="200">
        <f t="shared" si="1280"/>
        <v>0</v>
      </c>
      <c r="AK4107" s="201" t="str">
        <f t="shared" si="1281"/>
        <v/>
      </c>
      <c r="AL4107" s="24"/>
      <c r="AM4107" s="24"/>
      <c r="AN4107" s="24"/>
      <c r="AO4107" s="24"/>
      <c r="AP4107" s="165" t="str">
        <f t="shared" si="1282"/>
        <v/>
      </c>
      <c r="AQ4107" s="203" t="str">
        <f t="shared" si="1283"/>
        <v/>
      </c>
      <c r="AR4107" s="206">
        <f t="shared" si="1284"/>
        <v>0</v>
      </c>
      <c r="AS4107" s="22" t="str">
        <f t="shared" si="1285"/>
        <v/>
      </c>
      <c r="AT4107" s="24" t="str">
        <f t="shared" si="1286"/>
        <v/>
      </c>
      <c r="AU4107" s="22" t="s">
        <v>3240</v>
      </c>
    </row>
    <row r="4108" spans="1:47">
      <c r="A4108" s="246" t="str">
        <f t="shared" si="1274"/>
        <v/>
      </c>
      <c r="B4108" s="23"/>
      <c r="C4108" s="23"/>
      <c r="D4108" s="202" t="str">
        <f t="shared" si="1275"/>
        <v/>
      </c>
      <c r="E4108" s="33" t="str">
        <f t="shared" si="1269"/>
        <v/>
      </c>
      <c r="F4108" s="23"/>
      <c r="G4108" s="23"/>
      <c r="H4108" s="29"/>
      <c r="I4108" s="204" t="str">
        <f t="shared" si="1272"/>
        <v/>
      </c>
      <c r="J4108" s="188"/>
      <c r="K4108" s="29"/>
      <c r="L4108" s="24"/>
      <c r="M4108" s="22"/>
      <c r="N4108" s="22"/>
      <c r="O4108" s="22"/>
      <c r="P4108" s="202" t="str">
        <f t="shared" si="1273"/>
        <v/>
      </c>
      <c r="Q4108" s="22"/>
      <c r="R4108" s="22"/>
      <c r="S4108" s="22"/>
      <c r="T4108" s="22"/>
      <c r="U4108" s="22"/>
      <c r="V4108" s="22"/>
      <c r="W4108" s="22"/>
      <c r="X4108" s="104"/>
      <c r="Y4108" s="195" t="str">
        <f t="shared" si="1270"/>
        <v/>
      </c>
      <c r="Z4108" s="196" t="str">
        <f t="shared" si="1271"/>
        <v/>
      </c>
      <c r="AA4108" s="22"/>
      <c r="AB4108" s="197" t="str">
        <f t="shared" si="1276"/>
        <v/>
      </c>
      <c r="AC4108" s="198" t="str">
        <f t="shared" si="1277"/>
        <v/>
      </c>
      <c r="AD4108" s="162"/>
      <c r="AE4108" s="199" t="str">
        <f t="shared" si="1278"/>
        <v/>
      </c>
      <c r="AF4108" s="199" t="str">
        <f>IF(AND(COUNTIFS($J$18:J4108,J4108)=1,AE4108=1),1,"")</f>
        <v/>
      </c>
      <c r="AG4108" s="199" t="str">
        <f>IF(C4108="","",IF(AND(COUNTIFS($J$18:J4108,J4108)=1,C4108&lt;&gt;""),1,""))</f>
        <v/>
      </c>
      <c r="AH4108" s="199" t="str">
        <f>IF(G4108="","",IF(AND(COUNTIFS($J$18:J4108,J4108)=1,G4108&lt;&gt;""),1,""))</f>
        <v/>
      </c>
      <c r="AI4108" s="200">
        <f t="shared" si="1279"/>
        <v>0</v>
      </c>
      <c r="AJ4108" s="200">
        <f t="shared" si="1280"/>
        <v>0</v>
      </c>
      <c r="AK4108" s="201" t="str">
        <f t="shared" si="1281"/>
        <v/>
      </c>
      <c r="AL4108" s="24"/>
      <c r="AM4108" s="24"/>
      <c r="AN4108" s="24"/>
      <c r="AO4108" s="24"/>
      <c r="AP4108" s="165" t="str">
        <f t="shared" si="1282"/>
        <v/>
      </c>
      <c r="AQ4108" s="203" t="str">
        <f t="shared" si="1283"/>
        <v/>
      </c>
      <c r="AR4108" s="206">
        <f t="shared" si="1284"/>
        <v>0</v>
      </c>
      <c r="AS4108" s="22" t="str">
        <f t="shared" si="1285"/>
        <v/>
      </c>
      <c r="AT4108" s="24" t="str">
        <f t="shared" si="1286"/>
        <v/>
      </c>
      <c r="AU4108" s="22" t="s">
        <v>3240</v>
      </c>
    </row>
    <row r="4109" spans="1:47">
      <c r="A4109" s="246" t="str">
        <f t="shared" si="1274"/>
        <v/>
      </c>
      <c r="B4109" s="23"/>
      <c r="C4109" s="23"/>
      <c r="D4109" s="202" t="str">
        <f t="shared" si="1275"/>
        <v/>
      </c>
      <c r="E4109" s="33" t="str">
        <f t="shared" si="1269"/>
        <v/>
      </c>
      <c r="F4109" s="23"/>
      <c r="G4109" s="23"/>
      <c r="H4109" s="29"/>
      <c r="I4109" s="204" t="str">
        <f t="shared" si="1272"/>
        <v/>
      </c>
      <c r="J4109" s="188"/>
      <c r="K4109" s="29"/>
      <c r="L4109" s="24"/>
      <c r="M4109" s="22"/>
      <c r="N4109" s="22"/>
      <c r="O4109" s="22"/>
      <c r="P4109" s="202" t="str">
        <f t="shared" si="1273"/>
        <v/>
      </c>
      <c r="Q4109" s="22"/>
      <c r="R4109" s="22"/>
      <c r="S4109" s="22"/>
      <c r="T4109" s="22"/>
      <c r="U4109" s="22"/>
      <c r="V4109" s="22"/>
      <c r="W4109" s="22"/>
      <c r="X4109" s="104"/>
      <c r="Y4109" s="195" t="str">
        <f t="shared" si="1270"/>
        <v/>
      </c>
      <c r="Z4109" s="196" t="str">
        <f t="shared" si="1271"/>
        <v/>
      </c>
      <c r="AA4109" s="22"/>
      <c r="AB4109" s="197" t="str">
        <f t="shared" si="1276"/>
        <v/>
      </c>
      <c r="AC4109" s="198" t="str">
        <f t="shared" si="1277"/>
        <v/>
      </c>
      <c r="AD4109" s="162"/>
      <c r="AE4109" s="199" t="str">
        <f t="shared" si="1278"/>
        <v/>
      </c>
      <c r="AF4109" s="199" t="str">
        <f>IF(AND(COUNTIFS($J$18:J4109,J4109)=1,AE4109=1),1,"")</f>
        <v/>
      </c>
      <c r="AG4109" s="199" t="str">
        <f>IF(C4109="","",IF(AND(COUNTIFS($J$18:J4109,J4109)=1,C4109&lt;&gt;""),1,""))</f>
        <v/>
      </c>
      <c r="AH4109" s="199" t="str">
        <f>IF(G4109="","",IF(AND(COUNTIFS($J$18:J4109,J4109)=1,G4109&lt;&gt;""),1,""))</f>
        <v/>
      </c>
      <c r="AI4109" s="200">
        <f t="shared" si="1279"/>
        <v>0</v>
      </c>
      <c r="AJ4109" s="200">
        <f t="shared" si="1280"/>
        <v>0</v>
      </c>
      <c r="AK4109" s="201" t="str">
        <f t="shared" si="1281"/>
        <v/>
      </c>
      <c r="AL4109" s="24"/>
      <c r="AM4109" s="24"/>
      <c r="AN4109" s="24"/>
      <c r="AO4109" s="24"/>
      <c r="AP4109" s="165" t="str">
        <f t="shared" si="1282"/>
        <v/>
      </c>
      <c r="AQ4109" s="203" t="str">
        <f t="shared" si="1283"/>
        <v/>
      </c>
      <c r="AR4109" s="206">
        <f t="shared" si="1284"/>
        <v>0</v>
      </c>
      <c r="AS4109" s="22" t="str">
        <f t="shared" si="1285"/>
        <v/>
      </c>
      <c r="AT4109" s="24" t="str">
        <f t="shared" si="1286"/>
        <v/>
      </c>
      <c r="AU4109" s="22" t="s">
        <v>3240</v>
      </c>
    </row>
    <row r="4110" spans="1:47">
      <c r="A4110" s="246" t="str">
        <f t="shared" si="1274"/>
        <v/>
      </c>
      <c r="B4110" s="23"/>
      <c r="C4110" s="23"/>
      <c r="D4110" s="202" t="str">
        <f t="shared" si="1275"/>
        <v/>
      </c>
      <c r="E4110" s="33" t="str">
        <f t="shared" si="1269"/>
        <v/>
      </c>
      <c r="F4110" s="23"/>
      <c r="G4110" s="23"/>
      <c r="H4110" s="29"/>
      <c r="I4110" s="204" t="str">
        <f t="shared" si="1272"/>
        <v/>
      </c>
      <c r="J4110" s="188"/>
      <c r="K4110" s="29"/>
      <c r="L4110" s="24"/>
      <c r="M4110" s="22"/>
      <c r="N4110" s="22"/>
      <c r="O4110" s="22"/>
      <c r="P4110" s="202" t="str">
        <f t="shared" si="1273"/>
        <v/>
      </c>
      <c r="Q4110" s="22"/>
      <c r="R4110" s="22"/>
      <c r="S4110" s="22"/>
      <c r="T4110" s="22"/>
      <c r="U4110" s="22"/>
      <c r="V4110" s="22"/>
      <c r="W4110" s="22"/>
      <c r="X4110" s="104"/>
      <c r="Y4110" s="195" t="str">
        <f t="shared" si="1270"/>
        <v/>
      </c>
      <c r="Z4110" s="196" t="str">
        <f t="shared" si="1271"/>
        <v/>
      </c>
      <c r="AA4110" s="22"/>
      <c r="AB4110" s="197" t="str">
        <f t="shared" si="1276"/>
        <v/>
      </c>
      <c r="AC4110" s="198" t="str">
        <f t="shared" si="1277"/>
        <v/>
      </c>
      <c r="AD4110" s="162"/>
      <c r="AE4110" s="199" t="str">
        <f t="shared" si="1278"/>
        <v/>
      </c>
      <c r="AF4110" s="199" t="str">
        <f>IF(AND(COUNTIFS($J$18:J4110,J4110)=1,AE4110=1),1,"")</f>
        <v/>
      </c>
      <c r="AG4110" s="199" t="str">
        <f>IF(C4110="","",IF(AND(COUNTIFS($J$18:J4110,J4110)=1,C4110&lt;&gt;""),1,""))</f>
        <v/>
      </c>
      <c r="AH4110" s="199" t="str">
        <f>IF(G4110="","",IF(AND(COUNTIFS($J$18:J4110,J4110)=1,G4110&lt;&gt;""),1,""))</f>
        <v/>
      </c>
      <c r="AI4110" s="200">
        <f t="shared" si="1279"/>
        <v>0</v>
      </c>
      <c r="AJ4110" s="200">
        <f t="shared" si="1280"/>
        <v>0</v>
      </c>
      <c r="AK4110" s="201" t="str">
        <f t="shared" si="1281"/>
        <v/>
      </c>
      <c r="AL4110" s="24"/>
      <c r="AM4110" s="24"/>
      <c r="AN4110" s="24"/>
      <c r="AO4110" s="24"/>
      <c r="AP4110" s="165" t="str">
        <f t="shared" si="1282"/>
        <v/>
      </c>
      <c r="AQ4110" s="203" t="str">
        <f t="shared" si="1283"/>
        <v/>
      </c>
      <c r="AR4110" s="206">
        <f t="shared" si="1284"/>
        <v>0</v>
      </c>
      <c r="AS4110" s="22" t="str">
        <f t="shared" si="1285"/>
        <v/>
      </c>
      <c r="AT4110" s="24" t="str">
        <f t="shared" si="1286"/>
        <v/>
      </c>
      <c r="AU4110" s="22" t="s">
        <v>3240</v>
      </c>
    </row>
    <row r="4111" spans="1:47">
      <c r="A4111" s="246" t="str">
        <f t="shared" si="1274"/>
        <v/>
      </c>
      <c r="B4111" s="23"/>
      <c r="C4111" s="23"/>
      <c r="D4111" s="202" t="str">
        <f t="shared" si="1275"/>
        <v/>
      </c>
      <c r="E4111" s="33" t="str">
        <f t="shared" si="1269"/>
        <v/>
      </c>
      <c r="F4111" s="23"/>
      <c r="G4111" s="23"/>
      <c r="H4111" s="29"/>
      <c r="I4111" s="204" t="str">
        <f t="shared" si="1272"/>
        <v/>
      </c>
      <c r="J4111" s="188"/>
      <c r="K4111" s="29"/>
      <c r="L4111" s="24"/>
      <c r="M4111" s="22"/>
      <c r="N4111" s="22"/>
      <c r="O4111" s="22"/>
      <c r="P4111" s="202" t="str">
        <f t="shared" si="1273"/>
        <v/>
      </c>
      <c r="Q4111" s="22"/>
      <c r="R4111" s="22"/>
      <c r="S4111" s="22"/>
      <c r="T4111" s="22"/>
      <c r="U4111" s="22"/>
      <c r="V4111" s="22"/>
      <c r="W4111" s="22"/>
      <c r="X4111" s="104"/>
      <c r="Y4111" s="195" t="str">
        <f t="shared" si="1270"/>
        <v/>
      </c>
      <c r="Z4111" s="196" t="str">
        <f t="shared" si="1271"/>
        <v/>
      </c>
      <c r="AA4111" s="22"/>
      <c r="AB4111" s="197" t="str">
        <f t="shared" si="1276"/>
        <v/>
      </c>
      <c r="AC4111" s="198" t="str">
        <f t="shared" si="1277"/>
        <v/>
      </c>
      <c r="AD4111" s="162"/>
      <c r="AE4111" s="199" t="str">
        <f t="shared" si="1278"/>
        <v/>
      </c>
      <c r="AF4111" s="199" t="str">
        <f>IF(AND(COUNTIFS($J$18:J4111,J4111)=1,AE4111=1),1,"")</f>
        <v/>
      </c>
      <c r="AG4111" s="199" t="str">
        <f>IF(C4111="","",IF(AND(COUNTIFS($J$18:J4111,J4111)=1,C4111&lt;&gt;""),1,""))</f>
        <v/>
      </c>
      <c r="AH4111" s="199" t="str">
        <f>IF(G4111="","",IF(AND(COUNTIFS($J$18:J4111,J4111)=1,G4111&lt;&gt;""),1,""))</f>
        <v/>
      </c>
      <c r="AI4111" s="200">
        <f t="shared" si="1279"/>
        <v>0</v>
      </c>
      <c r="AJ4111" s="200">
        <f t="shared" si="1280"/>
        <v>0</v>
      </c>
      <c r="AK4111" s="201" t="str">
        <f t="shared" si="1281"/>
        <v/>
      </c>
      <c r="AL4111" s="24"/>
      <c r="AM4111" s="24"/>
      <c r="AN4111" s="24"/>
      <c r="AO4111" s="24"/>
      <c r="AP4111" s="165" t="str">
        <f t="shared" si="1282"/>
        <v/>
      </c>
      <c r="AQ4111" s="203" t="str">
        <f t="shared" si="1283"/>
        <v/>
      </c>
      <c r="AR4111" s="206">
        <f t="shared" si="1284"/>
        <v>0</v>
      </c>
      <c r="AS4111" s="22" t="str">
        <f t="shared" si="1285"/>
        <v/>
      </c>
      <c r="AT4111" s="24" t="str">
        <f t="shared" si="1286"/>
        <v/>
      </c>
      <c r="AU4111" s="22" t="s">
        <v>3240</v>
      </c>
    </row>
    <row r="4112" spans="1:47">
      <c r="A4112" s="246" t="str">
        <f t="shared" si="1274"/>
        <v/>
      </c>
      <c r="B4112" s="23"/>
      <c r="C4112" s="23"/>
      <c r="D4112" s="202" t="str">
        <f t="shared" si="1275"/>
        <v/>
      </c>
      <c r="E4112" s="33" t="str">
        <f t="shared" si="1269"/>
        <v/>
      </c>
      <c r="F4112" s="23"/>
      <c r="G4112" s="23"/>
      <c r="H4112" s="29"/>
      <c r="I4112" s="204" t="str">
        <f t="shared" si="1272"/>
        <v/>
      </c>
      <c r="J4112" s="188"/>
      <c r="K4112" s="29"/>
      <c r="L4112" s="24"/>
      <c r="M4112" s="22"/>
      <c r="N4112" s="22"/>
      <c r="O4112" s="22"/>
      <c r="P4112" s="202" t="str">
        <f t="shared" si="1273"/>
        <v/>
      </c>
      <c r="Q4112" s="22"/>
      <c r="R4112" s="22"/>
      <c r="S4112" s="22"/>
      <c r="T4112" s="22"/>
      <c r="U4112" s="22"/>
      <c r="V4112" s="22"/>
      <c r="W4112" s="22"/>
      <c r="X4112" s="104"/>
      <c r="Y4112" s="195" t="str">
        <f t="shared" si="1270"/>
        <v/>
      </c>
      <c r="Z4112" s="196" t="str">
        <f t="shared" si="1271"/>
        <v/>
      </c>
      <c r="AA4112" s="22"/>
      <c r="AB4112" s="197" t="str">
        <f t="shared" si="1276"/>
        <v/>
      </c>
      <c r="AC4112" s="198" t="str">
        <f t="shared" si="1277"/>
        <v/>
      </c>
      <c r="AD4112" s="162"/>
      <c r="AE4112" s="199" t="str">
        <f t="shared" si="1278"/>
        <v/>
      </c>
      <c r="AF4112" s="199" t="str">
        <f>IF(AND(COUNTIFS($J$18:J4112,J4112)=1,AE4112=1),1,"")</f>
        <v/>
      </c>
      <c r="AG4112" s="199" t="str">
        <f>IF(C4112="","",IF(AND(COUNTIFS($J$18:J4112,J4112)=1,C4112&lt;&gt;""),1,""))</f>
        <v/>
      </c>
      <c r="AH4112" s="199" t="str">
        <f>IF(G4112="","",IF(AND(COUNTIFS($J$18:J4112,J4112)=1,G4112&lt;&gt;""),1,""))</f>
        <v/>
      </c>
      <c r="AI4112" s="200">
        <f t="shared" si="1279"/>
        <v>0</v>
      </c>
      <c r="AJ4112" s="200">
        <f t="shared" si="1280"/>
        <v>0</v>
      </c>
      <c r="AK4112" s="201" t="str">
        <f t="shared" si="1281"/>
        <v/>
      </c>
      <c r="AL4112" s="24"/>
      <c r="AM4112" s="24"/>
      <c r="AN4112" s="24"/>
      <c r="AO4112" s="24"/>
      <c r="AP4112" s="165" t="str">
        <f t="shared" si="1282"/>
        <v/>
      </c>
      <c r="AQ4112" s="203" t="str">
        <f t="shared" si="1283"/>
        <v/>
      </c>
      <c r="AR4112" s="206">
        <f t="shared" si="1284"/>
        <v>0</v>
      </c>
      <c r="AS4112" s="22" t="str">
        <f t="shared" si="1285"/>
        <v/>
      </c>
      <c r="AT4112" s="24" t="str">
        <f t="shared" si="1286"/>
        <v/>
      </c>
      <c r="AU4112" s="22" t="s">
        <v>3240</v>
      </c>
    </row>
    <row r="4113" spans="1:47">
      <c r="A4113" s="246" t="str">
        <f t="shared" si="1274"/>
        <v/>
      </c>
      <c r="B4113" s="23"/>
      <c r="C4113" s="23"/>
      <c r="D4113" s="202" t="str">
        <f t="shared" si="1275"/>
        <v/>
      </c>
      <c r="E4113" s="33" t="str">
        <f t="shared" si="1269"/>
        <v/>
      </c>
      <c r="F4113" s="23"/>
      <c r="G4113" s="23"/>
      <c r="H4113" s="29"/>
      <c r="I4113" s="204" t="str">
        <f t="shared" si="1272"/>
        <v/>
      </c>
      <c r="J4113" s="188"/>
      <c r="K4113" s="29"/>
      <c r="L4113" s="24"/>
      <c r="M4113" s="22"/>
      <c r="N4113" s="22"/>
      <c r="O4113" s="22"/>
      <c r="P4113" s="202" t="str">
        <f t="shared" si="1273"/>
        <v/>
      </c>
      <c r="Q4113" s="22"/>
      <c r="R4113" s="22"/>
      <c r="S4113" s="22"/>
      <c r="T4113" s="22"/>
      <c r="U4113" s="22"/>
      <c r="V4113" s="22"/>
      <c r="W4113" s="22"/>
      <c r="X4113" s="104"/>
      <c r="Y4113" s="195" t="str">
        <f t="shared" si="1270"/>
        <v/>
      </c>
      <c r="Z4113" s="196" t="str">
        <f t="shared" si="1271"/>
        <v/>
      </c>
      <c r="AA4113" s="22"/>
      <c r="AB4113" s="197" t="str">
        <f t="shared" si="1276"/>
        <v/>
      </c>
      <c r="AC4113" s="198" t="str">
        <f t="shared" si="1277"/>
        <v/>
      </c>
      <c r="AD4113" s="162"/>
      <c r="AE4113" s="199" t="str">
        <f t="shared" si="1278"/>
        <v/>
      </c>
      <c r="AF4113" s="199" t="str">
        <f>IF(AND(COUNTIFS($J$18:J4113,J4113)=1,AE4113=1),1,"")</f>
        <v/>
      </c>
      <c r="AG4113" s="199" t="str">
        <f>IF(C4113="","",IF(AND(COUNTIFS($J$18:J4113,J4113)=1,C4113&lt;&gt;""),1,""))</f>
        <v/>
      </c>
      <c r="AH4113" s="199" t="str">
        <f>IF(G4113="","",IF(AND(COUNTIFS($J$18:J4113,J4113)=1,G4113&lt;&gt;""),1,""))</f>
        <v/>
      </c>
      <c r="AI4113" s="200">
        <f t="shared" si="1279"/>
        <v>0</v>
      </c>
      <c r="AJ4113" s="200">
        <f t="shared" si="1280"/>
        <v>0</v>
      </c>
      <c r="AK4113" s="201" t="str">
        <f t="shared" si="1281"/>
        <v/>
      </c>
      <c r="AL4113" s="24"/>
      <c r="AM4113" s="24"/>
      <c r="AN4113" s="24"/>
      <c r="AO4113" s="24"/>
      <c r="AP4113" s="165" t="str">
        <f t="shared" si="1282"/>
        <v/>
      </c>
      <c r="AQ4113" s="203" t="str">
        <f t="shared" si="1283"/>
        <v/>
      </c>
      <c r="AR4113" s="206">
        <f t="shared" si="1284"/>
        <v>0</v>
      </c>
      <c r="AS4113" s="22" t="str">
        <f t="shared" si="1285"/>
        <v/>
      </c>
      <c r="AT4113" s="24" t="str">
        <f t="shared" si="1286"/>
        <v/>
      </c>
      <c r="AU4113" s="22" t="s">
        <v>3240</v>
      </c>
    </row>
    <row r="4114" spans="1:47">
      <c r="A4114" s="246" t="str">
        <f t="shared" si="1274"/>
        <v/>
      </c>
      <c r="B4114" s="23"/>
      <c r="C4114" s="23"/>
      <c r="D4114" s="202" t="str">
        <f t="shared" si="1275"/>
        <v/>
      </c>
      <c r="E4114" s="33" t="str">
        <f t="shared" si="1269"/>
        <v/>
      </c>
      <c r="F4114" s="23"/>
      <c r="G4114" s="23"/>
      <c r="H4114" s="29"/>
      <c r="I4114" s="204" t="str">
        <f t="shared" si="1272"/>
        <v/>
      </c>
      <c r="J4114" s="188"/>
      <c r="K4114" s="29"/>
      <c r="L4114" s="24"/>
      <c r="M4114" s="22"/>
      <c r="N4114" s="22"/>
      <c r="O4114" s="22"/>
      <c r="P4114" s="202" t="str">
        <f t="shared" si="1273"/>
        <v/>
      </c>
      <c r="Q4114" s="22"/>
      <c r="R4114" s="22"/>
      <c r="S4114" s="22"/>
      <c r="T4114" s="22"/>
      <c r="U4114" s="22"/>
      <c r="V4114" s="22"/>
      <c r="W4114" s="22"/>
      <c r="X4114" s="104"/>
      <c r="Y4114" s="195" t="str">
        <f t="shared" si="1270"/>
        <v/>
      </c>
      <c r="Z4114" s="196" t="str">
        <f t="shared" si="1271"/>
        <v/>
      </c>
      <c r="AA4114" s="22"/>
      <c r="AB4114" s="197" t="str">
        <f t="shared" si="1276"/>
        <v/>
      </c>
      <c r="AC4114" s="198" t="str">
        <f t="shared" si="1277"/>
        <v/>
      </c>
      <c r="AD4114" s="162"/>
      <c r="AE4114" s="199" t="str">
        <f t="shared" si="1278"/>
        <v/>
      </c>
      <c r="AF4114" s="199" t="str">
        <f>IF(AND(COUNTIFS($J$18:J4114,J4114)=1,AE4114=1),1,"")</f>
        <v/>
      </c>
      <c r="AG4114" s="199" t="str">
        <f>IF(C4114="","",IF(AND(COUNTIFS($J$18:J4114,J4114)=1,C4114&lt;&gt;""),1,""))</f>
        <v/>
      </c>
      <c r="AH4114" s="199" t="str">
        <f>IF(G4114="","",IF(AND(COUNTIFS($J$18:J4114,J4114)=1,G4114&lt;&gt;""),1,""))</f>
        <v/>
      </c>
      <c r="AI4114" s="200">
        <f t="shared" si="1279"/>
        <v>0</v>
      </c>
      <c r="AJ4114" s="200">
        <f t="shared" si="1280"/>
        <v>0</v>
      </c>
      <c r="AK4114" s="201" t="str">
        <f t="shared" si="1281"/>
        <v/>
      </c>
      <c r="AL4114" s="24"/>
      <c r="AM4114" s="24"/>
      <c r="AN4114" s="24"/>
      <c r="AO4114" s="24"/>
      <c r="AP4114" s="165" t="str">
        <f t="shared" si="1282"/>
        <v/>
      </c>
      <c r="AQ4114" s="203" t="str">
        <f t="shared" si="1283"/>
        <v/>
      </c>
      <c r="AR4114" s="206">
        <f t="shared" si="1284"/>
        <v>0</v>
      </c>
      <c r="AS4114" s="22" t="str">
        <f t="shared" si="1285"/>
        <v/>
      </c>
      <c r="AT4114" s="24" t="str">
        <f t="shared" si="1286"/>
        <v/>
      </c>
      <c r="AU4114" s="22" t="s">
        <v>3240</v>
      </c>
    </row>
    <row r="4115" spans="1:47">
      <c r="A4115" s="246" t="str">
        <f t="shared" si="1274"/>
        <v/>
      </c>
      <c r="B4115" s="23"/>
      <c r="C4115" s="23"/>
      <c r="D4115" s="202" t="str">
        <f t="shared" si="1275"/>
        <v/>
      </c>
      <c r="E4115" s="33" t="str">
        <f t="shared" si="1269"/>
        <v/>
      </c>
      <c r="F4115" s="23"/>
      <c r="G4115" s="23"/>
      <c r="H4115" s="29"/>
      <c r="I4115" s="204" t="str">
        <f t="shared" si="1272"/>
        <v/>
      </c>
      <c r="J4115" s="188"/>
      <c r="K4115" s="29"/>
      <c r="L4115" s="24"/>
      <c r="M4115" s="22"/>
      <c r="N4115" s="22"/>
      <c r="O4115" s="22"/>
      <c r="P4115" s="202" t="str">
        <f t="shared" si="1273"/>
        <v/>
      </c>
      <c r="Q4115" s="22"/>
      <c r="R4115" s="22"/>
      <c r="S4115" s="22"/>
      <c r="T4115" s="22"/>
      <c r="U4115" s="22"/>
      <c r="V4115" s="22"/>
      <c r="W4115" s="22"/>
      <c r="X4115" s="104"/>
      <c r="Y4115" s="195" t="str">
        <f t="shared" si="1270"/>
        <v/>
      </c>
      <c r="Z4115" s="196" t="str">
        <f t="shared" si="1271"/>
        <v/>
      </c>
      <c r="AA4115" s="22"/>
      <c r="AB4115" s="197" t="str">
        <f t="shared" si="1276"/>
        <v/>
      </c>
      <c r="AC4115" s="198" t="str">
        <f t="shared" si="1277"/>
        <v/>
      </c>
      <c r="AD4115" s="162"/>
      <c r="AE4115" s="199" t="str">
        <f t="shared" si="1278"/>
        <v/>
      </c>
      <c r="AF4115" s="199" t="str">
        <f>IF(AND(COUNTIFS($J$18:J4115,J4115)=1,AE4115=1),1,"")</f>
        <v/>
      </c>
      <c r="AG4115" s="199" t="str">
        <f>IF(C4115="","",IF(AND(COUNTIFS($J$18:J4115,J4115)=1,C4115&lt;&gt;""),1,""))</f>
        <v/>
      </c>
      <c r="AH4115" s="199" t="str">
        <f>IF(G4115="","",IF(AND(COUNTIFS($J$18:J4115,J4115)=1,G4115&lt;&gt;""),1,""))</f>
        <v/>
      </c>
      <c r="AI4115" s="200">
        <f t="shared" si="1279"/>
        <v>0</v>
      </c>
      <c r="AJ4115" s="200">
        <f t="shared" si="1280"/>
        <v>0</v>
      </c>
      <c r="AK4115" s="201" t="str">
        <f t="shared" si="1281"/>
        <v/>
      </c>
      <c r="AL4115" s="24"/>
      <c r="AM4115" s="24"/>
      <c r="AN4115" s="24"/>
      <c r="AO4115" s="24"/>
      <c r="AP4115" s="165" t="str">
        <f t="shared" si="1282"/>
        <v/>
      </c>
      <c r="AQ4115" s="203" t="str">
        <f t="shared" si="1283"/>
        <v/>
      </c>
      <c r="AR4115" s="206">
        <f t="shared" si="1284"/>
        <v>0</v>
      </c>
      <c r="AS4115" s="22" t="str">
        <f t="shared" si="1285"/>
        <v/>
      </c>
      <c r="AT4115" s="24" t="str">
        <f t="shared" si="1286"/>
        <v/>
      </c>
      <c r="AU4115" s="22" t="s">
        <v>3240</v>
      </c>
    </row>
    <row r="4116" spans="1:47">
      <c r="A4116" s="246" t="str">
        <f t="shared" si="1274"/>
        <v/>
      </c>
      <c r="B4116" s="23"/>
      <c r="C4116" s="23"/>
      <c r="D4116" s="202" t="str">
        <f t="shared" si="1275"/>
        <v/>
      </c>
      <c r="E4116" s="33" t="str">
        <f t="shared" si="1269"/>
        <v/>
      </c>
      <c r="F4116" s="23"/>
      <c r="G4116" s="23"/>
      <c r="H4116" s="29"/>
      <c r="I4116" s="204" t="str">
        <f t="shared" si="1272"/>
        <v/>
      </c>
      <c r="J4116" s="188"/>
      <c r="K4116" s="29"/>
      <c r="L4116" s="24"/>
      <c r="M4116" s="22"/>
      <c r="N4116" s="22"/>
      <c r="O4116" s="22"/>
      <c r="P4116" s="202" t="str">
        <f t="shared" si="1273"/>
        <v/>
      </c>
      <c r="Q4116" s="22"/>
      <c r="R4116" s="22"/>
      <c r="S4116" s="22"/>
      <c r="T4116" s="22"/>
      <c r="U4116" s="22"/>
      <c r="V4116" s="22"/>
      <c r="W4116" s="22"/>
      <c r="X4116" s="104"/>
      <c r="Y4116" s="195" t="str">
        <f t="shared" si="1270"/>
        <v/>
      </c>
      <c r="Z4116" s="196" t="str">
        <f t="shared" si="1271"/>
        <v/>
      </c>
      <c r="AA4116" s="22"/>
      <c r="AB4116" s="197" t="str">
        <f t="shared" si="1276"/>
        <v/>
      </c>
      <c r="AC4116" s="198" t="str">
        <f t="shared" si="1277"/>
        <v/>
      </c>
      <c r="AD4116" s="162"/>
      <c r="AE4116" s="199" t="str">
        <f t="shared" si="1278"/>
        <v/>
      </c>
      <c r="AF4116" s="199" t="str">
        <f>IF(AND(COUNTIFS($J$18:J4116,J4116)=1,AE4116=1),1,"")</f>
        <v/>
      </c>
      <c r="AG4116" s="199" t="str">
        <f>IF(C4116="","",IF(AND(COUNTIFS($J$18:J4116,J4116)=1,C4116&lt;&gt;""),1,""))</f>
        <v/>
      </c>
      <c r="AH4116" s="199" t="str">
        <f>IF(G4116="","",IF(AND(COUNTIFS($J$18:J4116,J4116)=1,G4116&lt;&gt;""),1,""))</f>
        <v/>
      </c>
      <c r="AI4116" s="200">
        <f t="shared" si="1279"/>
        <v>0</v>
      </c>
      <c r="AJ4116" s="200">
        <f t="shared" si="1280"/>
        <v>0</v>
      </c>
      <c r="AK4116" s="201" t="str">
        <f t="shared" si="1281"/>
        <v/>
      </c>
      <c r="AL4116" s="24"/>
      <c r="AM4116" s="24"/>
      <c r="AN4116" s="24"/>
      <c r="AO4116" s="24"/>
      <c r="AP4116" s="165" t="str">
        <f t="shared" si="1282"/>
        <v/>
      </c>
      <c r="AQ4116" s="203" t="str">
        <f t="shared" si="1283"/>
        <v/>
      </c>
      <c r="AR4116" s="206">
        <f t="shared" si="1284"/>
        <v>0</v>
      </c>
      <c r="AS4116" s="22" t="str">
        <f t="shared" si="1285"/>
        <v/>
      </c>
      <c r="AT4116" s="24" t="str">
        <f t="shared" si="1286"/>
        <v/>
      </c>
      <c r="AU4116" s="22" t="s">
        <v>3240</v>
      </c>
    </row>
    <row r="4117" spans="1:47">
      <c r="A4117" s="246" t="str">
        <f t="shared" si="1274"/>
        <v/>
      </c>
      <c r="B4117" s="23"/>
      <c r="C4117" s="23"/>
      <c r="D4117" s="202" t="str">
        <f t="shared" si="1275"/>
        <v/>
      </c>
      <c r="E4117" s="33" t="str">
        <f t="shared" si="1269"/>
        <v/>
      </c>
      <c r="F4117" s="23"/>
      <c r="G4117" s="23"/>
      <c r="H4117" s="29"/>
      <c r="I4117" s="204" t="str">
        <f t="shared" si="1272"/>
        <v/>
      </c>
      <c r="J4117" s="188"/>
      <c r="K4117" s="29"/>
      <c r="L4117" s="24"/>
      <c r="M4117" s="22"/>
      <c r="N4117" s="22"/>
      <c r="O4117" s="22"/>
      <c r="P4117" s="202" t="str">
        <f t="shared" si="1273"/>
        <v/>
      </c>
      <c r="Q4117" s="22"/>
      <c r="R4117" s="22"/>
      <c r="S4117" s="22"/>
      <c r="T4117" s="22"/>
      <c r="U4117" s="22"/>
      <c r="V4117" s="22"/>
      <c r="W4117" s="22"/>
      <c r="X4117" s="104"/>
      <c r="Y4117" s="195" t="str">
        <f t="shared" si="1270"/>
        <v/>
      </c>
      <c r="Z4117" s="196" t="str">
        <f t="shared" si="1271"/>
        <v/>
      </c>
      <c r="AA4117" s="22"/>
      <c r="AB4117" s="197" t="str">
        <f t="shared" si="1276"/>
        <v/>
      </c>
      <c r="AC4117" s="198" t="str">
        <f t="shared" si="1277"/>
        <v/>
      </c>
      <c r="AD4117" s="162"/>
      <c r="AE4117" s="199" t="str">
        <f t="shared" si="1278"/>
        <v/>
      </c>
      <c r="AF4117" s="199" t="str">
        <f>IF(AND(COUNTIFS($J$18:J4117,J4117)=1,AE4117=1),1,"")</f>
        <v/>
      </c>
      <c r="AG4117" s="199" t="str">
        <f>IF(C4117="","",IF(AND(COUNTIFS($J$18:J4117,J4117)=1,C4117&lt;&gt;""),1,""))</f>
        <v/>
      </c>
      <c r="AH4117" s="199" t="str">
        <f>IF(G4117="","",IF(AND(COUNTIFS($J$18:J4117,J4117)=1,G4117&lt;&gt;""),1,""))</f>
        <v/>
      </c>
      <c r="AI4117" s="200">
        <f t="shared" si="1279"/>
        <v>0</v>
      </c>
      <c r="AJ4117" s="200">
        <f t="shared" si="1280"/>
        <v>0</v>
      </c>
      <c r="AK4117" s="201" t="str">
        <f t="shared" si="1281"/>
        <v/>
      </c>
      <c r="AL4117" s="24"/>
      <c r="AM4117" s="24"/>
      <c r="AN4117" s="24"/>
      <c r="AO4117" s="24"/>
      <c r="AP4117" s="165" t="str">
        <f t="shared" si="1282"/>
        <v/>
      </c>
      <c r="AQ4117" s="203" t="str">
        <f t="shared" si="1283"/>
        <v/>
      </c>
      <c r="AR4117" s="206">
        <f t="shared" si="1284"/>
        <v>0</v>
      </c>
      <c r="AS4117" s="22" t="str">
        <f t="shared" si="1285"/>
        <v/>
      </c>
      <c r="AT4117" s="24" t="str">
        <f t="shared" si="1286"/>
        <v/>
      </c>
      <c r="AU4117" s="22" t="s">
        <v>3240</v>
      </c>
    </row>
    <row r="4118" spans="1:47">
      <c r="A4118" s="246" t="str">
        <f t="shared" si="1274"/>
        <v/>
      </c>
      <c r="B4118" s="23"/>
      <c r="C4118" s="23"/>
      <c r="D4118" s="202" t="str">
        <f t="shared" si="1275"/>
        <v/>
      </c>
      <c r="E4118" s="33" t="str">
        <f t="shared" si="1269"/>
        <v/>
      </c>
      <c r="F4118" s="23"/>
      <c r="G4118" s="23"/>
      <c r="H4118" s="29"/>
      <c r="I4118" s="204" t="str">
        <f t="shared" si="1272"/>
        <v/>
      </c>
      <c r="J4118" s="188"/>
      <c r="K4118" s="29"/>
      <c r="L4118" s="24"/>
      <c r="M4118" s="22"/>
      <c r="N4118" s="22"/>
      <c r="O4118" s="22"/>
      <c r="P4118" s="202" t="str">
        <f t="shared" si="1273"/>
        <v/>
      </c>
      <c r="Q4118" s="22"/>
      <c r="R4118" s="22"/>
      <c r="S4118" s="22"/>
      <c r="T4118" s="22"/>
      <c r="U4118" s="22"/>
      <c r="V4118" s="22"/>
      <c r="W4118" s="22"/>
      <c r="X4118" s="104"/>
      <c r="Y4118" s="195" t="str">
        <f t="shared" si="1270"/>
        <v/>
      </c>
      <c r="Z4118" s="196" t="str">
        <f t="shared" si="1271"/>
        <v/>
      </c>
      <c r="AA4118" s="22"/>
      <c r="AB4118" s="197" t="str">
        <f t="shared" si="1276"/>
        <v/>
      </c>
      <c r="AC4118" s="198" t="str">
        <f t="shared" si="1277"/>
        <v/>
      </c>
      <c r="AD4118" s="162"/>
      <c r="AE4118" s="199" t="str">
        <f t="shared" si="1278"/>
        <v/>
      </c>
      <c r="AF4118" s="199" t="str">
        <f>IF(AND(COUNTIFS($J$18:J4118,J4118)=1,AE4118=1),1,"")</f>
        <v/>
      </c>
      <c r="AG4118" s="199" t="str">
        <f>IF(C4118="","",IF(AND(COUNTIFS($J$18:J4118,J4118)=1,C4118&lt;&gt;""),1,""))</f>
        <v/>
      </c>
      <c r="AH4118" s="199" t="str">
        <f>IF(G4118="","",IF(AND(COUNTIFS($J$18:J4118,J4118)=1,G4118&lt;&gt;""),1,""))</f>
        <v/>
      </c>
      <c r="AI4118" s="200">
        <f t="shared" si="1279"/>
        <v>0</v>
      </c>
      <c r="AJ4118" s="200">
        <f t="shared" si="1280"/>
        <v>0</v>
      </c>
      <c r="AK4118" s="201" t="str">
        <f t="shared" si="1281"/>
        <v/>
      </c>
      <c r="AL4118" s="24"/>
      <c r="AM4118" s="24"/>
      <c r="AN4118" s="24"/>
      <c r="AO4118" s="24"/>
      <c r="AP4118" s="165" t="str">
        <f t="shared" si="1282"/>
        <v/>
      </c>
      <c r="AQ4118" s="203" t="str">
        <f t="shared" si="1283"/>
        <v/>
      </c>
      <c r="AR4118" s="206">
        <f t="shared" si="1284"/>
        <v>0</v>
      </c>
      <c r="AS4118" s="22" t="str">
        <f t="shared" si="1285"/>
        <v/>
      </c>
      <c r="AT4118" s="24" t="str">
        <f t="shared" si="1286"/>
        <v/>
      </c>
      <c r="AU4118" s="22" t="s">
        <v>3240</v>
      </c>
    </row>
    <row r="4119" spans="1:47">
      <c r="A4119" s="246" t="str">
        <f t="shared" si="1274"/>
        <v/>
      </c>
      <c r="B4119" s="23"/>
      <c r="C4119" s="23"/>
      <c r="D4119" s="202" t="str">
        <f t="shared" si="1275"/>
        <v/>
      </c>
      <c r="E4119" s="33" t="str">
        <f t="shared" si="1269"/>
        <v/>
      </c>
      <c r="F4119" s="23"/>
      <c r="G4119" s="23"/>
      <c r="H4119" s="29"/>
      <c r="I4119" s="204" t="str">
        <f t="shared" si="1272"/>
        <v/>
      </c>
      <c r="J4119" s="188"/>
      <c r="K4119" s="29"/>
      <c r="L4119" s="24"/>
      <c r="M4119" s="22"/>
      <c r="N4119" s="22"/>
      <c r="O4119" s="22"/>
      <c r="P4119" s="202" t="str">
        <f t="shared" si="1273"/>
        <v/>
      </c>
      <c r="Q4119" s="22"/>
      <c r="R4119" s="22"/>
      <c r="S4119" s="22"/>
      <c r="T4119" s="22"/>
      <c r="U4119" s="22"/>
      <c r="V4119" s="22"/>
      <c r="W4119" s="22"/>
      <c r="X4119" s="104"/>
      <c r="Y4119" s="195" t="str">
        <f t="shared" si="1270"/>
        <v/>
      </c>
      <c r="Z4119" s="196" t="str">
        <f t="shared" si="1271"/>
        <v/>
      </c>
      <c r="AA4119" s="22"/>
      <c r="AB4119" s="197" t="str">
        <f t="shared" si="1276"/>
        <v/>
      </c>
      <c r="AC4119" s="198" t="str">
        <f t="shared" si="1277"/>
        <v/>
      </c>
      <c r="AD4119" s="162"/>
      <c r="AE4119" s="199" t="str">
        <f t="shared" si="1278"/>
        <v/>
      </c>
      <c r="AF4119" s="199" t="str">
        <f>IF(AND(COUNTIFS($J$18:J4119,J4119)=1,AE4119=1),1,"")</f>
        <v/>
      </c>
      <c r="AG4119" s="199" t="str">
        <f>IF(C4119="","",IF(AND(COUNTIFS($J$18:J4119,J4119)=1,C4119&lt;&gt;""),1,""))</f>
        <v/>
      </c>
      <c r="AH4119" s="199" t="str">
        <f>IF(G4119="","",IF(AND(COUNTIFS($J$18:J4119,J4119)=1,G4119&lt;&gt;""),1,""))</f>
        <v/>
      </c>
      <c r="AI4119" s="200">
        <f t="shared" si="1279"/>
        <v>0</v>
      </c>
      <c r="AJ4119" s="200">
        <f t="shared" si="1280"/>
        <v>0</v>
      </c>
      <c r="AK4119" s="201" t="str">
        <f t="shared" si="1281"/>
        <v/>
      </c>
      <c r="AL4119" s="24"/>
      <c r="AM4119" s="24"/>
      <c r="AN4119" s="24"/>
      <c r="AO4119" s="24"/>
      <c r="AP4119" s="165" t="str">
        <f t="shared" si="1282"/>
        <v/>
      </c>
      <c r="AQ4119" s="203" t="str">
        <f t="shared" si="1283"/>
        <v/>
      </c>
      <c r="AR4119" s="206">
        <f t="shared" si="1284"/>
        <v>0</v>
      </c>
      <c r="AS4119" s="22" t="str">
        <f t="shared" si="1285"/>
        <v/>
      </c>
      <c r="AT4119" s="24" t="str">
        <f t="shared" si="1286"/>
        <v/>
      </c>
      <c r="AU4119" s="22" t="s">
        <v>3240</v>
      </c>
    </row>
    <row r="4120" spans="1:47">
      <c r="A4120" s="246" t="str">
        <f t="shared" si="1274"/>
        <v/>
      </c>
      <c r="B4120" s="23"/>
      <c r="C4120" s="23"/>
      <c r="D4120" s="202" t="str">
        <f t="shared" si="1275"/>
        <v/>
      </c>
      <c r="E4120" s="33" t="str">
        <f t="shared" ref="E4120:E4183" si="1287">IF(G4120="Cancel","Cancel",IF(G4120="TBA","TBA",IFERROR(IF(I4120="Q4","FY "&amp;RIGHT(F4120,2)-1&amp;"/"&amp;RIGHT(F4120,2),"FY "&amp;RIGHT(F4120,2)&amp;"/"&amp;RIGHT(F4120,2)+1),"")))</f>
        <v/>
      </c>
      <c r="F4120" s="23"/>
      <c r="G4120" s="23"/>
      <c r="H4120" s="29"/>
      <c r="I4120" s="204" t="str">
        <f t="shared" si="1272"/>
        <v/>
      </c>
      <c r="J4120" s="188"/>
      <c r="K4120" s="29"/>
      <c r="L4120" s="24"/>
      <c r="M4120" s="22"/>
      <c r="N4120" s="22"/>
      <c r="O4120" s="22"/>
      <c r="P4120" s="202" t="str">
        <f t="shared" si="1273"/>
        <v/>
      </c>
      <c r="Q4120" s="22"/>
      <c r="R4120" s="22"/>
      <c r="S4120" s="22"/>
      <c r="T4120" s="22"/>
      <c r="U4120" s="22"/>
      <c r="V4120" s="22"/>
      <c r="W4120" s="22"/>
      <c r="X4120" s="104"/>
      <c r="Y4120" s="195" t="str">
        <f t="shared" si="1270"/>
        <v/>
      </c>
      <c r="Z4120" s="196" t="str">
        <f t="shared" si="1271"/>
        <v/>
      </c>
      <c r="AA4120" s="22"/>
      <c r="AB4120" s="197" t="str">
        <f t="shared" si="1276"/>
        <v/>
      </c>
      <c r="AC4120" s="198" t="str">
        <f t="shared" si="1277"/>
        <v/>
      </c>
      <c r="AD4120" s="162"/>
      <c r="AE4120" s="199" t="str">
        <f t="shared" si="1278"/>
        <v/>
      </c>
      <c r="AF4120" s="199" t="str">
        <f>IF(AND(COUNTIFS($J$18:J4120,J4120)=1,AE4120=1),1,"")</f>
        <v/>
      </c>
      <c r="AG4120" s="199" t="str">
        <f>IF(C4120="","",IF(AND(COUNTIFS($J$18:J4120,J4120)=1,C4120&lt;&gt;""),1,""))</f>
        <v/>
      </c>
      <c r="AH4120" s="199" t="str">
        <f>IF(G4120="","",IF(AND(COUNTIFS($J$18:J4120,J4120)=1,G4120&lt;&gt;""),1,""))</f>
        <v/>
      </c>
      <c r="AI4120" s="200">
        <f t="shared" si="1279"/>
        <v>0</v>
      </c>
      <c r="AJ4120" s="200">
        <f t="shared" si="1280"/>
        <v>0</v>
      </c>
      <c r="AK4120" s="201" t="str">
        <f t="shared" si="1281"/>
        <v/>
      </c>
      <c r="AL4120" s="24"/>
      <c r="AM4120" s="24"/>
      <c r="AN4120" s="24"/>
      <c r="AO4120" s="24"/>
      <c r="AP4120" s="165" t="str">
        <f t="shared" si="1282"/>
        <v/>
      </c>
      <c r="AQ4120" s="203" t="str">
        <f t="shared" si="1283"/>
        <v/>
      </c>
      <c r="AR4120" s="206">
        <f t="shared" si="1284"/>
        <v>0</v>
      </c>
      <c r="AS4120" s="22" t="str">
        <f t="shared" si="1285"/>
        <v/>
      </c>
      <c r="AT4120" s="24" t="str">
        <f t="shared" si="1286"/>
        <v/>
      </c>
      <c r="AU4120" s="22" t="s">
        <v>3240</v>
      </c>
    </row>
    <row r="4121" spans="1:47">
      <c r="A4121" s="246" t="str">
        <f t="shared" si="1274"/>
        <v/>
      </c>
      <c r="B4121" s="23"/>
      <c r="C4121" s="23"/>
      <c r="D4121" s="202" t="str">
        <f t="shared" si="1275"/>
        <v/>
      </c>
      <c r="E4121" s="33" t="str">
        <f t="shared" si="1287"/>
        <v/>
      </c>
      <c r="F4121" s="23"/>
      <c r="G4121" s="23"/>
      <c r="H4121" s="29"/>
      <c r="I4121" s="204" t="str">
        <f t="shared" si="1272"/>
        <v/>
      </c>
      <c r="J4121" s="188"/>
      <c r="K4121" s="29"/>
      <c r="L4121" s="24"/>
      <c r="M4121" s="22"/>
      <c r="N4121" s="22"/>
      <c r="O4121" s="22"/>
      <c r="P4121" s="202" t="str">
        <f t="shared" si="1273"/>
        <v/>
      </c>
      <c r="Q4121" s="22"/>
      <c r="R4121" s="22"/>
      <c r="S4121" s="22"/>
      <c r="T4121" s="22"/>
      <c r="U4121" s="22"/>
      <c r="V4121" s="22"/>
      <c r="W4121" s="22"/>
      <c r="X4121" s="104"/>
      <c r="Y4121" s="195" t="str">
        <f t="shared" si="1270"/>
        <v/>
      </c>
      <c r="Z4121" s="196" t="str">
        <f t="shared" si="1271"/>
        <v/>
      </c>
      <c r="AA4121" s="22"/>
      <c r="AB4121" s="197" t="str">
        <f t="shared" si="1276"/>
        <v/>
      </c>
      <c r="AC4121" s="198" t="str">
        <f t="shared" si="1277"/>
        <v/>
      </c>
      <c r="AD4121" s="162"/>
      <c r="AE4121" s="199" t="str">
        <f t="shared" si="1278"/>
        <v/>
      </c>
      <c r="AF4121" s="199" t="str">
        <f>IF(AND(COUNTIFS($J$18:J4121,J4121)=1,AE4121=1),1,"")</f>
        <v/>
      </c>
      <c r="AG4121" s="199" t="str">
        <f>IF(C4121="","",IF(AND(COUNTIFS($J$18:J4121,J4121)=1,C4121&lt;&gt;""),1,""))</f>
        <v/>
      </c>
      <c r="AH4121" s="199" t="str">
        <f>IF(G4121="","",IF(AND(COUNTIFS($J$18:J4121,J4121)=1,G4121&lt;&gt;""),1,""))</f>
        <v/>
      </c>
      <c r="AI4121" s="200">
        <f t="shared" si="1279"/>
        <v>0</v>
      </c>
      <c r="AJ4121" s="200">
        <f t="shared" si="1280"/>
        <v>0</v>
      </c>
      <c r="AK4121" s="201" t="str">
        <f t="shared" si="1281"/>
        <v/>
      </c>
      <c r="AL4121" s="24"/>
      <c r="AM4121" s="24"/>
      <c r="AN4121" s="24"/>
      <c r="AO4121" s="24"/>
      <c r="AP4121" s="165" t="str">
        <f t="shared" si="1282"/>
        <v/>
      </c>
      <c r="AQ4121" s="203" t="str">
        <f t="shared" si="1283"/>
        <v/>
      </c>
      <c r="AR4121" s="206">
        <f t="shared" si="1284"/>
        <v>0</v>
      </c>
      <c r="AS4121" s="22" t="str">
        <f t="shared" si="1285"/>
        <v/>
      </c>
      <c r="AT4121" s="24" t="str">
        <f t="shared" si="1286"/>
        <v/>
      </c>
      <c r="AU4121" s="22" t="s">
        <v>3240</v>
      </c>
    </row>
    <row r="4122" spans="1:47">
      <c r="A4122" s="246" t="str">
        <f t="shared" si="1274"/>
        <v/>
      </c>
      <c r="B4122" s="23"/>
      <c r="C4122" s="23"/>
      <c r="D4122" s="202" t="str">
        <f t="shared" si="1275"/>
        <v/>
      </c>
      <c r="E4122" s="33" t="str">
        <f t="shared" si="1287"/>
        <v/>
      </c>
      <c r="F4122" s="23"/>
      <c r="G4122" s="23"/>
      <c r="H4122" s="29"/>
      <c r="I4122" s="204" t="str">
        <f t="shared" si="1272"/>
        <v/>
      </c>
      <c r="J4122" s="188"/>
      <c r="K4122" s="29"/>
      <c r="L4122" s="24"/>
      <c r="M4122" s="22"/>
      <c r="N4122" s="22"/>
      <c r="O4122" s="22"/>
      <c r="P4122" s="202" t="str">
        <f t="shared" si="1273"/>
        <v/>
      </c>
      <c r="Q4122" s="22"/>
      <c r="R4122" s="22"/>
      <c r="S4122" s="22"/>
      <c r="T4122" s="22"/>
      <c r="U4122" s="22"/>
      <c r="V4122" s="22"/>
      <c r="W4122" s="22"/>
      <c r="X4122" s="104"/>
      <c r="Y4122" s="195" t="str">
        <f t="shared" si="1270"/>
        <v/>
      </c>
      <c r="Z4122" s="196" t="str">
        <f t="shared" si="1271"/>
        <v/>
      </c>
      <c r="AA4122" s="22"/>
      <c r="AB4122" s="197" t="str">
        <f t="shared" si="1276"/>
        <v/>
      </c>
      <c r="AC4122" s="198" t="str">
        <f t="shared" si="1277"/>
        <v/>
      </c>
      <c r="AD4122" s="162"/>
      <c r="AE4122" s="199" t="str">
        <f t="shared" si="1278"/>
        <v/>
      </c>
      <c r="AF4122" s="199" t="str">
        <f>IF(AND(COUNTIFS($J$18:J4122,J4122)=1,AE4122=1),1,"")</f>
        <v/>
      </c>
      <c r="AG4122" s="199" t="str">
        <f>IF(C4122="","",IF(AND(COUNTIFS($J$18:J4122,J4122)=1,C4122&lt;&gt;""),1,""))</f>
        <v/>
      </c>
      <c r="AH4122" s="199" t="str">
        <f>IF(G4122="","",IF(AND(COUNTIFS($J$18:J4122,J4122)=1,G4122&lt;&gt;""),1,""))</f>
        <v/>
      </c>
      <c r="AI4122" s="200">
        <f t="shared" si="1279"/>
        <v>0</v>
      </c>
      <c r="AJ4122" s="200">
        <f t="shared" si="1280"/>
        <v>0</v>
      </c>
      <c r="AK4122" s="201" t="str">
        <f t="shared" si="1281"/>
        <v/>
      </c>
      <c r="AL4122" s="24"/>
      <c r="AM4122" s="24"/>
      <c r="AN4122" s="24"/>
      <c r="AO4122" s="24"/>
      <c r="AP4122" s="165" t="str">
        <f t="shared" si="1282"/>
        <v/>
      </c>
      <c r="AQ4122" s="203" t="str">
        <f t="shared" si="1283"/>
        <v/>
      </c>
      <c r="AR4122" s="206">
        <f t="shared" si="1284"/>
        <v>0</v>
      </c>
      <c r="AS4122" s="22" t="str">
        <f t="shared" si="1285"/>
        <v/>
      </c>
      <c r="AT4122" s="24" t="str">
        <f t="shared" si="1286"/>
        <v/>
      </c>
      <c r="AU4122" s="22" t="s">
        <v>3240</v>
      </c>
    </row>
    <row r="4123" spans="1:47">
      <c r="A4123" s="246" t="str">
        <f t="shared" si="1274"/>
        <v/>
      </c>
      <c r="B4123" s="23"/>
      <c r="C4123" s="23"/>
      <c r="D4123" s="202" t="str">
        <f t="shared" si="1275"/>
        <v/>
      </c>
      <c r="E4123" s="33" t="str">
        <f t="shared" si="1287"/>
        <v/>
      </c>
      <c r="F4123" s="23"/>
      <c r="G4123" s="23"/>
      <c r="H4123" s="29"/>
      <c r="I4123" s="204" t="str">
        <f t="shared" si="1272"/>
        <v/>
      </c>
      <c r="J4123" s="188"/>
      <c r="K4123" s="29"/>
      <c r="L4123" s="24"/>
      <c r="M4123" s="22"/>
      <c r="N4123" s="22"/>
      <c r="O4123" s="22"/>
      <c r="P4123" s="202" t="str">
        <f t="shared" si="1273"/>
        <v/>
      </c>
      <c r="Q4123" s="22"/>
      <c r="R4123" s="22"/>
      <c r="S4123" s="22"/>
      <c r="T4123" s="22"/>
      <c r="U4123" s="22"/>
      <c r="V4123" s="22"/>
      <c r="W4123" s="22"/>
      <c r="X4123" s="104"/>
      <c r="Y4123" s="195" t="str">
        <f t="shared" ref="Y4123:Y4186" si="1288">IF(W4123="","",IF(W4123="RMB","1.13", "1"))</f>
        <v/>
      </c>
      <c r="Z4123" s="196" t="str">
        <f t="shared" ref="Z4123:Z4186" si="1289">IF(X4123="","",X4123*MAX(O4123,N4123))</f>
        <v/>
      </c>
      <c r="AA4123" s="22"/>
      <c r="AB4123" s="197" t="str">
        <f t="shared" si="1276"/>
        <v/>
      </c>
      <c r="AC4123" s="198" t="str">
        <f t="shared" si="1277"/>
        <v/>
      </c>
      <c r="AD4123" s="162"/>
      <c r="AE4123" s="199" t="str">
        <f t="shared" si="1278"/>
        <v/>
      </c>
      <c r="AF4123" s="199" t="str">
        <f>IF(AND(COUNTIFS($J$18:J4123,J4123)=1,AE4123=1),1,"")</f>
        <v/>
      </c>
      <c r="AG4123" s="199" t="str">
        <f>IF(C4123="","",IF(AND(COUNTIFS($J$18:J4123,J4123)=1,C4123&lt;&gt;""),1,""))</f>
        <v/>
      </c>
      <c r="AH4123" s="199" t="str">
        <f>IF(G4123="","",IF(AND(COUNTIFS($J$18:J4123,J4123)=1,G4123&lt;&gt;""),1,""))</f>
        <v/>
      </c>
      <c r="AI4123" s="200">
        <f t="shared" si="1279"/>
        <v>0</v>
      </c>
      <c r="AJ4123" s="200">
        <f t="shared" si="1280"/>
        <v>0</v>
      </c>
      <c r="AK4123" s="201" t="str">
        <f t="shared" si="1281"/>
        <v/>
      </c>
      <c r="AL4123" s="24"/>
      <c r="AM4123" s="24"/>
      <c r="AN4123" s="24"/>
      <c r="AO4123" s="24"/>
      <c r="AP4123" s="165" t="str">
        <f t="shared" si="1282"/>
        <v/>
      </c>
      <c r="AQ4123" s="203" t="str">
        <f t="shared" si="1283"/>
        <v/>
      </c>
      <c r="AR4123" s="206">
        <f t="shared" si="1284"/>
        <v>0</v>
      </c>
      <c r="AS4123" s="22" t="str">
        <f t="shared" si="1285"/>
        <v/>
      </c>
      <c r="AT4123" s="24" t="str">
        <f t="shared" si="1286"/>
        <v/>
      </c>
      <c r="AU4123" s="22" t="s">
        <v>3240</v>
      </c>
    </row>
    <row r="4124" spans="1:47">
      <c r="A4124" s="246" t="str">
        <f t="shared" si="1274"/>
        <v/>
      </c>
      <c r="B4124" s="23"/>
      <c r="C4124" s="23"/>
      <c r="D4124" s="202" t="str">
        <f t="shared" si="1275"/>
        <v/>
      </c>
      <c r="E4124" s="33" t="str">
        <f t="shared" si="1287"/>
        <v/>
      </c>
      <c r="F4124" s="23"/>
      <c r="G4124" s="23"/>
      <c r="H4124" s="29"/>
      <c r="I4124" s="204" t="str">
        <f t="shared" si="1272"/>
        <v/>
      </c>
      <c r="J4124" s="188"/>
      <c r="K4124" s="29"/>
      <c r="L4124" s="24"/>
      <c r="M4124" s="22"/>
      <c r="N4124" s="22"/>
      <c r="O4124" s="22"/>
      <c r="P4124" s="202" t="str">
        <f t="shared" si="1273"/>
        <v/>
      </c>
      <c r="Q4124" s="22"/>
      <c r="R4124" s="22"/>
      <c r="S4124" s="22"/>
      <c r="T4124" s="22"/>
      <c r="U4124" s="22"/>
      <c r="V4124" s="22"/>
      <c r="W4124" s="22"/>
      <c r="X4124" s="104"/>
      <c r="Y4124" s="195" t="str">
        <f t="shared" si="1288"/>
        <v/>
      </c>
      <c r="Z4124" s="196" t="str">
        <f t="shared" si="1289"/>
        <v/>
      </c>
      <c r="AA4124" s="22"/>
      <c r="AB4124" s="197" t="str">
        <f t="shared" si="1276"/>
        <v/>
      </c>
      <c r="AC4124" s="198" t="str">
        <f t="shared" si="1277"/>
        <v/>
      </c>
      <c r="AD4124" s="162"/>
      <c r="AE4124" s="199" t="str">
        <f t="shared" si="1278"/>
        <v/>
      </c>
      <c r="AF4124" s="199" t="str">
        <f>IF(AND(COUNTIFS($J$18:J4124,J4124)=1,AE4124=1),1,"")</f>
        <v/>
      </c>
      <c r="AG4124" s="199" t="str">
        <f>IF(C4124="","",IF(AND(COUNTIFS($J$18:J4124,J4124)=1,C4124&lt;&gt;""),1,""))</f>
        <v/>
      </c>
      <c r="AH4124" s="199" t="str">
        <f>IF(G4124="","",IF(AND(COUNTIFS($J$18:J4124,J4124)=1,G4124&lt;&gt;""),1,""))</f>
        <v/>
      </c>
      <c r="AI4124" s="200">
        <f t="shared" si="1279"/>
        <v>0</v>
      </c>
      <c r="AJ4124" s="200">
        <f t="shared" si="1280"/>
        <v>0</v>
      </c>
      <c r="AK4124" s="201" t="str">
        <f t="shared" si="1281"/>
        <v/>
      </c>
      <c r="AL4124" s="24"/>
      <c r="AM4124" s="24"/>
      <c r="AN4124" s="24"/>
      <c r="AO4124" s="24"/>
      <c r="AP4124" s="165" t="str">
        <f t="shared" si="1282"/>
        <v/>
      </c>
      <c r="AQ4124" s="203" t="str">
        <f t="shared" si="1283"/>
        <v/>
      </c>
      <c r="AR4124" s="206">
        <f t="shared" si="1284"/>
        <v>0</v>
      </c>
      <c r="AS4124" s="22" t="str">
        <f t="shared" si="1285"/>
        <v/>
      </c>
      <c r="AT4124" s="24" t="str">
        <f t="shared" si="1286"/>
        <v/>
      </c>
      <c r="AU4124" s="22" t="s">
        <v>3240</v>
      </c>
    </row>
    <row r="4125" spans="1:47">
      <c r="A4125" s="246" t="str">
        <f t="shared" si="1274"/>
        <v/>
      </c>
      <c r="B4125" s="23"/>
      <c r="C4125" s="23"/>
      <c r="D4125" s="202" t="str">
        <f t="shared" si="1275"/>
        <v/>
      </c>
      <c r="E4125" s="33" t="str">
        <f t="shared" si="1287"/>
        <v/>
      </c>
      <c r="F4125" s="23"/>
      <c r="G4125" s="23"/>
      <c r="H4125" s="29"/>
      <c r="I4125" s="204" t="str">
        <f t="shared" si="1272"/>
        <v/>
      </c>
      <c r="J4125" s="188"/>
      <c r="K4125" s="29"/>
      <c r="L4125" s="24"/>
      <c r="M4125" s="22"/>
      <c r="N4125" s="22"/>
      <c r="O4125" s="22"/>
      <c r="P4125" s="202" t="str">
        <f t="shared" si="1273"/>
        <v/>
      </c>
      <c r="Q4125" s="22"/>
      <c r="R4125" s="22"/>
      <c r="S4125" s="22"/>
      <c r="T4125" s="22"/>
      <c r="U4125" s="22"/>
      <c r="V4125" s="22"/>
      <c r="W4125" s="22"/>
      <c r="X4125" s="104"/>
      <c r="Y4125" s="195" t="str">
        <f t="shared" si="1288"/>
        <v/>
      </c>
      <c r="Z4125" s="196" t="str">
        <f t="shared" si="1289"/>
        <v/>
      </c>
      <c r="AA4125" s="22"/>
      <c r="AB4125" s="197" t="str">
        <f t="shared" si="1276"/>
        <v/>
      </c>
      <c r="AC4125" s="198" t="str">
        <f t="shared" si="1277"/>
        <v/>
      </c>
      <c r="AD4125" s="162"/>
      <c r="AE4125" s="199" t="str">
        <f t="shared" si="1278"/>
        <v/>
      </c>
      <c r="AF4125" s="199" t="str">
        <f>IF(AND(COUNTIFS($J$18:J4125,J4125)=1,AE4125=1),1,"")</f>
        <v/>
      </c>
      <c r="AG4125" s="199" t="str">
        <f>IF(C4125="","",IF(AND(COUNTIFS($J$18:J4125,J4125)=1,C4125&lt;&gt;""),1,""))</f>
        <v/>
      </c>
      <c r="AH4125" s="199" t="str">
        <f>IF(G4125="","",IF(AND(COUNTIFS($J$18:J4125,J4125)=1,G4125&lt;&gt;""),1,""))</f>
        <v/>
      </c>
      <c r="AI4125" s="200">
        <f t="shared" si="1279"/>
        <v>0</v>
      </c>
      <c r="AJ4125" s="200">
        <f t="shared" si="1280"/>
        <v>0</v>
      </c>
      <c r="AK4125" s="201" t="str">
        <f t="shared" si="1281"/>
        <v/>
      </c>
      <c r="AL4125" s="24"/>
      <c r="AM4125" s="24"/>
      <c r="AN4125" s="24"/>
      <c r="AO4125" s="24"/>
      <c r="AP4125" s="165" t="str">
        <f t="shared" si="1282"/>
        <v/>
      </c>
      <c r="AQ4125" s="203" t="str">
        <f t="shared" si="1283"/>
        <v/>
      </c>
      <c r="AR4125" s="206">
        <f t="shared" si="1284"/>
        <v>0</v>
      </c>
      <c r="AS4125" s="22" t="str">
        <f t="shared" si="1285"/>
        <v/>
      </c>
      <c r="AT4125" s="24" t="str">
        <f t="shared" si="1286"/>
        <v/>
      </c>
      <c r="AU4125" s="22" t="s">
        <v>3240</v>
      </c>
    </row>
    <row r="4126" spans="1:47">
      <c r="A4126" s="246" t="str">
        <f t="shared" si="1274"/>
        <v/>
      </c>
      <c r="B4126" s="23"/>
      <c r="C4126" s="23"/>
      <c r="D4126" s="202" t="str">
        <f t="shared" si="1275"/>
        <v/>
      </c>
      <c r="E4126" s="33" t="str">
        <f t="shared" si="1287"/>
        <v/>
      </c>
      <c r="F4126" s="23"/>
      <c r="G4126" s="23"/>
      <c r="H4126" s="29"/>
      <c r="I4126" s="204" t="str">
        <f t="shared" si="1272"/>
        <v/>
      </c>
      <c r="J4126" s="188"/>
      <c r="K4126" s="29"/>
      <c r="L4126" s="24"/>
      <c r="M4126" s="22"/>
      <c r="N4126" s="22"/>
      <c r="O4126" s="22"/>
      <c r="P4126" s="202" t="str">
        <f t="shared" si="1273"/>
        <v/>
      </c>
      <c r="Q4126" s="22"/>
      <c r="R4126" s="22"/>
      <c r="S4126" s="22"/>
      <c r="T4126" s="22"/>
      <c r="U4126" s="22"/>
      <c r="V4126" s="22"/>
      <c r="W4126" s="22"/>
      <c r="X4126" s="104"/>
      <c r="Y4126" s="195" t="str">
        <f t="shared" si="1288"/>
        <v/>
      </c>
      <c r="Z4126" s="196" t="str">
        <f t="shared" si="1289"/>
        <v/>
      </c>
      <c r="AA4126" s="22"/>
      <c r="AB4126" s="197" t="str">
        <f t="shared" si="1276"/>
        <v/>
      </c>
      <c r="AC4126" s="198" t="str">
        <f t="shared" si="1277"/>
        <v/>
      </c>
      <c r="AD4126" s="162"/>
      <c r="AE4126" s="199" t="str">
        <f t="shared" si="1278"/>
        <v/>
      </c>
      <c r="AF4126" s="199" t="str">
        <f>IF(AND(COUNTIFS($J$18:J4126,J4126)=1,AE4126=1),1,"")</f>
        <v/>
      </c>
      <c r="AG4126" s="199" t="str">
        <f>IF(C4126="","",IF(AND(COUNTIFS($J$18:J4126,J4126)=1,C4126&lt;&gt;""),1,""))</f>
        <v/>
      </c>
      <c r="AH4126" s="199" t="str">
        <f>IF(G4126="","",IF(AND(COUNTIFS($J$18:J4126,J4126)=1,G4126&lt;&gt;""),1,""))</f>
        <v/>
      </c>
      <c r="AI4126" s="200">
        <f t="shared" si="1279"/>
        <v>0</v>
      </c>
      <c r="AJ4126" s="200">
        <f t="shared" si="1280"/>
        <v>0</v>
      </c>
      <c r="AK4126" s="201" t="str">
        <f t="shared" si="1281"/>
        <v/>
      </c>
      <c r="AL4126" s="24"/>
      <c r="AM4126" s="24"/>
      <c r="AN4126" s="24"/>
      <c r="AO4126" s="24"/>
      <c r="AP4126" s="165" t="str">
        <f t="shared" si="1282"/>
        <v/>
      </c>
      <c r="AQ4126" s="203" t="str">
        <f t="shared" si="1283"/>
        <v/>
      </c>
      <c r="AR4126" s="206">
        <f t="shared" si="1284"/>
        <v>0</v>
      </c>
      <c r="AS4126" s="22" t="str">
        <f t="shared" si="1285"/>
        <v/>
      </c>
      <c r="AT4126" s="24" t="str">
        <f t="shared" si="1286"/>
        <v/>
      </c>
      <c r="AU4126" s="22" t="s">
        <v>3240</v>
      </c>
    </row>
    <row r="4127" spans="1:47">
      <c r="A4127" s="246" t="str">
        <f t="shared" si="1274"/>
        <v/>
      </c>
      <c r="B4127" s="23"/>
      <c r="C4127" s="23"/>
      <c r="D4127" s="202" t="str">
        <f t="shared" si="1275"/>
        <v/>
      </c>
      <c r="E4127" s="33" t="str">
        <f t="shared" si="1287"/>
        <v/>
      </c>
      <c r="F4127" s="23"/>
      <c r="G4127" s="23"/>
      <c r="H4127" s="29"/>
      <c r="I4127" s="204" t="str">
        <f t="shared" si="1272"/>
        <v/>
      </c>
      <c r="J4127" s="188"/>
      <c r="K4127" s="29"/>
      <c r="L4127" s="24"/>
      <c r="M4127" s="22"/>
      <c r="N4127" s="22"/>
      <c r="O4127" s="22"/>
      <c r="P4127" s="202" t="str">
        <f t="shared" si="1273"/>
        <v/>
      </c>
      <c r="Q4127" s="22"/>
      <c r="R4127" s="22"/>
      <c r="S4127" s="22"/>
      <c r="T4127" s="22"/>
      <c r="U4127" s="22"/>
      <c r="V4127" s="22"/>
      <c r="W4127" s="22"/>
      <c r="X4127" s="104"/>
      <c r="Y4127" s="195" t="str">
        <f t="shared" si="1288"/>
        <v/>
      </c>
      <c r="Z4127" s="196" t="str">
        <f t="shared" si="1289"/>
        <v/>
      </c>
      <c r="AA4127" s="22"/>
      <c r="AB4127" s="197" t="str">
        <f t="shared" si="1276"/>
        <v/>
      </c>
      <c r="AC4127" s="198" t="str">
        <f t="shared" si="1277"/>
        <v/>
      </c>
      <c r="AD4127" s="162"/>
      <c r="AE4127" s="199" t="str">
        <f t="shared" si="1278"/>
        <v/>
      </c>
      <c r="AF4127" s="199" t="str">
        <f>IF(AND(COUNTIFS($J$18:J4127,J4127)=1,AE4127=1),1,"")</f>
        <v/>
      </c>
      <c r="AG4127" s="199" t="str">
        <f>IF(C4127="","",IF(AND(COUNTIFS($J$18:J4127,J4127)=1,C4127&lt;&gt;""),1,""))</f>
        <v/>
      </c>
      <c r="AH4127" s="199" t="str">
        <f>IF(G4127="","",IF(AND(COUNTIFS($J$18:J4127,J4127)=1,G4127&lt;&gt;""),1,""))</f>
        <v/>
      </c>
      <c r="AI4127" s="200">
        <f t="shared" si="1279"/>
        <v>0</v>
      </c>
      <c r="AJ4127" s="200">
        <f t="shared" si="1280"/>
        <v>0</v>
      </c>
      <c r="AK4127" s="201" t="str">
        <f t="shared" si="1281"/>
        <v/>
      </c>
      <c r="AL4127" s="24"/>
      <c r="AM4127" s="24"/>
      <c r="AN4127" s="24"/>
      <c r="AO4127" s="24"/>
      <c r="AP4127" s="165" t="str">
        <f t="shared" si="1282"/>
        <v/>
      </c>
      <c r="AQ4127" s="203" t="str">
        <f t="shared" si="1283"/>
        <v/>
      </c>
      <c r="AR4127" s="206">
        <f t="shared" si="1284"/>
        <v>0</v>
      </c>
      <c r="AS4127" s="22" t="str">
        <f t="shared" si="1285"/>
        <v/>
      </c>
      <c r="AT4127" s="24" t="str">
        <f t="shared" si="1286"/>
        <v/>
      </c>
      <c r="AU4127" s="22" t="s">
        <v>3240</v>
      </c>
    </row>
    <row r="4128" spans="1:47">
      <c r="A4128" s="246" t="str">
        <f t="shared" si="1274"/>
        <v/>
      </c>
      <c r="B4128" s="23"/>
      <c r="C4128" s="23"/>
      <c r="D4128" s="202" t="str">
        <f t="shared" si="1275"/>
        <v/>
      </c>
      <c r="E4128" s="33" t="str">
        <f t="shared" si="1287"/>
        <v/>
      </c>
      <c r="F4128" s="23"/>
      <c r="G4128" s="23"/>
      <c r="H4128" s="29"/>
      <c r="I4128" s="204" t="str">
        <f t="shared" ref="I4128:I4191" si="1290">IFERROR(IF(F4128="","",IF(F4128="TBA","TBA",IF(F4128="Cancel","Cancel",IF(AND(G4128&gt;=10,G4128&lt;=12),"Q3",IF(AND(G4128&gt;=1,G4128&lt;=3),"Q4",IF(AND(G4128&gt;=7,G4128&lt;=9),"Q2",IF(AND(G4128&gt;=4,G4128&lt;=6),"Q1"))))))),"")</f>
        <v/>
      </c>
      <c r="J4128" s="188"/>
      <c r="K4128" s="29"/>
      <c r="L4128" s="24"/>
      <c r="M4128" s="22"/>
      <c r="N4128" s="22"/>
      <c r="O4128" s="22"/>
      <c r="P4128" s="202" t="str">
        <f t="shared" si="1273"/>
        <v/>
      </c>
      <c r="Q4128" s="22"/>
      <c r="R4128" s="22"/>
      <c r="S4128" s="22"/>
      <c r="T4128" s="22"/>
      <c r="U4128" s="22"/>
      <c r="V4128" s="22"/>
      <c r="W4128" s="22"/>
      <c r="X4128" s="104"/>
      <c r="Y4128" s="195" t="str">
        <f t="shared" si="1288"/>
        <v/>
      </c>
      <c r="Z4128" s="196" t="str">
        <f t="shared" si="1289"/>
        <v/>
      </c>
      <c r="AA4128" s="22"/>
      <c r="AB4128" s="197" t="str">
        <f t="shared" si="1276"/>
        <v/>
      </c>
      <c r="AC4128" s="198" t="str">
        <f t="shared" si="1277"/>
        <v/>
      </c>
      <c r="AD4128" s="162"/>
      <c r="AE4128" s="199" t="str">
        <f t="shared" si="1278"/>
        <v/>
      </c>
      <c r="AF4128" s="199" t="str">
        <f>IF(AND(COUNTIFS($J$18:J4128,J4128)=1,AE4128=1),1,"")</f>
        <v/>
      </c>
      <c r="AG4128" s="199" t="str">
        <f>IF(C4128="","",IF(AND(COUNTIFS($J$18:J4128,J4128)=1,C4128&lt;&gt;""),1,""))</f>
        <v/>
      </c>
      <c r="AH4128" s="199" t="str">
        <f>IF(G4128="","",IF(AND(COUNTIFS($J$18:J4128,J4128)=1,G4128&lt;&gt;""),1,""))</f>
        <v/>
      </c>
      <c r="AI4128" s="200">
        <f t="shared" si="1279"/>
        <v>0</v>
      </c>
      <c r="AJ4128" s="200">
        <f t="shared" si="1280"/>
        <v>0</v>
      </c>
      <c r="AK4128" s="201" t="str">
        <f t="shared" si="1281"/>
        <v/>
      </c>
      <c r="AL4128" s="24"/>
      <c r="AM4128" s="24"/>
      <c r="AN4128" s="24"/>
      <c r="AO4128" s="24"/>
      <c r="AP4128" s="165" t="str">
        <f t="shared" si="1282"/>
        <v/>
      </c>
      <c r="AQ4128" s="203" t="str">
        <f t="shared" si="1283"/>
        <v/>
      </c>
      <c r="AR4128" s="206">
        <f t="shared" si="1284"/>
        <v>0</v>
      </c>
      <c r="AS4128" s="22" t="str">
        <f t="shared" si="1285"/>
        <v/>
      </c>
      <c r="AT4128" s="24" t="str">
        <f t="shared" si="1286"/>
        <v/>
      </c>
      <c r="AU4128" s="22" t="s">
        <v>3240</v>
      </c>
    </row>
    <row r="4129" spans="1:47">
      <c r="A4129" s="246" t="str">
        <f t="shared" si="1274"/>
        <v/>
      </c>
      <c r="B4129" s="23"/>
      <c r="C4129" s="23"/>
      <c r="D4129" s="202" t="str">
        <f t="shared" si="1275"/>
        <v/>
      </c>
      <c r="E4129" s="33" t="str">
        <f t="shared" si="1287"/>
        <v/>
      </c>
      <c r="F4129" s="23"/>
      <c r="G4129" s="23"/>
      <c r="H4129" s="29"/>
      <c r="I4129" s="204" t="str">
        <f t="shared" si="1290"/>
        <v/>
      </c>
      <c r="J4129" s="188"/>
      <c r="K4129" s="29"/>
      <c r="L4129" s="24"/>
      <c r="M4129" s="22"/>
      <c r="N4129" s="22"/>
      <c r="O4129" s="22"/>
      <c r="P4129" s="202" t="str">
        <f t="shared" ref="P4129:P4192" si="1291">IF(M4129="","",IF(AND(N4129&gt;0,L4129&lt;&gt;""),"MAIN UNIT",IF(AND(O4129&gt;0,L4129&lt;&gt;""),"SERVICE/ PARTS","C66 SERVICE/OTHERS")))</f>
        <v/>
      </c>
      <c r="Q4129" s="22"/>
      <c r="R4129" s="22"/>
      <c r="S4129" s="22"/>
      <c r="T4129" s="22"/>
      <c r="U4129" s="22"/>
      <c r="V4129" s="22"/>
      <c r="W4129" s="22"/>
      <c r="X4129" s="104"/>
      <c r="Y4129" s="195" t="str">
        <f t="shared" si="1288"/>
        <v/>
      </c>
      <c r="Z4129" s="196" t="str">
        <f t="shared" si="1289"/>
        <v/>
      </c>
      <c r="AA4129" s="22"/>
      <c r="AB4129" s="197" t="str">
        <f t="shared" si="1276"/>
        <v/>
      </c>
      <c r="AC4129" s="198" t="str">
        <f t="shared" si="1277"/>
        <v/>
      </c>
      <c r="AD4129" s="162"/>
      <c r="AE4129" s="199" t="str">
        <f t="shared" si="1278"/>
        <v/>
      </c>
      <c r="AF4129" s="199" t="str">
        <f>IF(AND(COUNTIFS($J$18:J4129,J4129)=1,AE4129=1),1,"")</f>
        <v/>
      </c>
      <c r="AG4129" s="199" t="str">
        <f>IF(C4129="","",IF(AND(COUNTIFS($J$18:J4129,J4129)=1,C4129&lt;&gt;""),1,""))</f>
        <v/>
      </c>
      <c r="AH4129" s="199" t="str">
        <f>IF(G4129="","",IF(AND(COUNTIFS($J$18:J4129,J4129)=1,G4129&lt;&gt;""),1,""))</f>
        <v/>
      </c>
      <c r="AI4129" s="200">
        <f t="shared" si="1279"/>
        <v>0</v>
      </c>
      <c r="AJ4129" s="200">
        <f t="shared" si="1280"/>
        <v>0</v>
      </c>
      <c r="AK4129" s="201" t="str">
        <f t="shared" si="1281"/>
        <v/>
      </c>
      <c r="AL4129" s="24"/>
      <c r="AM4129" s="24"/>
      <c r="AN4129" s="24"/>
      <c r="AO4129" s="24"/>
      <c r="AP4129" s="165" t="str">
        <f t="shared" si="1282"/>
        <v/>
      </c>
      <c r="AQ4129" s="203" t="str">
        <f t="shared" si="1283"/>
        <v/>
      </c>
      <c r="AR4129" s="206">
        <f t="shared" si="1284"/>
        <v>0</v>
      </c>
      <c r="AS4129" s="22" t="str">
        <f t="shared" si="1285"/>
        <v/>
      </c>
      <c r="AT4129" s="24" t="str">
        <f t="shared" si="1286"/>
        <v/>
      </c>
      <c r="AU4129" s="22" t="s">
        <v>3240</v>
      </c>
    </row>
    <row r="4130" spans="1:47">
      <c r="A4130" s="246" t="str">
        <f t="shared" ref="A4130:A4193" si="1292">IF(C4130="cancel","cancel",IFERROR(IF(D4130="Q4","FY "&amp;RIGHT(B4130,2)-1&amp;"/"&amp;RIGHT(B4130,2),"FY "&amp;RIGHT(B4130,2)&amp;"/"&amp;RIGHT(B4130,2)+1),""))</f>
        <v/>
      </c>
      <c r="B4130" s="23"/>
      <c r="C4130" s="23"/>
      <c r="D4130" s="202" t="str">
        <f t="shared" ref="D4130:D4193" si="1293">IF(B4130="","",IF(AND(C4130&gt;=10,C4130&lt;=12),"Q3",IF(AND(C4130&gt;=1,C4130&lt;=3),"Q4",IF(AND(C4130&gt;=7,C4130&lt;=9),"Q2",IF(AND(C4130&gt;=4,C4130&lt;=6),"Q1")))))</f>
        <v/>
      </c>
      <c r="E4130" s="33" t="str">
        <f t="shared" si="1287"/>
        <v/>
      </c>
      <c r="F4130" s="23"/>
      <c r="G4130" s="23"/>
      <c r="H4130" s="29"/>
      <c r="I4130" s="204" t="str">
        <f t="shared" si="1290"/>
        <v/>
      </c>
      <c r="J4130" s="188"/>
      <c r="K4130" s="29"/>
      <c r="L4130" s="24"/>
      <c r="M4130" s="22"/>
      <c r="N4130" s="22"/>
      <c r="O4130" s="22"/>
      <c r="P4130" s="202" t="str">
        <f t="shared" si="1291"/>
        <v/>
      </c>
      <c r="Q4130" s="22"/>
      <c r="R4130" s="22"/>
      <c r="S4130" s="22"/>
      <c r="T4130" s="22"/>
      <c r="U4130" s="22"/>
      <c r="V4130" s="22"/>
      <c r="W4130" s="22"/>
      <c r="X4130" s="104"/>
      <c r="Y4130" s="195" t="str">
        <f t="shared" si="1288"/>
        <v/>
      </c>
      <c r="Z4130" s="196" t="str">
        <f t="shared" si="1289"/>
        <v/>
      </c>
      <c r="AA4130" s="22"/>
      <c r="AB4130" s="197" t="str">
        <f t="shared" ref="AB4130:AB4193" si="1294">IF(AND(R4130&lt;&gt;"C66",R4130&lt;&gt;""),Z4130/Y4130*AA4130,"")</f>
        <v/>
      </c>
      <c r="AC4130" s="198" t="str">
        <f t="shared" ref="AC4130:AC4193" si="1295">IF(R4130&lt;&gt;"",AB4130*AD4130,"")</f>
        <v/>
      </c>
      <c r="AD4130" s="162"/>
      <c r="AE4130" s="199" t="str">
        <f t="shared" ref="AE4130:AE4193" si="1296">IF(Q4130="","",IF(Q4130="Yes",1,0))</f>
        <v/>
      </c>
      <c r="AF4130" s="199" t="str">
        <f>IF(AND(COUNTIFS($J$18:J4130,J4130)=1,AE4130=1),1,"")</f>
        <v/>
      </c>
      <c r="AG4130" s="199" t="str">
        <f>IF(C4130="","",IF(AND(COUNTIFS($J$18:J4130,J4130)=1,C4130&lt;&gt;""),1,""))</f>
        <v/>
      </c>
      <c r="AH4130" s="199" t="str">
        <f>IF(G4130="","",IF(AND(COUNTIFS($J$18:J4130,J4130)=1,G4130&lt;&gt;""),1,""))</f>
        <v/>
      </c>
      <c r="AI4130" s="200">
        <f t="shared" ref="AI4130:AI4193" si="1297">IF(P4130="C66 SERVICE","",SUMIFS(AB:AB,F:F,F4130,G:G,G4130,E:E,E4130))</f>
        <v>0</v>
      </c>
      <c r="AJ4130" s="200">
        <f t="shared" ref="AJ4130:AJ4193" si="1298">IF(P4130="C66 SERVICE","",SUMIFS(AC:AC,F:F,F4130,G:G,G4130,E:E,E4130))</f>
        <v>0</v>
      </c>
      <c r="AK4130" s="201" t="str">
        <f t="shared" ref="AK4130:AK4193" si="1299">IF(AJ4130&gt;0,AJ4130/AI4130,"")</f>
        <v/>
      </c>
      <c r="AL4130" s="24"/>
      <c r="AM4130" s="24"/>
      <c r="AN4130" s="24"/>
      <c r="AO4130" s="24"/>
      <c r="AP4130" s="165" t="str">
        <f t="shared" ref="AP4130:AP4193" si="1300">IF(F4130="","",F4130&amp;G4130)</f>
        <v/>
      </c>
      <c r="AQ4130" s="203" t="str">
        <f t="shared" ref="AQ4130:AQ4193" si="1301">IF(W4130="","",F4130&amp;G4130&amp;W4130)</f>
        <v/>
      </c>
      <c r="AR4130" s="206">
        <f t="shared" ref="AR4130:AR4193" si="1302">IFERROR(IF(AND(M4130="YAMAHA", R4130="C28"), "YAMAHA_Non_Mounter", IF(AND(M4130="YAMAHA", R4130="C49"), "YAMAHA_Mounter", M4130)),"")</f>
        <v>0</v>
      </c>
      <c r="AS4130" s="22" t="str">
        <f t="shared" ref="AS4130:AS4193" si="1303">IFERROR(IF(OR(G4130="TBA", G4130=""), "", DATEDIF(DATE(B4130, C4130, 1), DATE(F4130, G4130, 1), "M")),"")</f>
        <v/>
      </c>
      <c r="AT4130" s="24" t="str">
        <f t="shared" ref="AT4130:AT4193" si="1304">IF(ISNUMBER(AS4130), IF(AS4130&gt;=0, IF(AS4130&lt;=3, "0-3 months", IF(AS4130&lt;=6, "4-6 months", "&gt; 6 months"))), "")</f>
        <v/>
      </c>
      <c r="AU4130" s="22" t="s">
        <v>3240</v>
      </c>
    </row>
    <row r="4131" spans="1:47">
      <c r="A4131" s="246" t="str">
        <f t="shared" si="1292"/>
        <v/>
      </c>
      <c r="B4131" s="23"/>
      <c r="C4131" s="23"/>
      <c r="D4131" s="202" t="str">
        <f t="shared" si="1293"/>
        <v/>
      </c>
      <c r="E4131" s="33" t="str">
        <f t="shared" si="1287"/>
        <v/>
      </c>
      <c r="F4131" s="23"/>
      <c r="G4131" s="23"/>
      <c r="H4131" s="29"/>
      <c r="I4131" s="204" t="str">
        <f t="shared" si="1290"/>
        <v/>
      </c>
      <c r="J4131" s="188"/>
      <c r="K4131" s="29"/>
      <c r="L4131" s="24"/>
      <c r="M4131" s="22"/>
      <c r="N4131" s="22"/>
      <c r="O4131" s="22"/>
      <c r="P4131" s="202" t="str">
        <f t="shared" si="1291"/>
        <v/>
      </c>
      <c r="Q4131" s="22"/>
      <c r="R4131" s="22"/>
      <c r="S4131" s="22"/>
      <c r="T4131" s="22"/>
      <c r="U4131" s="22"/>
      <c r="V4131" s="22"/>
      <c r="W4131" s="22"/>
      <c r="X4131" s="104"/>
      <c r="Y4131" s="195" t="str">
        <f t="shared" si="1288"/>
        <v/>
      </c>
      <c r="Z4131" s="196" t="str">
        <f t="shared" si="1289"/>
        <v/>
      </c>
      <c r="AA4131" s="22"/>
      <c r="AB4131" s="197" t="str">
        <f t="shared" si="1294"/>
        <v/>
      </c>
      <c r="AC4131" s="198" t="str">
        <f t="shared" si="1295"/>
        <v/>
      </c>
      <c r="AD4131" s="162"/>
      <c r="AE4131" s="199" t="str">
        <f t="shared" si="1296"/>
        <v/>
      </c>
      <c r="AF4131" s="199" t="str">
        <f>IF(AND(COUNTIFS($J$18:J4131,J4131)=1,AE4131=1),1,"")</f>
        <v/>
      </c>
      <c r="AG4131" s="199" t="str">
        <f>IF(C4131="","",IF(AND(COUNTIFS($J$18:J4131,J4131)=1,C4131&lt;&gt;""),1,""))</f>
        <v/>
      </c>
      <c r="AH4131" s="199" t="str">
        <f>IF(G4131="","",IF(AND(COUNTIFS($J$18:J4131,J4131)=1,G4131&lt;&gt;""),1,""))</f>
        <v/>
      </c>
      <c r="AI4131" s="200">
        <f t="shared" si="1297"/>
        <v>0</v>
      </c>
      <c r="AJ4131" s="200">
        <f t="shared" si="1298"/>
        <v>0</v>
      </c>
      <c r="AK4131" s="201" t="str">
        <f t="shared" si="1299"/>
        <v/>
      </c>
      <c r="AL4131" s="24"/>
      <c r="AM4131" s="24"/>
      <c r="AN4131" s="24"/>
      <c r="AO4131" s="24"/>
      <c r="AP4131" s="165" t="str">
        <f t="shared" si="1300"/>
        <v/>
      </c>
      <c r="AQ4131" s="203" t="str">
        <f t="shared" si="1301"/>
        <v/>
      </c>
      <c r="AR4131" s="206">
        <f t="shared" si="1302"/>
        <v>0</v>
      </c>
      <c r="AS4131" s="22" t="str">
        <f t="shared" si="1303"/>
        <v/>
      </c>
      <c r="AT4131" s="24" t="str">
        <f t="shared" si="1304"/>
        <v/>
      </c>
      <c r="AU4131" s="22" t="s">
        <v>3240</v>
      </c>
    </row>
    <row r="4132" spans="1:47">
      <c r="A4132" s="246" t="str">
        <f t="shared" si="1292"/>
        <v/>
      </c>
      <c r="B4132" s="23"/>
      <c r="C4132" s="23"/>
      <c r="D4132" s="202" t="str">
        <f t="shared" si="1293"/>
        <v/>
      </c>
      <c r="E4132" s="33" t="str">
        <f t="shared" si="1287"/>
        <v/>
      </c>
      <c r="F4132" s="23"/>
      <c r="G4132" s="23"/>
      <c r="H4132" s="29"/>
      <c r="I4132" s="204" t="str">
        <f t="shared" si="1290"/>
        <v/>
      </c>
      <c r="J4132" s="188"/>
      <c r="K4132" s="29"/>
      <c r="L4132" s="24"/>
      <c r="M4132" s="22"/>
      <c r="N4132" s="22"/>
      <c r="O4132" s="22"/>
      <c r="P4132" s="202" t="str">
        <f t="shared" si="1291"/>
        <v/>
      </c>
      <c r="Q4132" s="22"/>
      <c r="R4132" s="22"/>
      <c r="S4132" s="22"/>
      <c r="T4132" s="22"/>
      <c r="U4132" s="22"/>
      <c r="V4132" s="22"/>
      <c r="W4132" s="22"/>
      <c r="X4132" s="104"/>
      <c r="Y4132" s="195" t="str">
        <f t="shared" si="1288"/>
        <v/>
      </c>
      <c r="Z4132" s="196" t="str">
        <f t="shared" si="1289"/>
        <v/>
      </c>
      <c r="AA4132" s="22"/>
      <c r="AB4132" s="197" t="str">
        <f t="shared" si="1294"/>
        <v/>
      </c>
      <c r="AC4132" s="198" t="str">
        <f t="shared" si="1295"/>
        <v/>
      </c>
      <c r="AD4132" s="162"/>
      <c r="AE4132" s="199" t="str">
        <f t="shared" si="1296"/>
        <v/>
      </c>
      <c r="AF4132" s="199" t="str">
        <f>IF(AND(COUNTIFS($J$18:J4132,J4132)=1,AE4132=1),1,"")</f>
        <v/>
      </c>
      <c r="AG4132" s="199" t="str">
        <f>IF(C4132="","",IF(AND(COUNTIFS($J$18:J4132,J4132)=1,C4132&lt;&gt;""),1,""))</f>
        <v/>
      </c>
      <c r="AH4132" s="199" t="str">
        <f>IF(G4132="","",IF(AND(COUNTIFS($J$18:J4132,J4132)=1,G4132&lt;&gt;""),1,""))</f>
        <v/>
      </c>
      <c r="AI4132" s="200">
        <f t="shared" si="1297"/>
        <v>0</v>
      </c>
      <c r="AJ4132" s="200">
        <f t="shared" si="1298"/>
        <v>0</v>
      </c>
      <c r="AK4132" s="201" t="str">
        <f t="shared" si="1299"/>
        <v/>
      </c>
      <c r="AL4132" s="24"/>
      <c r="AM4132" s="24"/>
      <c r="AN4132" s="24"/>
      <c r="AO4132" s="24"/>
      <c r="AP4132" s="165" t="str">
        <f t="shared" si="1300"/>
        <v/>
      </c>
      <c r="AQ4132" s="203" t="str">
        <f t="shared" si="1301"/>
        <v/>
      </c>
      <c r="AR4132" s="206">
        <f t="shared" si="1302"/>
        <v>0</v>
      </c>
      <c r="AS4132" s="22" t="str">
        <f t="shared" si="1303"/>
        <v/>
      </c>
      <c r="AT4132" s="24" t="str">
        <f t="shared" si="1304"/>
        <v/>
      </c>
      <c r="AU4132" s="22" t="s">
        <v>3240</v>
      </c>
    </row>
    <row r="4133" spans="1:47">
      <c r="A4133" s="246" t="str">
        <f t="shared" si="1292"/>
        <v/>
      </c>
      <c r="B4133" s="23"/>
      <c r="C4133" s="23"/>
      <c r="D4133" s="202" t="str">
        <f t="shared" si="1293"/>
        <v/>
      </c>
      <c r="E4133" s="33" t="str">
        <f t="shared" si="1287"/>
        <v/>
      </c>
      <c r="F4133" s="23"/>
      <c r="G4133" s="23"/>
      <c r="H4133" s="29"/>
      <c r="I4133" s="204" t="str">
        <f t="shared" si="1290"/>
        <v/>
      </c>
      <c r="J4133" s="188"/>
      <c r="K4133" s="29"/>
      <c r="L4133" s="24"/>
      <c r="M4133" s="22"/>
      <c r="N4133" s="22"/>
      <c r="O4133" s="22"/>
      <c r="P4133" s="202" t="str">
        <f t="shared" si="1291"/>
        <v/>
      </c>
      <c r="Q4133" s="22"/>
      <c r="R4133" s="22"/>
      <c r="S4133" s="22"/>
      <c r="T4133" s="22"/>
      <c r="U4133" s="22"/>
      <c r="V4133" s="22"/>
      <c r="W4133" s="22"/>
      <c r="X4133" s="104"/>
      <c r="Y4133" s="195" t="str">
        <f t="shared" si="1288"/>
        <v/>
      </c>
      <c r="Z4133" s="196" t="str">
        <f t="shared" si="1289"/>
        <v/>
      </c>
      <c r="AA4133" s="22"/>
      <c r="AB4133" s="197" t="str">
        <f t="shared" si="1294"/>
        <v/>
      </c>
      <c r="AC4133" s="198" t="str">
        <f t="shared" si="1295"/>
        <v/>
      </c>
      <c r="AD4133" s="162"/>
      <c r="AE4133" s="199" t="str">
        <f t="shared" si="1296"/>
        <v/>
      </c>
      <c r="AF4133" s="199" t="str">
        <f>IF(AND(COUNTIFS($J$18:J4133,J4133)=1,AE4133=1),1,"")</f>
        <v/>
      </c>
      <c r="AG4133" s="199" t="str">
        <f>IF(C4133="","",IF(AND(COUNTIFS($J$18:J4133,J4133)=1,C4133&lt;&gt;""),1,""))</f>
        <v/>
      </c>
      <c r="AH4133" s="199" t="str">
        <f>IF(G4133="","",IF(AND(COUNTIFS($J$18:J4133,J4133)=1,G4133&lt;&gt;""),1,""))</f>
        <v/>
      </c>
      <c r="AI4133" s="200">
        <f t="shared" si="1297"/>
        <v>0</v>
      </c>
      <c r="AJ4133" s="200">
        <f t="shared" si="1298"/>
        <v>0</v>
      </c>
      <c r="AK4133" s="201" t="str">
        <f t="shared" si="1299"/>
        <v/>
      </c>
      <c r="AL4133" s="24"/>
      <c r="AM4133" s="24"/>
      <c r="AN4133" s="24"/>
      <c r="AO4133" s="24"/>
      <c r="AP4133" s="165" t="str">
        <f t="shared" si="1300"/>
        <v/>
      </c>
      <c r="AQ4133" s="203" t="str">
        <f t="shared" si="1301"/>
        <v/>
      </c>
      <c r="AR4133" s="206">
        <f t="shared" si="1302"/>
        <v>0</v>
      </c>
      <c r="AS4133" s="22" t="str">
        <f t="shared" si="1303"/>
        <v/>
      </c>
      <c r="AT4133" s="24" t="str">
        <f t="shared" si="1304"/>
        <v/>
      </c>
      <c r="AU4133" s="22" t="s">
        <v>3240</v>
      </c>
    </row>
    <row r="4134" spans="1:47">
      <c r="A4134" s="246" t="str">
        <f t="shared" si="1292"/>
        <v/>
      </c>
      <c r="B4134" s="23"/>
      <c r="C4134" s="23"/>
      <c r="D4134" s="202" t="str">
        <f t="shared" si="1293"/>
        <v/>
      </c>
      <c r="E4134" s="33" t="str">
        <f t="shared" si="1287"/>
        <v/>
      </c>
      <c r="F4134" s="23"/>
      <c r="G4134" s="23"/>
      <c r="H4134" s="29"/>
      <c r="I4134" s="204" t="str">
        <f t="shared" si="1290"/>
        <v/>
      </c>
      <c r="J4134" s="188"/>
      <c r="K4134" s="29"/>
      <c r="L4134" s="24"/>
      <c r="M4134" s="22"/>
      <c r="N4134" s="22"/>
      <c r="O4134" s="22"/>
      <c r="P4134" s="202" t="str">
        <f t="shared" si="1291"/>
        <v/>
      </c>
      <c r="Q4134" s="22"/>
      <c r="R4134" s="22"/>
      <c r="S4134" s="22"/>
      <c r="T4134" s="22"/>
      <c r="U4134" s="22"/>
      <c r="V4134" s="22"/>
      <c r="W4134" s="22"/>
      <c r="X4134" s="104"/>
      <c r="Y4134" s="195" t="str">
        <f t="shared" si="1288"/>
        <v/>
      </c>
      <c r="Z4134" s="196" t="str">
        <f t="shared" si="1289"/>
        <v/>
      </c>
      <c r="AA4134" s="22"/>
      <c r="AB4134" s="197" t="str">
        <f t="shared" si="1294"/>
        <v/>
      </c>
      <c r="AC4134" s="198" t="str">
        <f t="shared" si="1295"/>
        <v/>
      </c>
      <c r="AD4134" s="162"/>
      <c r="AE4134" s="199" t="str">
        <f t="shared" si="1296"/>
        <v/>
      </c>
      <c r="AF4134" s="199" t="str">
        <f>IF(AND(COUNTIFS($J$18:J4134,J4134)=1,AE4134=1),1,"")</f>
        <v/>
      </c>
      <c r="AG4134" s="199" t="str">
        <f>IF(C4134="","",IF(AND(COUNTIFS($J$18:J4134,J4134)=1,C4134&lt;&gt;""),1,""))</f>
        <v/>
      </c>
      <c r="AH4134" s="199" t="str">
        <f>IF(G4134="","",IF(AND(COUNTIFS($J$18:J4134,J4134)=1,G4134&lt;&gt;""),1,""))</f>
        <v/>
      </c>
      <c r="AI4134" s="200">
        <f t="shared" si="1297"/>
        <v>0</v>
      </c>
      <c r="AJ4134" s="200">
        <f t="shared" si="1298"/>
        <v>0</v>
      </c>
      <c r="AK4134" s="201" t="str">
        <f t="shared" si="1299"/>
        <v/>
      </c>
      <c r="AL4134" s="24"/>
      <c r="AM4134" s="24"/>
      <c r="AN4134" s="24"/>
      <c r="AO4134" s="24"/>
      <c r="AP4134" s="165" t="str">
        <f t="shared" si="1300"/>
        <v/>
      </c>
      <c r="AQ4134" s="203" t="str">
        <f t="shared" si="1301"/>
        <v/>
      </c>
      <c r="AR4134" s="206">
        <f t="shared" si="1302"/>
        <v>0</v>
      </c>
      <c r="AS4134" s="22" t="str">
        <f t="shared" si="1303"/>
        <v/>
      </c>
      <c r="AT4134" s="24" t="str">
        <f t="shared" si="1304"/>
        <v/>
      </c>
      <c r="AU4134" s="22" t="s">
        <v>3240</v>
      </c>
    </row>
    <row r="4135" spans="1:47">
      <c r="A4135" s="246" t="str">
        <f t="shared" si="1292"/>
        <v/>
      </c>
      <c r="B4135" s="23"/>
      <c r="C4135" s="23"/>
      <c r="D4135" s="202" t="str">
        <f t="shared" si="1293"/>
        <v/>
      </c>
      <c r="E4135" s="33" t="str">
        <f t="shared" si="1287"/>
        <v/>
      </c>
      <c r="F4135" s="23"/>
      <c r="G4135" s="23"/>
      <c r="H4135" s="29"/>
      <c r="I4135" s="204" t="str">
        <f t="shared" si="1290"/>
        <v/>
      </c>
      <c r="J4135" s="188"/>
      <c r="K4135" s="29"/>
      <c r="L4135" s="24"/>
      <c r="M4135" s="22"/>
      <c r="N4135" s="22"/>
      <c r="O4135" s="22"/>
      <c r="P4135" s="202" t="str">
        <f t="shared" si="1291"/>
        <v/>
      </c>
      <c r="Q4135" s="22"/>
      <c r="R4135" s="22"/>
      <c r="S4135" s="22"/>
      <c r="T4135" s="22"/>
      <c r="U4135" s="22"/>
      <c r="V4135" s="22"/>
      <c r="W4135" s="22"/>
      <c r="X4135" s="104"/>
      <c r="Y4135" s="195" t="str">
        <f t="shared" si="1288"/>
        <v/>
      </c>
      <c r="Z4135" s="196" t="str">
        <f t="shared" si="1289"/>
        <v/>
      </c>
      <c r="AA4135" s="22"/>
      <c r="AB4135" s="197" t="str">
        <f t="shared" si="1294"/>
        <v/>
      </c>
      <c r="AC4135" s="198" t="str">
        <f t="shared" si="1295"/>
        <v/>
      </c>
      <c r="AD4135" s="162"/>
      <c r="AE4135" s="199" t="str">
        <f t="shared" si="1296"/>
        <v/>
      </c>
      <c r="AF4135" s="199" t="str">
        <f>IF(AND(COUNTIFS($J$18:J4135,J4135)=1,AE4135=1),1,"")</f>
        <v/>
      </c>
      <c r="AG4135" s="199" t="str">
        <f>IF(C4135="","",IF(AND(COUNTIFS($J$18:J4135,J4135)=1,C4135&lt;&gt;""),1,""))</f>
        <v/>
      </c>
      <c r="AH4135" s="199" t="str">
        <f>IF(G4135="","",IF(AND(COUNTIFS($J$18:J4135,J4135)=1,G4135&lt;&gt;""),1,""))</f>
        <v/>
      </c>
      <c r="AI4135" s="200">
        <f t="shared" si="1297"/>
        <v>0</v>
      </c>
      <c r="AJ4135" s="200">
        <f t="shared" si="1298"/>
        <v>0</v>
      </c>
      <c r="AK4135" s="201" t="str">
        <f t="shared" si="1299"/>
        <v/>
      </c>
      <c r="AL4135" s="24"/>
      <c r="AM4135" s="24"/>
      <c r="AN4135" s="24"/>
      <c r="AO4135" s="24"/>
      <c r="AP4135" s="165" t="str">
        <f t="shared" si="1300"/>
        <v/>
      </c>
      <c r="AQ4135" s="203" t="str">
        <f t="shared" si="1301"/>
        <v/>
      </c>
      <c r="AR4135" s="206">
        <f t="shared" si="1302"/>
        <v>0</v>
      </c>
      <c r="AS4135" s="22" t="str">
        <f t="shared" si="1303"/>
        <v/>
      </c>
      <c r="AT4135" s="24" t="str">
        <f t="shared" si="1304"/>
        <v/>
      </c>
      <c r="AU4135" s="22" t="s">
        <v>3240</v>
      </c>
    </row>
    <row r="4136" spans="1:47">
      <c r="A4136" s="246" t="str">
        <f t="shared" si="1292"/>
        <v/>
      </c>
      <c r="B4136" s="23"/>
      <c r="C4136" s="23"/>
      <c r="D4136" s="202" t="str">
        <f t="shared" si="1293"/>
        <v/>
      </c>
      <c r="E4136" s="33" t="str">
        <f t="shared" si="1287"/>
        <v/>
      </c>
      <c r="F4136" s="23"/>
      <c r="G4136" s="23"/>
      <c r="H4136" s="29"/>
      <c r="I4136" s="204" t="str">
        <f t="shared" si="1290"/>
        <v/>
      </c>
      <c r="J4136" s="188"/>
      <c r="K4136" s="29"/>
      <c r="L4136" s="24"/>
      <c r="M4136" s="22"/>
      <c r="N4136" s="22"/>
      <c r="O4136" s="22"/>
      <c r="P4136" s="202" t="str">
        <f t="shared" si="1291"/>
        <v/>
      </c>
      <c r="Q4136" s="22"/>
      <c r="R4136" s="22"/>
      <c r="S4136" s="22"/>
      <c r="T4136" s="22"/>
      <c r="U4136" s="22"/>
      <c r="V4136" s="22"/>
      <c r="W4136" s="22"/>
      <c r="X4136" s="104"/>
      <c r="Y4136" s="195" t="str">
        <f t="shared" si="1288"/>
        <v/>
      </c>
      <c r="Z4136" s="196" t="str">
        <f t="shared" si="1289"/>
        <v/>
      </c>
      <c r="AA4136" s="22"/>
      <c r="AB4136" s="197" t="str">
        <f t="shared" si="1294"/>
        <v/>
      </c>
      <c r="AC4136" s="198" t="str">
        <f t="shared" si="1295"/>
        <v/>
      </c>
      <c r="AD4136" s="162"/>
      <c r="AE4136" s="199" t="str">
        <f t="shared" si="1296"/>
        <v/>
      </c>
      <c r="AF4136" s="199" t="str">
        <f>IF(AND(COUNTIFS($J$18:J4136,J4136)=1,AE4136=1),1,"")</f>
        <v/>
      </c>
      <c r="AG4136" s="199" t="str">
        <f>IF(C4136="","",IF(AND(COUNTIFS($J$18:J4136,J4136)=1,C4136&lt;&gt;""),1,""))</f>
        <v/>
      </c>
      <c r="AH4136" s="199" t="str">
        <f>IF(G4136="","",IF(AND(COUNTIFS($J$18:J4136,J4136)=1,G4136&lt;&gt;""),1,""))</f>
        <v/>
      </c>
      <c r="AI4136" s="200">
        <f t="shared" si="1297"/>
        <v>0</v>
      </c>
      <c r="AJ4136" s="200">
        <f t="shared" si="1298"/>
        <v>0</v>
      </c>
      <c r="AK4136" s="201" t="str">
        <f t="shared" si="1299"/>
        <v/>
      </c>
      <c r="AL4136" s="24"/>
      <c r="AM4136" s="24"/>
      <c r="AN4136" s="24"/>
      <c r="AO4136" s="24"/>
      <c r="AP4136" s="165" t="str">
        <f t="shared" si="1300"/>
        <v/>
      </c>
      <c r="AQ4136" s="203" t="str">
        <f t="shared" si="1301"/>
        <v/>
      </c>
      <c r="AR4136" s="206">
        <f t="shared" si="1302"/>
        <v>0</v>
      </c>
      <c r="AS4136" s="22" t="str">
        <f t="shared" si="1303"/>
        <v/>
      </c>
      <c r="AT4136" s="24" t="str">
        <f t="shared" si="1304"/>
        <v/>
      </c>
      <c r="AU4136" s="22" t="s">
        <v>3240</v>
      </c>
    </row>
    <row r="4137" spans="1:47">
      <c r="A4137" s="246" t="str">
        <f t="shared" si="1292"/>
        <v/>
      </c>
      <c r="B4137" s="23"/>
      <c r="C4137" s="23"/>
      <c r="D4137" s="202" t="str">
        <f t="shared" si="1293"/>
        <v/>
      </c>
      <c r="E4137" s="33" t="str">
        <f t="shared" si="1287"/>
        <v/>
      </c>
      <c r="F4137" s="23"/>
      <c r="G4137" s="23"/>
      <c r="H4137" s="29"/>
      <c r="I4137" s="204" t="str">
        <f t="shared" si="1290"/>
        <v/>
      </c>
      <c r="J4137" s="188"/>
      <c r="K4137" s="29"/>
      <c r="L4137" s="24"/>
      <c r="M4137" s="22"/>
      <c r="N4137" s="22"/>
      <c r="O4137" s="22"/>
      <c r="P4137" s="202" t="str">
        <f t="shared" si="1291"/>
        <v/>
      </c>
      <c r="Q4137" s="22"/>
      <c r="R4137" s="22"/>
      <c r="S4137" s="22"/>
      <c r="T4137" s="22"/>
      <c r="U4137" s="22"/>
      <c r="V4137" s="22"/>
      <c r="W4137" s="22"/>
      <c r="X4137" s="104"/>
      <c r="Y4137" s="195" t="str">
        <f t="shared" si="1288"/>
        <v/>
      </c>
      <c r="Z4137" s="196" t="str">
        <f t="shared" si="1289"/>
        <v/>
      </c>
      <c r="AA4137" s="22"/>
      <c r="AB4137" s="197" t="str">
        <f t="shared" si="1294"/>
        <v/>
      </c>
      <c r="AC4137" s="198" t="str">
        <f t="shared" si="1295"/>
        <v/>
      </c>
      <c r="AD4137" s="162"/>
      <c r="AE4137" s="199" t="str">
        <f t="shared" si="1296"/>
        <v/>
      </c>
      <c r="AF4137" s="199" t="str">
        <f>IF(AND(COUNTIFS($J$18:J4137,J4137)=1,AE4137=1),1,"")</f>
        <v/>
      </c>
      <c r="AG4137" s="199" t="str">
        <f>IF(C4137="","",IF(AND(COUNTIFS($J$18:J4137,J4137)=1,C4137&lt;&gt;""),1,""))</f>
        <v/>
      </c>
      <c r="AH4137" s="199" t="str">
        <f>IF(G4137="","",IF(AND(COUNTIFS($J$18:J4137,J4137)=1,G4137&lt;&gt;""),1,""))</f>
        <v/>
      </c>
      <c r="AI4137" s="200">
        <f t="shared" si="1297"/>
        <v>0</v>
      </c>
      <c r="AJ4137" s="200">
        <f t="shared" si="1298"/>
        <v>0</v>
      </c>
      <c r="AK4137" s="201" t="str">
        <f t="shared" si="1299"/>
        <v/>
      </c>
      <c r="AL4137" s="24"/>
      <c r="AM4137" s="24"/>
      <c r="AN4137" s="24"/>
      <c r="AO4137" s="24"/>
      <c r="AP4137" s="165" t="str">
        <f t="shared" si="1300"/>
        <v/>
      </c>
      <c r="AQ4137" s="203" t="str">
        <f t="shared" si="1301"/>
        <v/>
      </c>
      <c r="AR4137" s="206">
        <f t="shared" si="1302"/>
        <v>0</v>
      </c>
      <c r="AS4137" s="22" t="str">
        <f t="shared" si="1303"/>
        <v/>
      </c>
      <c r="AT4137" s="24" t="str">
        <f t="shared" si="1304"/>
        <v/>
      </c>
      <c r="AU4137" s="22" t="s">
        <v>3240</v>
      </c>
    </row>
    <row r="4138" spans="1:47">
      <c r="A4138" s="246" t="str">
        <f t="shared" si="1292"/>
        <v/>
      </c>
      <c r="B4138" s="23"/>
      <c r="C4138" s="23"/>
      <c r="D4138" s="202" t="str">
        <f t="shared" si="1293"/>
        <v/>
      </c>
      <c r="E4138" s="33" t="str">
        <f t="shared" si="1287"/>
        <v/>
      </c>
      <c r="F4138" s="23"/>
      <c r="G4138" s="23"/>
      <c r="H4138" s="29"/>
      <c r="I4138" s="204" t="str">
        <f t="shared" si="1290"/>
        <v/>
      </c>
      <c r="J4138" s="188"/>
      <c r="K4138" s="29"/>
      <c r="L4138" s="24"/>
      <c r="M4138" s="22"/>
      <c r="N4138" s="22"/>
      <c r="O4138" s="22"/>
      <c r="P4138" s="202" t="str">
        <f t="shared" si="1291"/>
        <v/>
      </c>
      <c r="Q4138" s="22"/>
      <c r="R4138" s="22"/>
      <c r="S4138" s="22"/>
      <c r="T4138" s="22"/>
      <c r="U4138" s="22"/>
      <c r="V4138" s="22"/>
      <c r="W4138" s="22"/>
      <c r="X4138" s="104"/>
      <c r="Y4138" s="195" t="str">
        <f t="shared" si="1288"/>
        <v/>
      </c>
      <c r="Z4138" s="196" t="str">
        <f t="shared" si="1289"/>
        <v/>
      </c>
      <c r="AA4138" s="22"/>
      <c r="AB4138" s="197" t="str">
        <f t="shared" si="1294"/>
        <v/>
      </c>
      <c r="AC4138" s="198" t="str">
        <f t="shared" si="1295"/>
        <v/>
      </c>
      <c r="AD4138" s="162"/>
      <c r="AE4138" s="199" t="str">
        <f t="shared" si="1296"/>
        <v/>
      </c>
      <c r="AF4138" s="199" t="str">
        <f>IF(AND(COUNTIFS($J$18:J4138,J4138)=1,AE4138=1),1,"")</f>
        <v/>
      </c>
      <c r="AG4138" s="199" t="str">
        <f>IF(C4138="","",IF(AND(COUNTIFS($J$18:J4138,J4138)=1,C4138&lt;&gt;""),1,""))</f>
        <v/>
      </c>
      <c r="AH4138" s="199" t="str">
        <f>IF(G4138="","",IF(AND(COUNTIFS($J$18:J4138,J4138)=1,G4138&lt;&gt;""),1,""))</f>
        <v/>
      </c>
      <c r="AI4138" s="200">
        <f t="shared" si="1297"/>
        <v>0</v>
      </c>
      <c r="AJ4138" s="200">
        <f t="shared" si="1298"/>
        <v>0</v>
      </c>
      <c r="AK4138" s="201" t="str">
        <f t="shared" si="1299"/>
        <v/>
      </c>
      <c r="AL4138" s="24"/>
      <c r="AM4138" s="24"/>
      <c r="AN4138" s="24"/>
      <c r="AO4138" s="24"/>
      <c r="AP4138" s="165" t="str">
        <f t="shared" si="1300"/>
        <v/>
      </c>
      <c r="AQ4138" s="203" t="str">
        <f t="shared" si="1301"/>
        <v/>
      </c>
      <c r="AR4138" s="206">
        <f t="shared" si="1302"/>
        <v>0</v>
      </c>
      <c r="AS4138" s="22" t="str">
        <f t="shared" si="1303"/>
        <v/>
      </c>
      <c r="AT4138" s="24" t="str">
        <f t="shared" si="1304"/>
        <v/>
      </c>
      <c r="AU4138" s="22" t="s">
        <v>3240</v>
      </c>
    </row>
    <row r="4139" spans="1:47">
      <c r="A4139" s="246" t="str">
        <f t="shared" si="1292"/>
        <v/>
      </c>
      <c r="B4139" s="23"/>
      <c r="C4139" s="23"/>
      <c r="D4139" s="202" t="str">
        <f t="shared" si="1293"/>
        <v/>
      </c>
      <c r="E4139" s="33" t="str">
        <f t="shared" si="1287"/>
        <v/>
      </c>
      <c r="F4139" s="23"/>
      <c r="G4139" s="23"/>
      <c r="H4139" s="29"/>
      <c r="I4139" s="204" t="str">
        <f t="shared" si="1290"/>
        <v/>
      </c>
      <c r="J4139" s="188"/>
      <c r="K4139" s="29"/>
      <c r="L4139" s="24"/>
      <c r="M4139" s="22"/>
      <c r="N4139" s="22"/>
      <c r="O4139" s="22"/>
      <c r="P4139" s="202" t="str">
        <f t="shared" si="1291"/>
        <v/>
      </c>
      <c r="Q4139" s="22"/>
      <c r="R4139" s="22"/>
      <c r="S4139" s="22"/>
      <c r="T4139" s="22"/>
      <c r="U4139" s="22"/>
      <c r="V4139" s="22"/>
      <c r="W4139" s="22"/>
      <c r="X4139" s="104"/>
      <c r="Y4139" s="195" t="str">
        <f t="shared" si="1288"/>
        <v/>
      </c>
      <c r="Z4139" s="196" t="str">
        <f t="shared" si="1289"/>
        <v/>
      </c>
      <c r="AA4139" s="22"/>
      <c r="AB4139" s="197" t="str">
        <f t="shared" si="1294"/>
        <v/>
      </c>
      <c r="AC4139" s="198" t="str">
        <f t="shared" si="1295"/>
        <v/>
      </c>
      <c r="AD4139" s="162"/>
      <c r="AE4139" s="199" t="str">
        <f t="shared" si="1296"/>
        <v/>
      </c>
      <c r="AF4139" s="199" t="str">
        <f>IF(AND(COUNTIFS($J$18:J4139,J4139)=1,AE4139=1),1,"")</f>
        <v/>
      </c>
      <c r="AG4139" s="199" t="str">
        <f>IF(C4139="","",IF(AND(COUNTIFS($J$18:J4139,J4139)=1,C4139&lt;&gt;""),1,""))</f>
        <v/>
      </c>
      <c r="AH4139" s="199" t="str">
        <f>IF(G4139="","",IF(AND(COUNTIFS($J$18:J4139,J4139)=1,G4139&lt;&gt;""),1,""))</f>
        <v/>
      </c>
      <c r="AI4139" s="200">
        <f t="shared" si="1297"/>
        <v>0</v>
      </c>
      <c r="AJ4139" s="200">
        <f t="shared" si="1298"/>
        <v>0</v>
      </c>
      <c r="AK4139" s="201" t="str">
        <f t="shared" si="1299"/>
        <v/>
      </c>
      <c r="AL4139" s="24"/>
      <c r="AM4139" s="24"/>
      <c r="AN4139" s="24"/>
      <c r="AO4139" s="24"/>
      <c r="AP4139" s="165" t="str">
        <f t="shared" si="1300"/>
        <v/>
      </c>
      <c r="AQ4139" s="203" t="str">
        <f t="shared" si="1301"/>
        <v/>
      </c>
      <c r="AR4139" s="206">
        <f t="shared" si="1302"/>
        <v>0</v>
      </c>
      <c r="AS4139" s="22" t="str">
        <f t="shared" si="1303"/>
        <v/>
      </c>
      <c r="AT4139" s="24" t="str">
        <f t="shared" si="1304"/>
        <v/>
      </c>
      <c r="AU4139" s="22" t="s">
        <v>3240</v>
      </c>
    </row>
    <row r="4140" spans="1:47">
      <c r="A4140" s="246" t="str">
        <f t="shared" si="1292"/>
        <v/>
      </c>
      <c r="B4140" s="23"/>
      <c r="C4140" s="23"/>
      <c r="D4140" s="202" t="str">
        <f t="shared" si="1293"/>
        <v/>
      </c>
      <c r="E4140" s="33" t="str">
        <f t="shared" si="1287"/>
        <v/>
      </c>
      <c r="F4140" s="23"/>
      <c r="G4140" s="23"/>
      <c r="H4140" s="29"/>
      <c r="I4140" s="204" t="str">
        <f t="shared" si="1290"/>
        <v/>
      </c>
      <c r="J4140" s="188"/>
      <c r="K4140" s="29"/>
      <c r="L4140" s="24"/>
      <c r="M4140" s="22"/>
      <c r="N4140" s="22"/>
      <c r="O4140" s="22"/>
      <c r="P4140" s="202" t="str">
        <f t="shared" si="1291"/>
        <v/>
      </c>
      <c r="Q4140" s="22"/>
      <c r="R4140" s="22"/>
      <c r="S4140" s="22"/>
      <c r="T4140" s="22"/>
      <c r="U4140" s="22"/>
      <c r="V4140" s="22"/>
      <c r="W4140" s="22"/>
      <c r="X4140" s="104"/>
      <c r="Y4140" s="195" t="str">
        <f t="shared" si="1288"/>
        <v/>
      </c>
      <c r="Z4140" s="196" t="str">
        <f t="shared" si="1289"/>
        <v/>
      </c>
      <c r="AA4140" s="22"/>
      <c r="AB4140" s="197" t="str">
        <f t="shared" si="1294"/>
        <v/>
      </c>
      <c r="AC4140" s="198" t="str">
        <f t="shared" si="1295"/>
        <v/>
      </c>
      <c r="AD4140" s="162"/>
      <c r="AE4140" s="199" t="str">
        <f t="shared" si="1296"/>
        <v/>
      </c>
      <c r="AF4140" s="199" t="str">
        <f>IF(AND(COUNTIFS($J$18:J4140,J4140)=1,AE4140=1),1,"")</f>
        <v/>
      </c>
      <c r="AG4140" s="199" t="str">
        <f>IF(C4140="","",IF(AND(COUNTIFS($J$18:J4140,J4140)=1,C4140&lt;&gt;""),1,""))</f>
        <v/>
      </c>
      <c r="AH4140" s="199" t="str">
        <f>IF(G4140="","",IF(AND(COUNTIFS($J$18:J4140,J4140)=1,G4140&lt;&gt;""),1,""))</f>
        <v/>
      </c>
      <c r="AI4140" s="200">
        <f t="shared" si="1297"/>
        <v>0</v>
      </c>
      <c r="AJ4140" s="200">
        <f t="shared" si="1298"/>
        <v>0</v>
      </c>
      <c r="AK4140" s="201" t="str">
        <f t="shared" si="1299"/>
        <v/>
      </c>
      <c r="AL4140" s="24"/>
      <c r="AM4140" s="24"/>
      <c r="AN4140" s="24"/>
      <c r="AO4140" s="24"/>
      <c r="AP4140" s="165" t="str">
        <f t="shared" si="1300"/>
        <v/>
      </c>
      <c r="AQ4140" s="203" t="str">
        <f t="shared" si="1301"/>
        <v/>
      </c>
      <c r="AR4140" s="206">
        <f t="shared" si="1302"/>
        <v>0</v>
      </c>
      <c r="AS4140" s="22" t="str">
        <f t="shared" si="1303"/>
        <v/>
      </c>
      <c r="AT4140" s="24" t="str">
        <f t="shared" si="1304"/>
        <v/>
      </c>
      <c r="AU4140" s="22" t="s">
        <v>3240</v>
      </c>
    </row>
    <row r="4141" spans="1:47">
      <c r="A4141" s="246" t="str">
        <f t="shared" si="1292"/>
        <v/>
      </c>
      <c r="B4141" s="23"/>
      <c r="C4141" s="23"/>
      <c r="D4141" s="202" t="str">
        <f t="shared" si="1293"/>
        <v/>
      </c>
      <c r="E4141" s="33" t="str">
        <f t="shared" si="1287"/>
        <v/>
      </c>
      <c r="F4141" s="23"/>
      <c r="G4141" s="23"/>
      <c r="H4141" s="29"/>
      <c r="I4141" s="204" t="str">
        <f t="shared" si="1290"/>
        <v/>
      </c>
      <c r="J4141" s="188"/>
      <c r="K4141" s="29"/>
      <c r="L4141" s="24"/>
      <c r="M4141" s="22"/>
      <c r="N4141" s="22"/>
      <c r="O4141" s="22"/>
      <c r="P4141" s="202" t="str">
        <f t="shared" si="1291"/>
        <v/>
      </c>
      <c r="Q4141" s="22"/>
      <c r="R4141" s="22"/>
      <c r="S4141" s="22"/>
      <c r="T4141" s="22"/>
      <c r="U4141" s="22"/>
      <c r="V4141" s="22"/>
      <c r="W4141" s="22"/>
      <c r="X4141" s="104"/>
      <c r="Y4141" s="195" t="str">
        <f t="shared" si="1288"/>
        <v/>
      </c>
      <c r="Z4141" s="196" t="str">
        <f t="shared" si="1289"/>
        <v/>
      </c>
      <c r="AA4141" s="22"/>
      <c r="AB4141" s="197" t="str">
        <f t="shared" si="1294"/>
        <v/>
      </c>
      <c r="AC4141" s="198" t="str">
        <f t="shared" si="1295"/>
        <v/>
      </c>
      <c r="AD4141" s="162"/>
      <c r="AE4141" s="199" t="str">
        <f t="shared" si="1296"/>
        <v/>
      </c>
      <c r="AF4141" s="199" t="str">
        <f>IF(AND(COUNTIFS($J$18:J4141,J4141)=1,AE4141=1),1,"")</f>
        <v/>
      </c>
      <c r="AG4141" s="199" t="str">
        <f>IF(C4141="","",IF(AND(COUNTIFS($J$18:J4141,J4141)=1,C4141&lt;&gt;""),1,""))</f>
        <v/>
      </c>
      <c r="AH4141" s="199" t="str">
        <f>IF(G4141="","",IF(AND(COUNTIFS($J$18:J4141,J4141)=1,G4141&lt;&gt;""),1,""))</f>
        <v/>
      </c>
      <c r="AI4141" s="200">
        <f t="shared" si="1297"/>
        <v>0</v>
      </c>
      <c r="AJ4141" s="200">
        <f t="shared" si="1298"/>
        <v>0</v>
      </c>
      <c r="AK4141" s="201" t="str">
        <f t="shared" si="1299"/>
        <v/>
      </c>
      <c r="AL4141" s="24"/>
      <c r="AM4141" s="24"/>
      <c r="AN4141" s="24"/>
      <c r="AO4141" s="24"/>
      <c r="AP4141" s="165" t="str">
        <f t="shared" si="1300"/>
        <v/>
      </c>
      <c r="AQ4141" s="203" t="str">
        <f t="shared" si="1301"/>
        <v/>
      </c>
      <c r="AR4141" s="206">
        <f t="shared" si="1302"/>
        <v>0</v>
      </c>
      <c r="AS4141" s="22" t="str">
        <f t="shared" si="1303"/>
        <v/>
      </c>
      <c r="AT4141" s="24" t="str">
        <f t="shared" si="1304"/>
        <v/>
      </c>
      <c r="AU4141" s="22" t="s">
        <v>3240</v>
      </c>
    </row>
    <row r="4142" spans="1:47">
      <c r="A4142" s="246" t="str">
        <f t="shared" si="1292"/>
        <v/>
      </c>
      <c r="B4142" s="23"/>
      <c r="C4142" s="23"/>
      <c r="D4142" s="202" t="str">
        <f t="shared" si="1293"/>
        <v/>
      </c>
      <c r="E4142" s="33" t="str">
        <f t="shared" si="1287"/>
        <v/>
      </c>
      <c r="F4142" s="23"/>
      <c r="G4142" s="23"/>
      <c r="H4142" s="29"/>
      <c r="I4142" s="204" t="str">
        <f t="shared" si="1290"/>
        <v/>
      </c>
      <c r="J4142" s="188"/>
      <c r="K4142" s="29"/>
      <c r="L4142" s="24"/>
      <c r="M4142" s="22"/>
      <c r="N4142" s="22"/>
      <c r="O4142" s="22"/>
      <c r="P4142" s="202" t="str">
        <f t="shared" si="1291"/>
        <v/>
      </c>
      <c r="Q4142" s="22"/>
      <c r="R4142" s="22"/>
      <c r="S4142" s="22"/>
      <c r="T4142" s="22"/>
      <c r="U4142" s="22"/>
      <c r="V4142" s="22"/>
      <c r="W4142" s="22"/>
      <c r="X4142" s="104"/>
      <c r="Y4142" s="195" t="str">
        <f t="shared" si="1288"/>
        <v/>
      </c>
      <c r="Z4142" s="196" t="str">
        <f t="shared" si="1289"/>
        <v/>
      </c>
      <c r="AA4142" s="22"/>
      <c r="AB4142" s="197" t="str">
        <f t="shared" si="1294"/>
        <v/>
      </c>
      <c r="AC4142" s="198" t="str">
        <f t="shared" si="1295"/>
        <v/>
      </c>
      <c r="AD4142" s="162"/>
      <c r="AE4142" s="199" t="str">
        <f t="shared" si="1296"/>
        <v/>
      </c>
      <c r="AF4142" s="199" t="str">
        <f>IF(AND(COUNTIFS($J$18:J4142,J4142)=1,AE4142=1),1,"")</f>
        <v/>
      </c>
      <c r="AG4142" s="199" t="str">
        <f>IF(C4142="","",IF(AND(COUNTIFS($J$18:J4142,J4142)=1,C4142&lt;&gt;""),1,""))</f>
        <v/>
      </c>
      <c r="AH4142" s="199" t="str">
        <f>IF(G4142="","",IF(AND(COUNTIFS($J$18:J4142,J4142)=1,G4142&lt;&gt;""),1,""))</f>
        <v/>
      </c>
      <c r="AI4142" s="200">
        <f t="shared" si="1297"/>
        <v>0</v>
      </c>
      <c r="AJ4142" s="200">
        <f t="shared" si="1298"/>
        <v>0</v>
      </c>
      <c r="AK4142" s="201" t="str">
        <f t="shared" si="1299"/>
        <v/>
      </c>
      <c r="AL4142" s="24"/>
      <c r="AM4142" s="24"/>
      <c r="AN4142" s="24"/>
      <c r="AO4142" s="24"/>
      <c r="AP4142" s="165" t="str">
        <f t="shared" si="1300"/>
        <v/>
      </c>
      <c r="AQ4142" s="203" t="str">
        <f t="shared" si="1301"/>
        <v/>
      </c>
      <c r="AR4142" s="206">
        <f t="shared" si="1302"/>
        <v>0</v>
      </c>
      <c r="AS4142" s="22" t="str">
        <f t="shared" si="1303"/>
        <v/>
      </c>
      <c r="AT4142" s="24" t="str">
        <f t="shared" si="1304"/>
        <v/>
      </c>
      <c r="AU4142" s="22" t="s">
        <v>3240</v>
      </c>
    </row>
    <row r="4143" spans="1:47">
      <c r="A4143" s="246" t="str">
        <f t="shared" si="1292"/>
        <v/>
      </c>
      <c r="B4143" s="23"/>
      <c r="C4143" s="23"/>
      <c r="D4143" s="202" t="str">
        <f t="shared" si="1293"/>
        <v/>
      </c>
      <c r="E4143" s="33" t="str">
        <f t="shared" si="1287"/>
        <v/>
      </c>
      <c r="F4143" s="23"/>
      <c r="G4143" s="23"/>
      <c r="H4143" s="29"/>
      <c r="I4143" s="204" t="str">
        <f t="shared" si="1290"/>
        <v/>
      </c>
      <c r="J4143" s="188"/>
      <c r="K4143" s="29"/>
      <c r="L4143" s="24"/>
      <c r="M4143" s="22"/>
      <c r="N4143" s="22"/>
      <c r="O4143" s="22"/>
      <c r="P4143" s="202" t="str">
        <f t="shared" si="1291"/>
        <v/>
      </c>
      <c r="Q4143" s="22"/>
      <c r="R4143" s="22"/>
      <c r="S4143" s="22"/>
      <c r="T4143" s="22"/>
      <c r="U4143" s="22"/>
      <c r="V4143" s="22"/>
      <c r="W4143" s="22"/>
      <c r="X4143" s="104"/>
      <c r="Y4143" s="195" t="str">
        <f t="shared" si="1288"/>
        <v/>
      </c>
      <c r="Z4143" s="196" t="str">
        <f t="shared" si="1289"/>
        <v/>
      </c>
      <c r="AA4143" s="22"/>
      <c r="AB4143" s="197" t="str">
        <f t="shared" si="1294"/>
        <v/>
      </c>
      <c r="AC4143" s="198" t="str">
        <f t="shared" si="1295"/>
        <v/>
      </c>
      <c r="AD4143" s="162"/>
      <c r="AE4143" s="199" t="str">
        <f t="shared" si="1296"/>
        <v/>
      </c>
      <c r="AF4143" s="199" t="str">
        <f>IF(AND(COUNTIFS($J$18:J4143,J4143)=1,AE4143=1),1,"")</f>
        <v/>
      </c>
      <c r="AG4143" s="199" t="str">
        <f>IF(C4143="","",IF(AND(COUNTIFS($J$18:J4143,J4143)=1,C4143&lt;&gt;""),1,""))</f>
        <v/>
      </c>
      <c r="AH4143" s="199" t="str">
        <f>IF(G4143="","",IF(AND(COUNTIFS($J$18:J4143,J4143)=1,G4143&lt;&gt;""),1,""))</f>
        <v/>
      </c>
      <c r="AI4143" s="200">
        <f t="shared" si="1297"/>
        <v>0</v>
      </c>
      <c r="AJ4143" s="200">
        <f t="shared" si="1298"/>
        <v>0</v>
      </c>
      <c r="AK4143" s="201" t="str">
        <f t="shared" si="1299"/>
        <v/>
      </c>
      <c r="AL4143" s="24"/>
      <c r="AM4143" s="24"/>
      <c r="AN4143" s="24"/>
      <c r="AO4143" s="24"/>
      <c r="AP4143" s="165" t="str">
        <f t="shared" si="1300"/>
        <v/>
      </c>
      <c r="AQ4143" s="203" t="str">
        <f t="shared" si="1301"/>
        <v/>
      </c>
      <c r="AR4143" s="206">
        <f t="shared" si="1302"/>
        <v>0</v>
      </c>
      <c r="AS4143" s="22" t="str">
        <f t="shared" si="1303"/>
        <v/>
      </c>
      <c r="AT4143" s="24" t="str">
        <f t="shared" si="1304"/>
        <v/>
      </c>
      <c r="AU4143" s="22" t="s">
        <v>3240</v>
      </c>
    </row>
    <row r="4144" spans="1:47">
      <c r="A4144" s="246" t="str">
        <f t="shared" si="1292"/>
        <v/>
      </c>
      <c r="B4144" s="23"/>
      <c r="C4144" s="23"/>
      <c r="D4144" s="202" t="str">
        <f t="shared" si="1293"/>
        <v/>
      </c>
      <c r="E4144" s="33" t="str">
        <f t="shared" si="1287"/>
        <v/>
      </c>
      <c r="F4144" s="23"/>
      <c r="G4144" s="23"/>
      <c r="H4144" s="29"/>
      <c r="I4144" s="204" t="str">
        <f t="shared" si="1290"/>
        <v/>
      </c>
      <c r="J4144" s="188"/>
      <c r="K4144" s="29"/>
      <c r="L4144" s="24"/>
      <c r="M4144" s="22"/>
      <c r="N4144" s="22"/>
      <c r="O4144" s="22"/>
      <c r="P4144" s="202" t="str">
        <f t="shared" si="1291"/>
        <v/>
      </c>
      <c r="Q4144" s="22"/>
      <c r="R4144" s="22"/>
      <c r="S4144" s="22"/>
      <c r="T4144" s="22"/>
      <c r="U4144" s="22"/>
      <c r="V4144" s="22"/>
      <c r="W4144" s="22"/>
      <c r="X4144" s="104"/>
      <c r="Y4144" s="195" t="str">
        <f t="shared" si="1288"/>
        <v/>
      </c>
      <c r="Z4144" s="196" t="str">
        <f t="shared" si="1289"/>
        <v/>
      </c>
      <c r="AA4144" s="22"/>
      <c r="AB4144" s="197" t="str">
        <f t="shared" si="1294"/>
        <v/>
      </c>
      <c r="AC4144" s="198" t="str">
        <f t="shared" si="1295"/>
        <v/>
      </c>
      <c r="AD4144" s="162"/>
      <c r="AE4144" s="199" t="str">
        <f t="shared" si="1296"/>
        <v/>
      </c>
      <c r="AF4144" s="199" t="str">
        <f>IF(AND(COUNTIFS($J$18:J4144,J4144)=1,AE4144=1),1,"")</f>
        <v/>
      </c>
      <c r="AG4144" s="199" t="str">
        <f>IF(C4144="","",IF(AND(COUNTIFS($J$18:J4144,J4144)=1,C4144&lt;&gt;""),1,""))</f>
        <v/>
      </c>
      <c r="AH4144" s="199" t="str">
        <f>IF(G4144="","",IF(AND(COUNTIFS($J$18:J4144,J4144)=1,G4144&lt;&gt;""),1,""))</f>
        <v/>
      </c>
      <c r="AI4144" s="200">
        <f t="shared" si="1297"/>
        <v>0</v>
      </c>
      <c r="AJ4144" s="200">
        <f t="shared" si="1298"/>
        <v>0</v>
      </c>
      <c r="AK4144" s="201" t="str">
        <f t="shared" si="1299"/>
        <v/>
      </c>
      <c r="AL4144" s="24"/>
      <c r="AM4144" s="24"/>
      <c r="AN4144" s="24"/>
      <c r="AO4144" s="24"/>
      <c r="AP4144" s="165" t="str">
        <f t="shared" si="1300"/>
        <v/>
      </c>
      <c r="AQ4144" s="203" t="str">
        <f t="shared" si="1301"/>
        <v/>
      </c>
      <c r="AR4144" s="206">
        <f t="shared" si="1302"/>
        <v>0</v>
      </c>
      <c r="AS4144" s="22" t="str">
        <f t="shared" si="1303"/>
        <v/>
      </c>
      <c r="AT4144" s="24" t="str">
        <f t="shared" si="1304"/>
        <v/>
      </c>
      <c r="AU4144" s="22" t="s">
        <v>3240</v>
      </c>
    </row>
    <row r="4145" spans="1:47">
      <c r="A4145" s="246" t="str">
        <f t="shared" si="1292"/>
        <v/>
      </c>
      <c r="B4145" s="23"/>
      <c r="C4145" s="23"/>
      <c r="D4145" s="202" t="str">
        <f t="shared" si="1293"/>
        <v/>
      </c>
      <c r="E4145" s="33" t="str">
        <f t="shared" si="1287"/>
        <v/>
      </c>
      <c r="F4145" s="23"/>
      <c r="G4145" s="23"/>
      <c r="H4145" s="29"/>
      <c r="I4145" s="204" t="str">
        <f t="shared" si="1290"/>
        <v/>
      </c>
      <c r="J4145" s="188"/>
      <c r="K4145" s="29"/>
      <c r="L4145" s="24"/>
      <c r="M4145" s="22"/>
      <c r="N4145" s="22"/>
      <c r="O4145" s="22"/>
      <c r="P4145" s="202" t="str">
        <f t="shared" si="1291"/>
        <v/>
      </c>
      <c r="Q4145" s="22"/>
      <c r="R4145" s="22"/>
      <c r="S4145" s="22"/>
      <c r="T4145" s="22"/>
      <c r="U4145" s="22"/>
      <c r="V4145" s="22"/>
      <c r="W4145" s="22"/>
      <c r="X4145" s="104"/>
      <c r="Y4145" s="195" t="str">
        <f t="shared" si="1288"/>
        <v/>
      </c>
      <c r="Z4145" s="196" t="str">
        <f t="shared" si="1289"/>
        <v/>
      </c>
      <c r="AA4145" s="22"/>
      <c r="AB4145" s="197" t="str">
        <f t="shared" si="1294"/>
        <v/>
      </c>
      <c r="AC4145" s="198" t="str">
        <f t="shared" si="1295"/>
        <v/>
      </c>
      <c r="AD4145" s="162"/>
      <c r="AE4145" s="199" t="str">
        <f t="shared" si="1296"/>
        <v/>
      </c>
      <c r="AF4145" s="199" t="str">
        <f>IF(AND(COUNTIFS($J$18:J4145,J4145)=1,AE4145=1),1,"")</f>
        <v/>
      </c>
      <c r="AG4145" s="199" t="str">
        <f>IF(C4145="","",IF(AND(COUNTIFS($J$18:J4145,J4145)=1,C4145&lt;&gt;""),1,""))</f>
        <v/>
      </c>
      <c r="AH4145" s="199" t="str">
        <f>IF(G4145="","",IF(AND(COUNTIFS($J$18:J4145,J4145)=1,G4145&lt;&gt;""),1,""))</f>
        <v/>
      </c>
      <c r="AI4145" s="200">
        <f t="shared" si="1297"/>
        <v>0</v>
      </c>
      <c r="AJ4145" s="200">
        <f t="shared" si="1298"/>
        <v>0</v>
      </c>
      <c r="AK4145" s="201" t="str">
        <f t="shared" si="1299"/>
        <v/>
      </c>
      <c r="AL4145" s="24"/>
      <c r="AM4145" s="24"/>
      <c r="AN4145" s="24"/>
      <c r="AO4145" s="24"/>
      <c r="AP4145" s="165" t="str">
        <f t="shared" si="1300"/>
        <v/>
      </c>
      <c r="AQ4145" s="203" t="str">
        <f t="shared" si="1301"/>
        <v/>
      </c>
      <c r="AR4145" s="206">
        <f t="shared" si="1302"/>
        <v>0</v>
      </c>
      <c r="AS4145" s="22" t="str">
        <f t="shared" si="1303"/>
        <v/>
      </c>
      <c r="AT4145" s="24" t="str">
        <f t="shared" si="1304"/>
        <v/>
      </c>
      <c r="AU4145" s="22" t="s">
        <v>3240</v>
      </c>
    </row>
    <row r="4146" spans="1:47">
      <c r="A4146" s="246" t="str">
        <f t="shared" si="1292"/>
        <v/>
      </c>
      <c r="B4146" s="23"/>
      <c r="C4146" s="23"/>
      <c r="D4146" s="202" t="str">
        <f t="shared" si="1293"/>
        <v/>
      </c>
      <c r="E4146" s="33" t="str">
        <f t="shared" si="1287"/>
        <v/>
      </c>
      <c r="F4146" s="23"/>
      <c r="G4146" s="23"/>
      <c r="H4146" s="29"/>
      <c r="I4146" s="204" t="str">
        <f t="shared" si="1290"/>
        <v/>
      </c>
      <c r="J4146" s="188"/>
      <c r="K4146" s="29"/>
      <c r="L4146" s="24"/>
      <c r="M4146" s="22"/>
      <c r="N4146" s="22"/>
      <c r="O4146" s="22"/>
      <c r="P4146" s="202" t="str">
        <f t="shared" si="1291"/>
        <v/>
      </c>
      <c r="Q4146" s="22"/>
      <c r="R4146" s="22"/>
      <c r="S4146" s="22"/>
      <c r="T4146" s="22"/>
      <c r="U4146" s="22"/>
      <c r="V4146" s="22"/>
      <c r="W4146" s="22"/>
      <c r="X4146" s="104"/>
      <c r="Y4146" s="195" t="str">
        <f t="shared" si="1288"/>
        <v/>
      </c>
      <c r="Z4146" s="196" t="str">
        <f t="shared" si="1289"/>
        <v/>
      </c>
      <c r="AA4146" s="22"/>
      <c r="AB4146" s="197" t="str">
        <f t="shared" si="1294"/>
        <v/>
      </c>
      <c r="AC4146" s="198" t="str">
        <f t="shared" si="1295"/>
        <v/>
      </c>
      <c r="AD4146" s="162"/>
      <c r="AE4146" s="199" t="str">
        <f t="shared" si="1296"/>
        <v/>
      </c>
      <c r="AF4146" s="199" t="str">
        <f>IF(AND(COUNTIFS($J$18:J4146,J4146)=1,AE4146=1),1,"")</f>
        <v/>
      </c>
      <c r="AG4146" s="199" t="str">
        <f>IF(C4146="","",IF(AND(COUNTIFS($J$18:J4146,J4146)=1,C4146&lt;&gt;""),1,""))</f>
        <v/>
      </c>
      <c r="AH4146" s="199" t="str">
        <f>IF(G4146="","",IF(AND(COUNTIFS($J$18:J4146,J4146)=1,G4146&lt;&gt;""),1,""))</f>
        <v/>
      </c>
      <c r="AI4146" s="200">
        <f t="shared" si="1297"/>
        <v>0</v>
      </c>
      <c r="AJ4146" s="200">
        <f t="shared" si="1298"/>
        <v>0</v>
      </c>
      <c r="AK4146" s="201" t="str">
        <f t="shared" si="1299"/>
        <v/>
      </c>
      <c r="AL4146" s="24"/>
      <c r="AM4146" s="24"/>
      <c r="AN4146" s="24"/>
      <c r="AO4146" s="24"/>
      <c r="AP4146" s="165" t="str">
        <f t="shared" si="1300"/>
        <v/>
      </c>
      <c r="AQ4146" s="203" t="str">
        <f t="shared" si="1301"/>
        <v/>
      </c>
      <c r="AR4146" s="206">
        <f t="shared" si="1302"/>
        <v>0</v>
      </c>
      <c r="AS4146" s="22" t="str">
        <f t="shared" si="1303"/>
        <v/>
      </c>
      <c r="AT4146" s="24" t="str">
        <f t="shared" si="1304"/>
        <v/>
      </c>
      <c r="AU4146" s="22" t="s">
        <v>3240</v>
      </c>
    </row>
    <row r="4147" spans="1:47">
      <c r="A4147" s="246" t="str">
        <f t="shared" si="1292"/>
        <v/>
      </c>
      <c r="B4147" s="23"/>
      <c r="C4147" s="23"/>
      <c r="D4147" s="202" t="str">
        <f t="shared" si="1293"/>
        <v/>
      </c>
      <c r="E4147" s="33" t="str">
        <f t="shared" si="1287"/>
        <v/>
      </c>
      <c r="F4147" s="23"/>
      <c r="G4147" s="23"/>
      <c r="H4147" s="29"/>
      <c r="I4147" s="204" t="str">
        <f t="shared" si="1290"/>
        <v/>
      </c>
      <c r="J4147" s="188"/>
      <c r="K4147" s="29"/>
      <c r="L4147" s="24"/>
      <c r="M4147" s="22"/>
      <c r="N4147" s="22"/>
      <c r="O4147" s="22"/>
      <c r="P4147" s="202" t="str">
        <f t="shared" si="1291"/>
        <v/>
      </c>
      <c r="Q4147" s="22"/>
      <c r="R4147" s="22"/>
      <c r="S4147" s="22"/>
      <c r="T4147" s="22"/>
      <c r="U4147" s="22"/>
      <c r="V4147" s="22"/>
      <c r="W4147" s="22"/>
      <c r="X4147" s="104"/>
      <c r="Y4147" s="195" t="str">
        <f t="shared" si="1288"/>
        <v/>
      </c>
      <c r="Z4147" s="196" t="str">
        <f t="shared" si="1289"/>
        <v/>
      </c>
      <c r="AA4147" s="22"/>
      <c r="AB4147" s="197" t="str">
        <f t="shared" si="1294"/>
        <v/>
      </c>
      <c r="AC4147" s="198" t="str">
        <f t="shared" si="1295"/>
        <v/>
      </c>
      <c r="AD4147" s="162"/>
      <c r="AE4147" s="199" t="str">
        <f t="shared" si="1296"/>
        <v/>
      </c>
      <c r="AF4147" s="199" t="str">
        <f>IF(AND(COUNTIFS($J$18:J4147,J4147)=1,AE4147=1),1,"")</f>
        <v/>
      </c>
      <c r="AG4147" s="199" t="str">
        <f>IF(C4147="","",IF(AND(COUNTIFS($J$18:J4147,J4147)=1,C4147&lt;&gt;""),1,""))</f>
        <v/>
      </c>
      <c r="AH4147" s="199" t="str">
        <f>IF(G4147="","",IF(AND(COUNTIFS($J$18:J4147,J4147)=1,G4147&lt;&gt;""),1,""))</f>
        <v/>
      </c>
      <c r="AI4147" s="200">
        <f t="shared" si="1297"/>
        <v>0</v>
      </c>
      <c r="AJ4147" s="200">
        <f t="shared" si="1298"/>
        <v>0</v>
      </c>
      <c r="AK4147" s="201" t="str">
        <f t="shared" si="1299"/>
        <v/>
      </c>
      <c r="AL4147" s="24"/>
      <c r="AM4147" s="24"/>
      <c r="AN4147" s="24"/>
      <c r="AO4147" s="24"/>
      <c r="AP4147" s="165" t="str">
        <f t="shared" si="1300"/>
        <v/>
      </c>
      <c r="AQ4147" s="203" t="str">
        <f t="shared" si="1301"/>
        <v/>
      </c>
      <c r="AR4147" s="206">
        <f t="shared" si="1302"/>
        <v>0</v>
      </c>
      <c r="AS4147" s="22" t="str">
        <f t="shared" si="1303"/>
        <v/>
      </c>
      <c r="AT4147" s="24" t="str">
        <f t="shared" si="1304"/>
        <v/>
      </c>
      <c r="AU4147" s="22" t="s">
        <v>3240</v>
      </c>
    </row>
    <row r="4148" spans="1:47">
      <c r="A4148" s="246" t="str">
        <f t="shared" si="1292"/>
        <v/>
      </c>
      <c r="B4148" s="23"/>
      <c r="C4148" s="23"/>
      <c r="D4148" s="202" t="str">
        <f t="shared" si="1293"/>
        <v/>
      </c>
      <c r="E4148" s="33" t="str">
        <f t="shared" si="1287"/>
        <v/>
      </c>
      <c r="F4148" s="23"/>
      <c r="G4148" s="23"/>
      <c r="H4148" s="29"/>
      <c r="I4148" s="204" t="str">
        <f t="shared" si="1290"/>
        <v/>
      </c>
      <c r="J4148" s="188"/>
      <c r="K4148" s="29"/>
      <c r="L4148" s="24"/>
      <c r="M4148" s="22"/>
      <c r="N4148" s="22"/>
      <c r="O4148" s="22"/>
      <c r="P4148" s="202" t="str">
        <f t="shared" si="1291"/>
        <v/>
      </c>
      <c r="Q4148" s="22"/>
      <c r="R4148" s="22"/>
      <c r="S4148" s="22"/>
      <c r="T4148" s="22"/>
      <c r="U4148" s="22"/>
      <c r="V4148" s="22"/>
      <c r="W4148" s="22"/>
      <c r="X4148" s="104"/>
      <c r="Y4148" s="195" t="str">
        <f t="shared" si="1288"/>
        <v/>
      </c>
      <c r="Z4148" s="196" t="str">
        <f t="shared" si="1289"/>
        <v/>
      </c>
      <c r="AA4148" s="22"/>
      <c r="AB4148" s="197" t="str">
        <f t="shared" si="1294"/>
        <v/>
      </c>
      <c r="AC4148" s="198" t="str">
        <f t="shared" si="1295"/>
        <v/>
      </c>
      <c r="AD4148" s="162"/>
      <c r="AE4148" s="199" t="str">
        <f t="shared" si="1296"/>
        <v/>
      </c>
      <c r="AF4148" s="199" t="str">
        <f>IF(AND(COUNTIFS($J$18:J4148,J4148)=1,AE4148=1),1,"")</f>
        <v/>
      </c>
      <c r="AG4148" s="199" t="str">
        <f>IF(C4148="","",IF(AND(COUNTIFS($J$18:J4148,J4148)=1,C4148&lt;&gt;""),1,""))</f>
        <v/>
      </c>
      <c r="AH4148" s="199" t="str">
        <f>IF(G4148="","",IF(AND(COUNTIFS($J$18:J4148,J4148)=1,G4148&lt;&gt;""),1,""))</f>
        <v/>
      </c>
      <c r="AI4148" s="200">
        <f t="shared" si="1297"/>
        <v>0</v>
      </c>
      <c r="AJ4148" s="200">
        <f t="shared" si="1298"/>
        <v>0</v>
      </c>
      <c r="AK4148" s="201" t="str">
        <f t="shared" si="1299"/>
        <v/>
      </c>
      <c r="AL4148" s="24"/>
      <c r="AM4148" s="24"/>
      <c r="AN4148" s="24"/>
      <c r="AO4148" s="24"/>
      <c r="AP4148" s="165" t="str">
        <f t="shared" si="1300"/>
        <v/>
      </c>
      <c r="AQ4148" s="203" t="str">
        <f t="shared" si="1301"/>
        <v/>
      </c>
      <c r="AR4148" s="206">
        <f t="shared" si="1302"/>
        <v>0</v>
      </c>
      <c r="AS4148" s="22" t="str">
        <f t="shared" si="1303"/>
        <v/>
      </c>
      <c r="AT4148" s="24" t="str">
        <f t="shared" si="1304"/>
        <v/>
      </c>
      <c r="AU4148" s="22" t="s">
        <v>3240</v>
      </c>
    </row>
    <row r="4149" spans="1:47">
      <c r="A4149" s="246" t="str">
        <f t="shared" si="1292"/>
        <v/>
      </c>
      <c r="B4149" s="23"/>
      <c r="C4149" s="23"/>
      <c r="D4149" s="202" t="str">
        <f t="shared" si="1293"/>
        <v/>
      </c>
      <c r="E4149" s="33" t="str">
        <f t="shared" si="1287"/>
        <v/>
      </c>
      <c r="F4149" s="23"/>
      <c r="G4149" s="23"/>
      <c r="H4149" s="29"/>
      <c r="I4149" s="204" t="str">
        <f t="shared" si="1290"/>
        <v/>
      </c>
      <c r="J4149" s="188"/>
      <c r="K4149" s="29"/>
      <c r="L4149" s="24"/>
      <c r="M4149" s="22"/>
      <c r="N4149" s="22"/>
      <c r="O4149" s="22"/>
      <c r="P4149" s="202" t="str">
        <f t="shared" si="1291"/>
        <v/>
      </c>
      <c r="Q4149" s="22"/>
      <c r="R4149" s="22"/>
      <c r="S4149" s="22"/>
      <c r="T4149" s="22"/>
      <c r="U4149" s="22"/>
      <c r="V4149" s="22"/>
      <c r="W4149" s="22"/>
      <c r="X4149" s="104"/>
      <c r="Y4149" s="195" t="str">
        <f t="shared" si="1288"/>
        <v/>
      </c>
      <c r="Z4149" s="196" t="str">
        <f t="shared" si="1289"/>
        <v/>
      </c>
      <c r="AA4149" s="22"/>
      <c r="AB4149" s="197" t="str">
        <f t="shared" si="1294"/>
        <v/>
      </c>
      <c r="AC4149" s="198" t="str">
        <f t="shared" si="1295"/>
        <v/>
      </c>
      <c r="AD4149" s="162"/>
      <c r="AE4149" s="199" t="str">
        <f t="shared" si="1296"/>
        <v/>
      </c>
      <c r="AF4149" s="199" t="str">
        <f>IF(AND(COUNTIFS($J$18:J4149,J4149)=1,AE4149=1),1,"")</f>
        <v/>
      </c>
      <c r="AG4149" s="199" t="str">
        <f>IF(C4149="","",IF(AND(COUNTIFS($J$18:J4149,J4149)=1,C4149&lt;&gt;""),1,""))</f>
        <v/>
      </c>
      <c r="AH4149" s="199" t="str">
        <f>IF(G4149="","",IF(AND(COUNTIFS($J$18:J4149,J4149)=1,G4149&lt;&gt;""),1,""))</f>
        <v/>
      </c>
      <c r="AI4149" s="200">
        <f t="shared" si="1297"/>
        <v>0</v>
      </c>
      <c r="AJ4149" s="200">
        <f t="shared" si="1298"/>
        <v>0</v>
      </c>
      <c r="AK4149" s="201" t="str">
        <f t="shared" si="1299"/>
        <v/>
      </c>
      <c r="AL4149" s="24"/>
      <c r="AM4149" s="24"/>
      <c r="AN4149" s="24"/>
      <c r="AO4149" s="24"/>
      <c r="AP4149" s="165" t="str">
        <f t="shared" si="1300"/>
        <v/>
      </c>
      <c r="AQ4149" s="203" t="str">
        <f t="shared" si="1301"/>
        <v/>
      </c>
      <c r="AR4149" s="206">
        <f t="shared" si="1302"/>
        <v>0</v>
      </c>
      <c r="AS4149" s="22" t="str">
        <f t="shared" si="1303"/>
        <v/>
      </c>
      <c r="AT4149" s="24" t="str">
        <f t="shared" si="1304"/>
        <v/>
      </c>
      <c r="AU4149" s="22" t="s">
        <v>3240</v>
      </c>
    </row>
    <row r="4150" spans="1:47">
      <c r="A4150" s="246" t="str">
        <f t="shared" si="1292"/>
        <v/>
      </c>
      <c r="B4150" s="23"/>
      <c r="C4150" s="23"/>
      <c r="D4150" s="202" t="str">
        <f t="shared" si="1293"/>
        <v/>
      </c>
      <c r="E4150" s="33" t="str">
        <f t="shared" si="1287"/>
        <v/>
      </c>
      <c r="F4150" s="23"/>
      <c r="G4150" s="23"/>
      <c r="H4150" s="29"/>
      <c r="I4150" s="204" t="str">
        <f t="shared" si="1290"/>
        <v/>
      </c>
      <c r="J4150" s="188"/>
      <c r="K4150" s="29"/>
      <c r="L4150" s="24"/>
      <c r="M4150" s="22"/>
      <c r="N4150" s="22"/>
      <c r="O4150" s="22"/>
      <c r="P4150" s="202" t="str">
        <f t="shared" si="1291"/>
        <v/>
      </c>
      <c r="Q4150" s="22"/>
      <c r="R4150" s="22"/>
      <c r="S4150" s="22"/>
      <c r="T4150" s="22"/>
      <c r="U4150" s="22"/>
      <c r="V4150" s="22"/>
      <c r="W4150" s="22"/>
      <c r="X4150" s="104"/>
      <c r="Y4150" s="195" t="str">
        <f t="shared" si="1288"/>
        <v/>
      </c>
      <c r="Z4150" s="196" t="str">
        <f t="shared" si="1289"/>
        <v/>
      </c>
      <c r="AA4150" s="22"/>
      <c r="AB4150" s="197" t="str">
        <f t="shared" si="1294"/>
        <v/>
      </c>
      <c r="AC4150" s="198" t="str">
        <f t="shared" si="1295"/>
        <v/>
      </c>
      <c r="AD4150" s="162"/>
      <c r="AE4150" s="199" t="str">
        <f t="shared" si="1296"/>
        <v/>
      </c>
      <c r="AF4150" s="199" t="str">
        <f>IF(AND(COUNTIFS($J$18:J4150,J4150)=1,AE4150=1),1,"")</f>
        <v/>
      </c>
      <c r="AG4150" s="199" t="str">
        <f>IF(C4150="","",IF(AND(COUNTIFS($J$18:J4150,J4150)=1,C4150&lt;&gt;""),1,""))</f>
        <v/>
      </c>
      <c r="AH4150" s="199" t="str">
        <f>IF(G4150="","",IF(AND(COUNTIFS($J$18:J4150,J4150)=1,G4150&lt;&gt;""),1,""))</f>
        <v/>
      </c>
      <c r="AI4150" s="200">
        <f t="shared" si="1297"/>
        <v>0</v>
      </c>
      <c r="AJ4150" s="200">
        <f t="shared" si="1298"/>
        <v>0</v>
      </c>
      <c r="AK4150" s="201" t="str">
        <f t="shared" si="1299"/>
        <v/>
      </c>
      <c r="AL4150" s="24"/>
      <c r="AM4150" s="24"/>
      <c r="AN4150" s="24"/>
      <c r="AO4150" s="24"/>
      <c r="AP4150" s="165" t="str">
        <f t="shared" si="1300"/>
        <v/>
      </c>
      <c r="AQ4150" s="203" t="str">
        <f t="shared" si="1301"/>
        <v/>
      </c>
      <c r="AR4150" s="206">
        <f t="shared" si="1302"/>
        <v>0</v>
      </c>
      <c r="AS4150" s="22" t="str">
        <f t="shared" si="1303"/>
        <v/>
      </c>
      <c r="AT4150" s="24" t="str">
        <f t="shared" si="1304"/>
        <v/>
      </c>
      <c r="AU4150" s="22" t="s">
        <v>3240</v>
      </c>
    </row>
    <row r="4151" spans="1:47">
      <c r="A4151" s="246" t="str">
        <f t="shared" si="1292"/>
        <v/>
      </c>
      <c r="B4151" s="23"/>
      <c r="C4151" s="23"/>
      <c r="D4151" s="202" t="str">
        <f t="shared" si="1293"/>
        <v/>
      </c>
      <c r="E4151" s="33" t="str">
        <f t="shared" si="1287"/>
        <v/>
      </c>
      <c r="F4151" s="23"/>
      <c r="G4151" s="23"/>
      <c r="H4151" s="29"/>
      <c r="I4151" s="204" t="str">
        <f t="shared" si="1290"/>
        <v/>
      </c>
      <c r="J4151" s="188"/>
      <c r="K4151" s="29"/>
      <c r="L4151" s="24"/>
      <c r="M4151" s="22"/>
      <c r="N4151" s="22"/>
      <c r="O4151" s="22"/>
      <c r="P4151" s="202" t="str">
        <f t="shared" si="1291"/>
        <v/>
      </c>
      <c r="Q4151" s="22"/>
      <c r="R4151" s="22"/>
      <c r="S4151" s="22"/>
      <c r="T4151" s="22"/>
      <c r="U4151" s="22"/>
      <c r="V4151" s="22"/>
      <c r="W4151" s="22"/>
      <c r="X4151" s="104"/>
      <c r="Y4151" s="195" t="str">
        <f t="shared" si="1288"/>
        <v/>
      </c>
      <c r="Z4151" s="196" t="str">
        <f t="shared" si="1289"/>
        <v/>
      </c>
      <c r="AA4151" s="22"/>
      <c r="AB4151" s="197" t="str">
        <f t="shared" si="1294"/>
        <v/>
      </c>
      <c r="AC4151" s="198" t="str">
        <f t="shared" si="1295"/>
        <v/>
      </c>
      <c r="AD4151" s="162"/>
      <c r="AE4151" s="199" t="str">
        <f t="shared" si="1296"/>
        <v/>
      </c>
      <c r="AF4151" s="199" t="str">
        <f>IF(AND(COUNTIFS($J$18:J4151,J4151)=1,AE4151=1),1,"")</f>
        <v/>
      </c>
      <c r="AG4151" s="199" t="str">
        <f>IF(C4151="","",IF(AND(COUNTIFS($J$18:J4151,J4151)=1,C4151&lt;&gt;""),1,""))</f>
        <v/>
      </c>
      <c r="AH4151" s="199" t="str">
        <f>IF(G4151="","",IF(AND(COUNTIFS($J$18:J4151,J4151)=1,G4151&lt;&gt;""),1,""))</f>
        <v/>
      </c>
      <c r="AI4151" s="200">
        <f t="shared" si="1297"/>
        <v>0</v>
      </c>
      <c r="AJ4151" s="200">
        <f t="shared" si="1298"/>
        <v>0</v>
      </c>
      <c r="AK4151" s="201" t="str">
        <f t="shared" si="1299"/>
        <v/>
      </c>
      <c r="AL4151" s="24"/>
      <c r="AM4151" s="24"/>
      <c r="AN4151" s="24"/>
      <c r="AO4151" s="24"/>
      <c r="AP4151" s="165" t="str">
        <f t="shared" si="1300"/>
        <v/>
      </c>
      <c r="AQ4151" s="203" t="str">
        <f t="shared" si="1301"/>
        <v/>
      </c>
      <c r="AR4151" s="206">
        <f t="shared" si="1302"/>
        <v>0</v>
      </c>
      <c r="AS4151" s="22" t="str">
        <f t="shared" si="1303"/>
        <v/>
      </c>
      <c r="AT4151" s="24" t="str">
        <f t="shared" si="1304"/>
        <v/>
      </c>
      <c r="AU4151" s="22" t="s">
        <v>3240</v>
      </c>
    </row>
    <row r="4152" spans="1:47">
      <c r="A4152" s="246" t="str">
        <f t="shared" si="1292"/>
        <v/>
      </c>
      <c r="B4152" s="23"/>
      <c r="C4152" s="23"/>
      <c r="D4152" s="202" t="str">
        <f t="shared" si="1293"/>
        <v/>
      </c>
      <c r="E4152" s="33" t="str">
        <f t="shared" si="1287"/>
        <v/>
      </c>
      <c r="F4152" s="23"/>
      <c r="G4152" s="23"/>
      <c r="H4152" s="29"/>
      <c r="I4152" s="204" t="str">
        <f t="shared" si="1290"/>
        <v/>
      </c>
      <c r="J4152" s="188"/>
      <c r="K4152" s="29"/>
      <c r="L4152" s="24"/>
      <c r="M4152" s="22"/>
      <c r="N4152" s="22"/>
      <c r="O4152" s="22"/>
      <c r="P4152" s="202" t="str">
        <f t="shared" si="1291"/>
        <v/>
      </c>
      <c r="Q4152" s="22"/>
      <c r="R4152" s="22"/>
      <c r="S4152" s="22"/>
      <c r="T4152" s="22"/>
      <c r="U4152" s="22"/>
      <c r="V4152" s="22"/>
      <c r="W4152" s="22"/>
      <c r="X4152" s="104"/>
      <c r="Y4152" s="195" t="str">
        <f t="shared" si="1288"/>
        <v/>
      </c>
      <c r="Z4152" s="196" t="str">
        <f t="shared" si="1289"/>
        <v/>
      </c>
      <c r="AA4152" s="22"/>
      <c r="AB4152" s="197" t="str">
        <f t="shared" si="1294"/>
        <v/>
      </c>
      <c r="AC4152" s="198" t="str">
        <f t="shared" si="1295"/>
        <v/>
      </c>
      <c r="AD4152" s="162"/>
      <c r="AE4152" s="199" t="str">
        <f t="shared" si="1296"/>
        <v/>
      </c>
      <c r="AF4152" s="199" t="str">
        <f>IF(AND(COUNTIFS($J$18:J4152,J4152)=1,AE4152=1),1,"")</f>
        <v/>
      </c>
      <c r="AG4152" s="199" t="str">
        <f>IF(C4152="","",IF(AND(COUNTIFS($J$18:J4152,J4152)=1,C4152&lt;&gt;""),1,""))</f>
        <v/>
      </c>
      <c r="AH4152" s="199" t="str">
        <f>IF(G4152="","",IF(AND(COUNTIFS($J$18:J4152,J4152)=1,G4152&lt;&gt;""),1,""))</f>
        <v/>
      </c>
      <c r="AI4152" s="200">
        <f t="shared" si="1297"/>
        <v>0</v>
      </c>
      <c r="AJ4152" s="200">
        <f t="shared" si="1298"/>
        <v>0</v>
      </c>
      <c r="AK4152" s="201" t="str">
        <f t="shared" si="1299"/>
        <v/>
      </c>
      <c r="AL4152" s="24"/>
      <c r="AM4152" s="24"/>
      <c r="AN4152" s="24"/>
      <c r="AO4152" s="24"/>
      <c r="AP4152" s="165" t="str">
        <f t="shared" si="1300"/>
        <v/>
      </c>
      <c r="AQ4152" s="203" t="str">
        <f t="shared" si="1301"/>
        <v/>
      </c>
      <c r="AR4152" s="206">
        <f t="shared" si="1302"/>
        <v>0</v>
      </c>
      <c r="AS4152" s="22" t="str">
        <f t="shared" si="1303"/>
        <v/>
      </c>
      <c r="AT4152" s="24" t="str">
        <f t="shared" si="1304"/>
        <v/>
      </c>
      <c r="AU4152" s="22" t="s">
        <v>3240</v>
      </c>
    </row>
    <row r="4153" spans="1:47">
      <c r="A4153" s="246" t="str">
        <f t="shared" si="1292"/>
        <v/>
      </c>
      <c r="B4153" s="23"/>
      <c r="C4153" s="23"/>
      <c r="D4153" s="202" t="str">
        <f t="shared" si="1293"/>
        <v/>
      </c>
      <c r="E4153" s="33" t="str">
        <f t="shared" si="1287"/>
        <v/>
      </c>
      <c r="F4153" s="23"/>
      <c r="G4153" s="23"/>
      <c r="H4153" s="29"/>
      <c r="I4153" s="204" t="str">
        <f t="shared" si="1290"/>
        <v/>
      </c>
      <c r="J4153" s="188"/>
      <c r="K4153" s="29"/>
      <c r="L4153" s="24"/>
      <c r="M4153" s="22"/>
      <c r="N4153" s="22"/>
      <c r="O4153" s="22"/>
      <c r="P4153" s="202" t="str">
        <f t="shared" si="1291"/>
        <v/>
      </c>
      <c r="Q4153" s="22"/>
      <c r="R4153" s="22"/>
      <c r="S4153" s="22"/>
      <c r="T4153" s="22"/>
      <c r="U4153" s="22"/>
      <c r="V4153" s="22"/>
      <c r="W4153" s="22"/>
      <c r="X4153" s="104"/>
      <c r="Y4153" s="195" t="str">
        <f t="shared" si="1288"/>
        <v/>
      </c>
      <c r="Z4153" s="196" t="str">
        <f t="shared" si="1289"/>
        <v/>
      </c>
      <c r="AA4153" s="22"/>
      <c r="AB4153" s="197" t="str">
        <f t="shared" si="1294"/>
        <v/>
      </c>
      <c r="AC4153" s="198" t="str">
        <f t="shared" si="1295"/>
        <v/>
      </c>
      <c r="AD4153" s="162"/>
      <c r="AE4153" s="199" t="str">
        <f t="shared" si="1296"/>
        <v/>
      </c>
      <c r="AF4153" s="199" t="str">
        <f>IF(AND(COUNTIFS($J$18:J4153,J4153)=1,AE4153=1),1,"")</f>
        <v/>
      </c>
      <c r="AG4153" s="199" t="str">
        <f>IF(C4153="","",IF(AND(COUNTIFS($J$18:J4153,J4153)=1,C4153&lt;&gt;""),1,""))</f>
        <v/>
      </c>
      <c r="AH4153" s="199" t="str">
        <f>IF(G4153="","",IF(AND(COUNTIFS($J$18:J4153,J4153)=1,G4153&lt;&gt;""),1,""))</f>
        <v/>
      </c>
      <c r="AI4153" s="200">
        <f t="shared" si="1297"/>
        <v>0</v>
      </c>
      <c r="AJ4153" s="200">
        <f t="shared" si="1298"/>
        <v>0</v>
      </c>
      <c r="AK4153" s="201" t="str">
        <f t="shared" si="1299"/>
        <v/>
      </c>
      <c r="AL4153" s="24"/>
      <c r="AM4153" s="24"/>
      <c r="AN4153" s="24"/>
      <c r="AO4153" s="24"/>
      <c r="AP4153" s="165" t="str">
        <f t="shared" si="1300"/>
        <v/>
      </c>
      <c r="AQ4153" s="203" t="str">
        <f t="shared" si="1301"/>
        <v/>
      </c>
      <c r="AR4153" s="206">
        <f t="shared" si="1302"/>
        <v>0</v>
      </c>
      <c r="AS4153" s="22" t="str">
        <f t="shared" si="1303"/>
        <v/>
      </c>
      <c r="AT4153" s="24" t="str">
        <f t="shared" si="1304"/>
        <v/>
      </c>
      <c r="AU4153" s="22" t="s">
        <v>3240</v>
      </c>
    </row>
    <row r="4154" spans="1:47">
      <c r="A4154" s="246" t="str">
        <f t="shared" si="1292"/>
        <v/>
      </c>
      <c r="B4154" s="23"/>
      <c r="C4154" s="23"/>
      <c r="D4154" s="202" t="str">
        <f t="shared" si="1293"/>
        <v/>
      </c>
      <c r="E4154" s="33" t="str">
        <f t="shared" si="1287"/>
        <v/>
      </c>
      <c r="F4154" s="23"/>
      <c r="G4154" s="23"/>
      <c r="H4154" s="29"/>
      <c r="I4154" s="204" t="str">
        <f t="shared" si="1290"/>
        <v/>
      </c>
      <c r="J4154" s="188"/>
      <c r="K4154" s="29"/>
      <c r="L4154" s="24"/>
      <c r="M4154" s="22"/>
      <c r="N4154" s="22"/>
      <c r="O4154" s="22"/>
      <c r="P4154" s="202" t="str">
        <f t="shared" si="1291"/>
        <v/>
      </c>
      <c r="Q4154" s="22"/>
      <c r="R4154" s="22"/>
      <c r="S4154" s="22"/>
      <c r="T4154" s="22"/>
      <c r="U4154" s="22"/>
      <c r="V4154" s="22"/>
      <c r="W4154" s="22"/>
      <c r="X4154" s="104"/>
      <c r="Y4154" s="195" t="str">
        <f t="shared" si="1288"/>
        <v/>
      </c>
      <c r="Z4154" s="196" t="str">
        <f t="shared" si="1289"/>
        <v/>
      </c>
      <c r="AA4154" s="22"/>
      <c r="AB4154" s="197" t="str">
        <f t="shared" si="1294"/>
        <v/>
      </c>
      <c r="AC4154" s="198" t="str">
        <f t="shared" si="1295"/>
        <v/>
      </c>
      <c r="AD4154" s="162"/>
      <c r="AE4154" s="199" t="str">
        <f t="shared" si="1296"/>
        <v/>
      </c>
      <c r="AF4154" s="199" t="str">
        <f>IF(AND(COUNTIFS($J$18:J4154,J4154)=1,AE4154=1),1,"")</f>
        <v/>
      </c>
      <c r="AG4154" s="199" t="str">
        <f>IF(C4154="","",IF(AND(COUNTIFS($J$18:J4154,J4154)=1,C4154&lt;&gt;""),1,""))</f>
        <v/>
      </c>
      <c r="AH4154" s="199" t="str">
        <f>IF(G4154="","",IF(AND(COUNTIFS($J$18:J4154,J4154)=1,G4154&lt;&gt;""),1,""))</f>
        <v/>
      </c>
      <c r="AI4154" s="200">
        <f t="shared" si="1297"/>
        <v>0</v>
      </c>
      <c r="AJ4154" s="200">
        <f t="shared" si="1298"/>
        <v>0</v>
      </c>
      <c r="AK4154" s="201" t="str">
        <f t="shared" si="1299"/>
        <v/>
      </c>
      <c r="AL4154" s="24"/>
      <c r="AM4154" s="24"/>
      <c r="AN4154" s="24"/>
      <c r="AO4154" s="24"/>
      <c r="AP4154" s="165" t="str">
        <f t="shared" si="1300"/>
        <v/>
      </c>
      <c r="AQ4154" s="203" t="str">
        <f t="shared" si="1301"/>
        <v/>
      </c>
      <c r="AR4154" s="206">
        <f t="shared" si="1302"/>
        <v>0</v>
      </c>
      <c r="AS4154" s="22" t="str">
        <f t="shared" si="1303"/>
        <v/>
      </c>
      <c r="AT4154" s="24" t="str">
        <f t="shared" si="1304"/>
        <v/>
      </c>
      <c r="AU4154" s="22" t="s">
        <v>3240</v>
      </c>
    </row>
    <row r="4155" spans="1:47">
      <c r="A4155" s="246" t="str">
        <f t="shared" si="1292"/>
        <v/>
      </c>
      <c r="B4155" s="23"/>
      <c r="C4155" s="23"/>
      <c r="D4155" s="202" t="str">
        <f t="shared" si="1293"/>
        <v/>
      </c>
      <c r="E4155" s="33" t="str">
        <f t="shared" si="1287"/>
        <v/>
      </c>
      <c r="F4155" s="23"/>
      <c r="G4155" s="23"/>
      <c r="H4155" s="29"/>
      <c r="I4155" s="204" t="str">
        <f t="shared" si="1290"/>
        <v/>
      </c>
      <c r="J4155" s="188"/>
      <c r="K4155" s="29"/>
      <c r="L4155" s="24"/>
      <c r="M4155" s="22"/>
      <c r="N4155" s="22"/>
      <c r="O4155" s="22"/>
      <c r="P4155" s="202" t="str">
        <f t="shared" si="1291"/>
        <v/>
      </c>
      <c r="Q4155" s="22"/>
      <c r="R4155" s="22"/>
      <c r="S4155" s="22"/>
      <c r="T4155" s="22"/>
      <c r="U4155" s="22"/>
      <c r="V4155" s="22"/>
      <c r="W4155" s="22"/>
      <c r="X4155" s="104"/>
      <c r="Y4155" s="195" t="str">
        <f t="shared" si="1288"/>
        <v/>
      </c>
      <c r="Z4155" s="196" t="str">
        <f t="shared" si="1289"/>
        <v/>
      </c>
      <c r="AA4155" s="22"/>
      <c r="AB4155" s="197" t="str">
        <f t="shared" si="1294"/>
        <v/>
      </c>
      <c r="AC4155" s="198" t="str">
        <f t="shared" si="1295"/>
        <v/>
      </c>
      <c r="AD4155" s="162"/>
      <c r="AE4155" s="199" t="str">
        <f t="shared" si="1296"/>
        <v/>
      </c>
      <c r="AF4155" s="199" t="str">
        <f>IF(AND(COUNTIFS($J$18:J4155,J4155)=1,AE4155=1),1,"")</f>
        <v/>
      </c>
      <c r="AG4155" s="199" t="str">
        <f>IF(C4155="","",IF(AND(COUNTIFS($J$18:J4155,J4155)=1,C4155&lt;&gt;""),1,""))</f>
        <v/>
      </c>
      <c r="AH4155" s="199" t="str">
        <f>IF(G4155="","",IF(AND(COUNTIFS($J$18:J4155,J4155)=1,G4155&lt;&gt;""),1,""))</f>
        <v/>
      </c>
      <c r="AI4155" s="200">
        <f t="shared" si="1297"/>
        <v>0</v>
      </c>
      <c r="AJ4155" s="200">
        <f t="shared" si="1298"/>
        <v>0</v>
      </c>
      <c r="AK4155" s="201" t="str">
        <f t="shared" si="1299"/>
        <v/>
      </c>
      <c r="AL4155" s="24"/>
      <c r="AM4155" s="24"/>
      <c r="AN4155" s="24"/>
      <c r="AO4155" s="24"/>
      <c r="AP4155" s="165" t="str">
        <f t="shared" si="1300"/>
        <v/>
      </c>
      <c r="AQ4155" s="203" t="str">
        <f t="shared" si="1301"/>
        <v/>
      </c>
      <c r="AR4155" s="206">
        <f t="shared" si="1302"/>
        <v>0</v>
      </c>
      <c r="AS4155" s="22" t="str">
        <f t="shared" si="1303"/>
        <v/>
      </c>
      <c r="AT4155" s="24" t="str">
        <f t="shared" si="1304"/>
        <v/>
      </c>
      <c r="AU4155" s="22" t="s">
        <v>3240</v>
      </c>
    </row>
    <row r="4156" spans="1:47">
      <c r="A4156" s="246" t="str">
        <f t="shared" si="1292"/>
        <v/>
      </c>
      <c r="B4156" s="23"/>
      <c r="C4156" s="23"/>
      <c r="D4156" s="202" t="str">
        <f t="shared" si="1293"/>
        <v/>
      </c>
      <c r="E4156" s="33" t="str">
        <f t="shared" si="1287"/>
        <v/>
      </c>
      <c r="F4156" s="23"/>
      <c r="G4156" s="23"/>
      <c r="H4156" s="29"/>
      <c r="I4156" s="204" t="str">
        <f t="shared" si="1290"/>
        <v/>
      </c>
      <c r="J4156" s="188"/>
      <c r="K4156" s="29"/>
      <c r="L4156" s="24"/>
      <c r="M4156" s="22"/>
      <c r="N4156" s="22"/>
      <c r="O4156" s="22"/>
      <c r="P4156" s="202" t="str">
        <f t="shared" si="1291"/>
        <v/>
      </c>
      <c r="Q4156" s="22"/>
      <c r="R4156" s="22"/>
      <c r="S4156" s="22"/>
      <c r="T4156" s="22"/>
      <c r="U4156" s="22"/>
      <c r="V4156" s="22"/>
      <c r="W4156" s="22"/>
      <c r="X4156" s="104"/>
      <c r="Y4156" s="195" t="str">
        <f t="shared" si="1288"/>
        <v/>
      </c>
      <c r="Z4156" s="196" t="str">
        <f t="shared" si="1289"/>
        <v/>
      </c>
      <c r="AA4156" s="22"/>
      <c r="AB4156" s="197" t="str">
        <f t="shared" si="1294"/>
        <v/>
      </c>
      <c r="AC4156" s="198" t="str">
        <f t="shared" si="1295"/>
        <v/>
      </c>
      <c r="AD4156" s="162"/>
      <c r="AE4156" s="199" t="str">
        <f t="shared" si="1296"/>
        <v/>
      </c>
      <c r="AF4156" s="199" t="str">
        <f>IF(AND(COUNTIFS($J$18:J4156,J4156)=1,AE4156=1),1,"")</f>
        <v/>
      </c>
      <c r="AG4156" s="199" t="str">
        <f>IF(C4156="","",IF(AND(COUNTIFS($J$18:J4156,J4156)=1,C4156&lt;&gt;""),1,""))</f>
        <v/>
      </c>
      <c r="AH4156" s="199" t="str">
        <f>IF(G4156="","",IF(AND(COUNTIFS($J$18:J4156,J4156)=1,G4156&lt;&gt;""),1,""))</f>
        <v/>
      </c>
      <c r="AI4156" s="200">
        <f t="shared" si="1297"/>
        <v>0</v>
      </c>
      <c r="AJ4156" s="200">
        <f t="shared" si="1298"/>
        <v>0</v>
      </c>
      <c r="AK4156" s="201" t="str">
        <f t="shared" si="1299"/>
        <v/>
      </c>
      <c r="AL4156" s="24"/>
      <c r="AM4156" s="24"/>
      <c r="AN4156" s="24"/>
      <c r="AO4156" s="24"/>
      <c r="AP4156" s="165" t="str">
        <f t="shared" si="1300"/>
        <v/>
      </c>
      <c r="AQ4156" s="203" t="str">
        <f t="shared" si="1301"/>
        <v/>
      </c>
      <c r="AR4156" s="206">
        <f t="shared" si="1302"/>
        <v>0</v>
      </c>
      <c r="AS4156" s="22" t="str">
        <f t="shared" si="1303"/>
        <v/>
      </c>
      <c r="AT4156" s="24" t="str">
        <f t="shared" si="1304"/>
        <v/>
      </c>
      <c r="AU4156" s="22" t="s">
        <v>3240</v>
      </c>
    </row>
    <row r="4157" spans="1:47">
      <c r="A4157" s="246" t="str">
        <f t="shared" si="1292"/>
        <v/>
      </c>
      <c r="B4157" s="23"/>
      <c r="C4157" s="23"/>
      <c r="D4157" s="202" t="str">
        <f t="shared" si="1293"/>
        <v/>
      </c>
      <c r="E4157" s="33" t="str">
        <f t="shared" si="1287"/>
        <v/>
      </c>
      <c r="F4157" s="23"/>
      <c r="G4157" s="23"/>
      <c r="H4157" s="29"/>
      <c r="I4157" s="204" t="str">
        <f t="shared" si="1290"/>
        <v/>
      </c>
      <c r="J4157" s="188"/>
      <c r="K4157" s="29"/>
      <c r="L4157" s="24"/>
      <c r="M4157" s="22"/>
      <c r="N4157" s="22"/>
      <c r="O4157" s="22"/>
      <c r="P4157" s="202" t="str">
        <f t="shared" si="1291"/>
        <v/>
      </c>
      <c r="Q4157" s="22"/>
      <c r="R4157" s="22"/>
      <c r="S4157" s="22"/>
      <c r="T4157" s="22"/>
      <c r="U4157" s="22"/>
      <c r="V4157" s="22"/>
      <c r="W4157" s="22"/>
      <c r="X4157" s="104"/>
      <c r="Y4157" s="195" t="str">
        <f t="shared" si="1288"/>
        <v/>
      </c>
      <c r="Z4157" s="196" t="str">
        <f t="shared" si="1289"/>
        <v/>
      </c>
      <c r="AA4157" s="22"/>
      <c r="AB4157" s="197" t="str">
        <f t="shared" si="1294"/>
        <v/>
      </c>
      <c r="AC4157" s="198" t="str">
        <f t="shared" si="1295"/>
        <v/>
      </c>
      <c r="AD4157" s="162"/>
      <c r="AE4157" s="199" t="str">
        <f t="shared" si="1296"/>
        <v/>
      </c>
      <c r="AF4157" s="199" t="str">
        <f>IF(AND(COUNTIFS($J$18:J4157,J4157)=1,AE4157=1),1,"")</f>
        <v/>
      </c>
      <c r="AG4157" s="199" t="str">
        <f>IF(C4157="","",IF(AND(COUNTIFS($J$18:J4157,J4157)=1,C4157&lt;&gt;""),1,""))</f>
        <v/>
      </c>
      <c r="AH4157" s="199" t="str">
        <f>IF(G4157="","",IF(AND(COUNTIFS($J$18:J4157,J4157)=1,G4157&lt;&gt;""),1,""))</f>
        <v/>
      </c>
      <c r="AI4157" s="200">
        <f t="shared" si="1297"/>
        <v>0</v>
      </c>
      <c r="AJ4157" s="200">
        <f t="shared" si="1298"/>
        <v>0</v>
      </c>
      <c r="AK4157" s="201" t="str">
        <f t="shared" si="1299"/>
        <v/>
      </c>
      <c r="AL4157" s="24"/>
      <c r="AM4157" s="24"/>
      <c r="AN4157" s="24"/>
      <c r="AO4157" s="24"/>
      <c r="AP4157" s="165" t="str">
        <f t="shared" si="1300"/>
        <v/>
      </c>
      <c r="AQ4157" s="203" t="str">
        <f t="shared" si="1301"/>
        <v/>
      </c>
      <c r="AR4157" s="206">
        <f t="shared" si="1302"/>
        <v>0</v>
      </c>
      <c r="AS4157" s="22" t="str">
        <f t="shared" si="1303"/>
        <v/>
      </c>
      <c r="AT4157" s="24" t="str">
        <f t="shared" si="1304"/>
        <v/>
      </c>
      <c r="AU4157" s="22" t="s">
        <v>3240</v>
      </c>
    </row>
    <row r="4158" spans="1:47">
      <c r="A4158" s="246" t="str">
        <f t="shared" si="1292"/>
        <v/>
      </c>
      <c r="B4158" s="23"/>
      <c r="C4158" s="23"/>
      <c r="D4158" s="202" t="str">
        <f t="shared" si="1293"/>
        <v/>
      </c>
      <c r="E4158" s="33" t="str">
        <f t="shared" si="1287"/>
        <v/>
      </c>
      <c r="F4158" s="23"/>
      <c r="G4158" s="23"/>
      <c r="H4158" s="29"/>
      <c r="I4158" s="204" t="str">
        <f t="shared" si="1290"/>
        <v/>
      </c>
      <c r="J4158" s="188"/>
      <c r="K4158" s="29"/>
      <c r="L4158" s="24"/>
      <c r="M4158" s="22"/>
      <c r="N4158" s="22"/>
      <c r="O4158" s="22"/>
      <c r="P4158" s="202" t="str">
        <f t="shared" si="1291"/>
        <v/>
      </c>
      <c r="Q4158" s="22"/>
      <c r="R4158" s="22"/>
      <c r="S4158" s="22"/>
      <c r="T4158" s="22"/>
      <c r="U4158" s="22"/>
      <c r="V4158" s="22"/>
      <c r="W4158" s="22"/>
      <c r="X4158" s="104"/>
      <c r="Y4158" s="195" t="str">
        <f t="shared" si="1288"/>
        <v/>
      </c>
      <c r="Z4158" s="196" t="str">
        <f t="shared" si="1289"/>
        <v/>
      </c>
      <c r="AA4158" s="22"/>
      <c r="AB4158" s="197" t="str">
        <f t="shared" si="1294"/>
        <v/>
      </c>
      <c r="AC4158" s="198" t="str">
        <f t="shared" si="1295"/>
        <v/>
      </c>
      <c r="AD4158" s="162"/>
      <c r="AE4158" s="199" t="str">
        <f t="shared" si="1296"/>
        <v/>
      </c>
      <c r="AF4158" s="199" t="str">
        <f>IF(AND(COUNTIFS($J$18:J4158,J4158)=1,AE4158=1),1,"")</f>
        <v/>
      </c>
      <c r="AG4158" s="199" t="str">
        <f>IF(C4158="","",IF(AND(COUNTIFS($J$18:J4158,J4158)=1,C4158&lt;&gt;""),1,""))</f>
        <v/>
      </c>
      <c r="AH4158" s="199" t="str">
        <f>IF(G4158="","",IF(AND(COUNTIFS($J$18:J4158,J4158)=1,G4158&lt;&gt;""),1,""))</f>
        <v/>
      </c>
      <c r="AI4158" s="200">
        <f t="shared" si="1297"/>
        <v>0</v>
      </c>
      <c r="AJ4158" s="200">
        <f t="shared" si="1298"/>
        <v>0</v>
      </c>
      <c r="AK4158" s="201" t="str">
        <f t="shared" si="1299"/>
        <v/>
      </c>
      <c r="AL4158" s="24"/>
      <c r="AM4158" s="24"/>
      <c r="AN4158" s="24"/>
      <c r="AO4158" s="24"/>
      <c r="AP4158" s="165" t="str">
        <f t="shared" si="1300"/>
        <v/>
      </c>
      <c r="AQ4158" s="203" t="str">
        <f t="shared" si="1301"/>
        <v/>
      </c>
      <c r="AR4158" s="206">
        <f t="shared" si="1302"/>
        <v>0</v>
      </c>
      <c r="AS4158" s="22" t="str">
        <f t="shared" si="1303"/>
        <v/>
      </c>
      <c r="AT4158" s="24" t="str">
        <f t="shared" si="1304"/>
        <v/>
      </c>
      <c r="AU4158" s="22" t="s">
        <v>3240</v>
      </c>
    </row>
    <row r="4159" spans="1:47">
      <c r="A4159" s="246" t="str">
        <f t="shared" si="1292"/>
        <v/>
      </c>
      <c r="B4159" s="23"/>
      <c r="C4159" s="23"/>
      <c r="D4159" s="202" t="str">
        <f t="shared" si="1293"/>
        <v/>
      </c>
      <c r="E4159" s="33" t="str">
        <f t="shared" si="1287"/>
        <v/>
      </c>
      <c r="F4159" s="23"/>
      <c r="G4159" s="23"/>
      <c r="H4159" s="29"/>
      <c r="I4159" s="204" t="str">
        <f t="shared" si="1290"/>
        <v/>
      </c>
      <c r="J4159" s="188"/>
      <c r="K4159" s="29"/>
      <c r="L4159" s="24"/>
      <c r="M4159" s="22"/>
      <c r="N4159" s="22"/>
      <c r="O4159" s="22"/>
      <c r="P4159" s="202" t="str">
        <f t="shared" si="1291"/>
        <v/>
      </c>
      <c r="Q4159" s="22"/>
      <c r="R4159" s="22"/>
      <c r="S4159" s="22"/>
      <c r="T4159" s="22"/>
      <c r="U4159" s="22"/>
      <c r="V4159" s="22"/>
      <c r="W4159" s="22"/>
      <c r="X4159" s="104"/>
      <c r="Y4159" s="195" t="str">
        <f t="shared" si="1288"/>
        <v/>
      </c>
      <c r="Z4159" s="196" t="str">
        <f t="shared" si="1289"/>
        <v/>
      </c>
      <c r="AA4159" s="22"/>
      <c r="AB4159" s="197" t="str">
        <f t="shared" si="1294"/>
        <v/>
      </c>
      <c r="AC4159" s="198" t="str">
        <f t="shared" si="1295"/>
        <v/>
      </c>
      <c r="AD4159" s="162"/>
      <c r="AE4159" s="199" t="str">
        <f t="shared" si="1296"/>
        <v/>
      </c>
      <c r="AF4159" s="199" t="str">
        <f>IF(AND(COUNTIFS($J$18:J4159,J4159)=1,AE4159=1),1,"")</f>
        <v/>
      </c>
      <c r="AG4159" s="199" t="str">
        <f>IF(C4159="","",IF(AND(COUNTIFS($J$18:J4159,J4159)=1,C4159&lt;&gt;""),1,""))</f>
        <v/>
      </c>
      <c r="AH4159" s="199" t="str">
        <f>IF(G4159="","",IF(AND(COUNTIFS($J$18:J4159,J4159)=1,G4159&lt;&gt;""),1,""))</f>
        <v/>
      </c>
      <c r="AI4159" s="200">
        <f t="shared" si="1297"/>
        <v>0</v>
      </c>
      <c r="AJ4159" s="200">
        <f t="shared" si="1298"/>
        <v>0</v>
      </c>
      <c r="AK4159" s="201" t="str">
        <f t="shared" si="1299"/>
        <v/>
      </c>
      <c r="AL4159" s="24"/>
      <c r="AM4159" s="24"/>
      <c r="AN4159" s="24"/>
      <c r="AO4159" s="24"/>
      <c r="AP4159" s="165" t="str">
        <f t="shared" si="1300"/>
        <v/>
      </c>
      <c r="AQ4159" s="203" t="str">
        <f t="shared" si="1301"/>
        <v/>
      </c>
      <c r="AR4159" s="206">
        <f t="shared" si="1302"/>
        <v>0</v>
      </c>
      <c r="AS4159" s="22" t="str">
        <f t="shared" si="1303"/>
        <v/>
      </c>
      <c r="AT4159" s="24" t="str">
        <f t="shared" si="1304"/>
        <v/>
      </c>
      <c r="AU4159" s="22" t="s">
        <v>3240</v>
      </c>
    </row>
    <row r="4160" spans="1:47">
      <c r="A4160" s="246" t="str">
        <f t="shared" si="1292"/>
        <v/>
      </c>
      <c r="B4160" s="23"/>
      <c r="C4160" s="23"/>
      <c r="D4160" s="202" t="str">
        <f t="shared" si="1293"/>
        <v/>
      </c>
      <c r="E4160" s="33" t="str">
        <f t="shared" si="1287"/>
        <v/>
      </c>
      <c r="F4160" s="23"/>
      <c r="G4160" s="23"/>
      <c r="H4160" s="29"/>
      <c r="I4160" s="204" t="str">
        <f t="shared" si="1290"/>
        <v/>
      </c>
      <c r="J4160" s="188"/>
      <c r="K4160" s="29"/>
      <c r="L4160" s="24"/>
      <c r="M4160" s="22"/>
      <c r="N4160" s="22"/>
      <c r="O4160" s="22"/>
      <c r="P4160" s="202" t="str">
        <f t="shared" si="1291"/>
        <v/>
      </c>
      <c r="Q4160" s="22"/>
      <c r="R4160" s="22"/>
      <c r="S4160" s="22"/>
      <c r="T4160" s="22"/>
      <c r="U4160" s="22"/>
      <c r="V4160" s="22"/>
      <c r="W4160" s="22"/>
      <c r="X4160" s="104"/>
      <c r="Y4160" s="195" t="str">
        <f t="shared" si="1288"/>
        <v/>
      </c>
      <c r="Z4160" s="196" t="str">
        <f t="shared" si="1289"/>
        <v/>
      </c>
      <c r="AA4160" s="22"/>
      <c r="AB4160" s="197" t="str">
        <f t="shared" si="1294"/>
        <v/>
      </c>
      <c r="AC4160" s="198" t="str">
        <f t="shared" si="1295"/>
        <v/>
      </c>
      <c r="AD4160" s="162"/>
      <c r="AE4160" s="199" t="str">
        <f t="shared" si="1296"/>
        <v/>
      </c>
      <c r="AF4160" s="199" t="str">
        <f>IF(AND(COUNTIFS($J$18:J4160,J4160)=1,AE4160=1),1,"")</f>
        <v/>
      </c>
      <c r="AG4160" s="199" t="str">
        <f>IF(C4160="","",IF(AND(COUNTIFS($J$18:J4160,J4160)=1,C4160&lt;&gt;""),1,""))</f>
        <v/>
      </c>
      <c r="AH4160" s="199" t="str">
        <f>IF(G4160="","",IF(AND(COUNTIFS($J$18:J4160,J4160)=1,G4160&lt;&gt;""),1,""))</f>
        <v/>
      </c>
      <c r="AI4160" s="200">
        <f t="shared" si="1297"/>
        <v>0</v>
      </c>
      <c r="AJ4160" s="200">
        <f t="shared" si="1298"/>
        <v>0</v>
      </c>
      <c r="AK4160" s="201" t="str">
        <f t="shared" si="1299"/>
        <v/>
      </c>
      <c r="AL4160" s="24"/>
      <c r="AM4160" s="24"/>
      <c r="AN4160" s="24"/>
      <c r="AO4160" s="24"/>
      <c r="AP4160" s="165" t="str">
        <f t="shared" si="1300"/>
        <v/>
      </c>
      <c r="AQ4160" s="203" t="str">
        <f t="shared" si="1301"/>
        <v/>
      </c>
      <c r="AR4160" s="206">
        <f t="shared" si="1302"/>
        <v>0</v>
      </c>
      <c r="AS4160" s="22" t="str">
        <f t="shared" si="1303"/>
        <v/>
      </c>
      <c r="AT4160" s="24" t="str">
        <f t="shared" si="1304"/>
        <v/>
      </c>
      <c r="AU4160" s="22" t="s">
        <v>3240</v>
      </c>
    </row>
    <row r="4161" spans="1:47">
      <c r="A4161" s="246" t="str">
        <f t="shared" si="1292"/>
        <v/>
      </c>
      <c r="B4161" s="23"/>
      <c r="C4161" s="23"/>
      <c r="D4161" s="202" t="str">
        <f t="shared" si="1293"/>
        <v/>
      </c>
      <c r="E4161" s="33" t="str">
        <f t="shared" si="1287"/>
        <v/>
      </c>
      <c r="F4161" s="23"/>
      <c r="G4161" s="23"/>
      <c r="H4161" s="29"/>
      <c r="I4161" s="204" t="str">
        <f t="shared" si="1290"/>
        <v/>
      </c>
      <c r="J4161" s="188"/>
      <c r="K4161" s="29"/>
      <c r="L4161" s="24"/>
      <c r="M4161" s="22"/>
      <c r="N4161" s="22"/>
      <c r="O4161" s="22"/>
      <c r="P4161" s="202" t="str">
        <f t="shared" si="1291"/>
        <v/>
      </c>
      <c r="Q4161" s="22"/>
      <c r="R4161" s="22"/>
      <c r="S4161" s="22"/>
      <c r="T4161" s="22"/>
      <c r="U4161" s="22"/>
      <c r="V4161" s="22"/>
      <c r="W4161" s="22"/>
      <c r="X4161" s="104"/>
      <c r="Y4161" s="195" t="str">
        <f t="shared" si="1288"/>
        <v/>
      </c>
      <c r="Z4161" s="196" t="str">
        <f t="shared" si="1289"/>
        <v/>
      </c>
      <c r="AA4161" s="22"/>
      <c r="AB4161" s="197" t="str">
        <f t="shared" si="1294"/>
        <v/>
      </c>
      <c r="AC4161" s="198" t="str">
        <f t="shared" si="1295"/>
        <v/>
      </c>
      <c r="AD4161" s="162"/>
      <c r="AE4161" s="199" t="str">
        <f t="shared" si="1296"/>
        <v/>
      </c>
      <c r="AF4161" s="199" t="str">
        <f>IF(AND(COUNTIFS($J$18:J4161,J4161)=1,AE4161=1),1,"")</f>
        <v/>
      </c>
      <c r="AG4161" s="199" t="str">
        <f>IF(C4161="","",IF(AND(COUNTIFS($J$18:J4161,J4161)=1,C4161&lt;&gt;""),1,""))</f>
        <v/>
      </c>
      <c r="AH4161" s="199" t="str">
        <f>IF(G4161="","",IF(AND(COUNTIFS($J$18:J4161,J4161)=1,G4161&lt;&gt;""),1,""))</f>
        <v/>
      </c>
      <c r="AI4161" s="200">
        <f t="shared" si="1297"/>
        <v>0</v>
      </c>
      <c r="AJ4161" s="200">
        <f t="shared" si="1298"/>
        <v>0</v>
      </c>
      <c r="AK4161" s="201" t="str">
        <f t="shared" si="1299"/>
        <v/>
      </c>
      <c r="AL4161" s="24"/>
      <c r="AM4161" s="24"/>
      <c r="AN4161" s="24"/>
      <c r="AO4161" s="24"/>
      <c r="AP4161" s="165" t="str">
        <f t="shared" si="1300"/>
        <v/>
      </c>
      <c r="AQ4161" s="203" t="str">
        <f t="shared" si="1301"/>
        <v/>
      </c>
      <c r="AR4161" s="206">
        <f t="shared" si="1302"/>
        <v>0</v>
      </c>
      <c r="AS4161" s="22" t="str">
        <f t="shared" si="1303"/>
        <v/>
      </c>
      <c r="AT4161" s="24" t="str">
        <f t="shared" si="1304"/>
        <v/>
      </c>
      <c r="AU4161" s="22" t="s">
        <v>3240</v>
      </c>
    </row>
    <row r="4162" spans="1:47">
      <c r="A4162" s="246" t="str">
        <f t="shared" si="1292"/>
        <v/>
      </c>
      <c r="B4162" s="23"/>
      <c r="C4162" s="23"/>
      <c r="D4162" s="202" t="str">
        <f t="shared" si="1293"/>
        <v/>
      </c>
      <c r="E4162" s="33" t="str">
        <f t="shared" si="1287"/>
        <v/>
      </c>
      <c r="F4162" s="23"/>
      <c r="G4162" s="23"/>
      <c r="H4162" s="29"/>
      <c r="I4162" s="204" t="str">
        <f t="shared" si="1290"/>
        <v/>
      </c>
      <c r="J4162" s="188"/>
      <c r="K4162" s="29"/>
      <c r="L4162" s="24"/>
      <c r="M4162" s="22"/>
      <c r="N4162" s="22"/>
      <c r="O4162" s="22"/>
      <c r="P4162" s="202" t="str">
        <f t="shared" si="1291"/>
        <v/>
      </c>
      <c r="Q4162" s="22"/>
      <c r="R4162" s="22"/>
      <c r="S4162" s="22"/>
      <c r="T4162" s="22"/>
      <c r="U4162" s="22"/>
      <c r="V4162" s="22"/>
      <c r="W4162" s="22"/>
      <c r="X4162" s="104"/>
      <c r="Y4162" s="195" t="str">
        <f t="shared" si="1288"/>
        <v/>
      </c>
      <c r="Z4162" s="196" t="str">
        <f t="shared" si="1289"/>
        <v/>
      </c>
      <c r="AA4162" s="22"/>
      <c r="AB4162" s="197" t="str">
        <f t="shared" si="1294"/>
        <v/>
      </c>
      <c r="AC4162" s="198" t="str">
        <f t="shared" si="1295"/>
        <v/>
      </c>
      <c r="AD4162" s="162"/>
      <c r="AE4162" s="199" t="str">
        <f t="shared" si="1296"/>
        <v/>
      </c>
      <c r="AF4162" s="199" t="str">
        <f>IF(AND(COUNTIFS($J$18:J4162,J4162)=1,AE4162=1),1,"")</f>
        <v/>
      </c>
      <c r="AG4162" s="199" t="str">
        <f>IF(C4162="","",IF(AND(COUNTIFS($J$18:J4162,J4162)=1,C4162&lt;&gt;""),1,""))</f>
        <v/>
      </c>
      <c r="AH4162" s="199" t="str">
        <f>IF(G4162="","",IF(AND(COUNTIFS($J$18:J4162,J4162)=1,G4162&lt;&gt;""),1,""))</f>
        <v/>
      </c>
      <c r="AI4162" s="200">
        <f t="shared" si="1297"/>
        <v>0</v>
      </c>
      <c r="AJ4162" s="200">
        <f t="shared" si="1298"/>
        <v>0</v>
      </c>
      <c r="AK4162" s="201" t="str">
        <f t="shared" si="1299"/>
        <v/>
      </c>
      <c r="AL4162" s="24"/>
      <c r="AM4162" s="24"/>
      <c r="AN4162" s="24"/>
      <c r="AO4162" s="24"/>
      <c r="AP4162" s="165" t="str">
        <f t="shared" si="1300"/>
        <v/>
      </c>
      <c r="AQ4162" s="203" t="str">
        <f t="shared" si="1301"/>
        <v/>
      </c>
      <c r="AR4162" s="206">
        <f t="shared" si="1302"/>
        <v>0</v>
      </c>
      <c r="AS4162" s="22" t="str">
        <f t="shared" si="1303"/>
        <v/>
      </c>
      <c r="AT4162" s="24" t="str">
        <f t="shared" si="1304"/>
        <v/>
      </c>
      <c r="AU4162" s="22" t="s">
        <v>3240</v>
      </c>
    </row>
    <row r="4163" spans="1:47">
      <c r="A4163" s="246" t="str">
        <f t="shared" si="1292"/>
        <v/>
      </c>
      <c r="B4163" s="23"/>
      <c r="C4163" s="23"/>
      <c r="D4163" s="202" t="str">
        <f t="shared" si="1293"/>
        <v/>
      </c>
      <c r="E4163" s="33" t="str">
        <f t="shared" si="1287"/>
        <v/>
      </c>
      <c r="F4163" s="23"/>
      <c r="G4163" s="23"/>
      <c r="H4163" s="29"/>
      <c r="I4163" s="204" t="str">
        <f t="shared" si="1290"/>
        <v/>
      </c>
      <c r="J4163" s="188"/>
      <c r="K4163" s="29"/>
      <c r="L4163" s="24"/>
      <c r="M4163" s="22"/>
      <c r="N4163" s="22"/>
      <c r="O4163" s="22"/>
      <c r="P4163" s="202" t="str">
        <f t="shared" si="1291"/>
        <v/>
      </c>
      <c r="Q4163" s="22"/>
      <c r="R4163" s="22"/>
      <c r="S4163" s="22"/>
      <c r="T4163" s="22"/>
      <c r="U4163" s="22"/>
      <c r="V4163" s="22"/>
      <c r="W4163" s="22"/>
      <c r="X4163" s="104"/>
      <c r="Y4163" s="195" t="str">
        <f t="shared" si="1288"/>
        <v/>
      </c>
      <c r="Z4163" s="196" t="str">
        <f t="shared" si="1289"/>
        <v/>
      </c>
      <c r="AA4163" s="22"/>
      <c r="AB4163" s="197" t="str">
        <f t="shared" si="1294"/>
        <v/>
      </c>
      <c r="AC4163" s="198" t="str">
        <f t="shared" si="1295"/>
        <v/>
      </c>
      <c r="AD4163" s="162"/>
      <c r="AE4163" s="199" t="str">
        <f t="shared" si="1296"/>
        <v/>
      </c>
      <c r="AF4163" s="199" t="str">
        <f>IF(AND(COUNTIFS($J$18:J4163,J4163)=1,AE4163=1),1,"")</f>
        <v/>
      </c>
      <c r="AG4163" s="199" t="str">
        <f>IF(C4163="","",IF(AND(COUNTIFS($J$18:J4163,J4163)=1,C4163&lt;&gt;""),1,""))</f>
        <v/>
      </c>
      <c r="AH4163" s="199" t="str">
        <f>IF(G4163="","",IF(AND(COUNTIFS($J$18:J4163,J4163)=1,G4163&lt;&gt;""),1,""))</f>
        <v/>
      </c>
      <c r="AI4163" s="200">
        <f t="shared" si="1297"/>
        <v>0</v>
      </c>
      <c r="AJ4163" s="200">
        <f t="shared" si="1298"/>
        <v>0</v>
      </c>
      <c r="AK4163" s="201" t="str">
        <f t="shared" si="1299"/>
        <v/>
      </c>
      <c r="AL4163" s="24"/>
      <c r="AM4163" s="24"/>
      <c r="AN4163" s="24"/>
      <c r="AO4163" s="24"/>
      <c r="AP4163" s="165" t="str">
        <f t="shared" si="1300"/>
        <v/>
      </c>
      <c r="AQ4163" s="203" t="str">
        <f t="shared" si="1301"/>
        <v/>
      </c>
      <c r="AR4163" s="206">
        <f t="shared" si="1302"/>
        <v>0</v>
      </c>
      <c r="AS4163" s="22" t="str">
        <f t="shared" si="1303"/>
        <v/>
      </c>
      <c r="AT4163" s="24" t="str">
        <f t="shared" si="1304"/>
        <v/>
      </c>
      <c r="AU4163" s="22" t="s">
        <v>3240</v>
      </c>
    </row>
    <row r="4164" spans="1:47">
      <c r="A4164" s="246" t="str">
        <f t="shared" si="1292"/>
        <v/>
      </c>
      <c r="B4164" s="23"/>
      <c r="C4164" s="23"/>
      <c r="D4164" s="202" t="str">
        <f t="shared" si="1293"/>
        <v/>
      </c>
      <c r="E4164" s="33" t="str">
        <f t="shared" si="1287"/>
        <v/>
      </c>
      <c r="F4164" s="23"/>
      <c r="G4164" s="23"/>
      <c r="H4164" s="29"/>
      <c r="I4164" s="204" t="str">
        <f t="shared" si="1290"/>
        <v/>
      </c>
      <c r="J4164" s="188"/>
      <c r="K4164" s="29"/>
      <c r="L4164" s="24"/>
      <c r="M4164" s="22"/>
      <c r="N4164" s="22"/>
      <c r="O4164" s="22"/>
      <c r="P4164" s="202" t="str">
        <f t="shared" si="1291"/>
        <v/>
      </c>
      <c r="Q4164" s="22"/>
      <c r="R4164" s="22"/>
      <c r="S4164" s="22"/>
      <c r="T4164" s="22"/>
      <c r="U4164" s="22"/>
      <c r="V4164" s="22"/>
      <c r="W4164" s="22"/>
      <c r="X4164" s="104"/>
      <c r="Y4164" s="195" t="str">
        <f t="shared" si="1288"/>
        <v/>
      </c>
      <c r="Z4164" s="196" t="str">
        <f t="shared" si="1289"/>
        <v/>
      </c>
      <c r="AA4164" s="22"/>
      <c r="AB4164" s="197" t="str">
        <f t="shared" si="1294"/>
        <v/>
      </c>
      <c r="AC4164" s="198" t="str">
        <f t="shared" si="1295"/>
        <v/>
      </c>
      <c r="AD4164" s="162"/>
      <c r="AE4164" s="199" t="str">
        <f t="shared" si="1296"/>
        <v/>
      </c>
      <c r="AF4164" s="199" t="str">
        <f>IF(AND(COUNTIFS($J$18:J4164,J4164)=1,AE4164=1),1,"")</f>
        <v/>
      </c>
      <c r="AG4164" s="199" t="str">
        <f>IF(C4164="","",IF(AND(COUNTIFS($J$18:J4164,J4164)=1,C4164&lt;&gt;""),1,""))</f>
        <v/>
      </c>
      <c r="AH4164" s="199" t="str">
        <f>IF(G4164="","",IF(AND(COUNTIFS($J$18:J4164,J4164)=1,G4164&lt;&gt;""),1,""))</f>
        <v/>
      </c>
      <c r="AI4164" s="200">
        <f t="shared" si="1297"/>
        <v>0</v>
      </c>
      <c r="AJ4164" s="200">
        <f t="shared" si="1298"/>
        <v>0</v>
      </c>
      <c r="AK4164" s="201" t="str">
        <f t="shared" si="1299"/>
        <v/>
      </c>
      <c r="AL4164" s="24"/>
      <c r="AM4164" s="24"/>
      <c r="AN4164" s="24"/>
      <c r="AO4164" s="24"/>
      <c r="AP4164" s="165" t="str">
        <f t="shared" si="1300"/>
        <v/>
      </c>
      <c r="AQ4164" s="203" t="str">
        <f t="shared" si="1301"/>
        <v/>
      </c>
      <c r="AR4164" s="206">
        <f t="shared" si="1302"/>
        <v>0</v>
      </c>
      <c r="AS4164" s="22" t="str">
        <f t="shared" si="1303"/>
        <v/>
      </c>
      <c r="AT4164" s="24" t="str">
        <f t="shared" si="1304"/>
        <v/>
      </c>
      <c r="AU4164" s="22" t="s">
        <v>3240</v>
      </c>
    </row>
    <row r="4165" spans="1:47">
      <c r="A4165" s="246" t="str">
        <f t="shared" si="1292"/>
        <v/>
      </c>
      <c r="B4165" s="23"/>
      <c r="C4165" s="23"/>
      <c r="D4165" s="202" t="str">
        <f t="shared" si="1293"/>
        <v/>
      </c>
      <c r="E4165" s="33" t="str">
        <f t="shared" si="1287"/>
        <v/>
      </c>
      <c r="F4165" s="23"/>
      <c r="G4165" s="23"/>
      <c r="H4165" s="29"/>
      <c r="I4165" s="204" t="str">
        <f t="shared" si="1290"/>
        <v/>
      </c>
      <c r="J4165" s="188"/>
      <c r="K4165" s="29"/>
      <c r="L4165" s="24"/>
      <c r="M4165" s="22"/>
      <c r="N4165" s="22"/>
      <c r="O4165" s="22"/>
      <c r="P4165" s="202" t="str">
        <f t="shared" si="1291"/>
        <v/>
      </c>
      <c r="Q4165" s="22"/>
      <c r="R4165" s="22"/>
      <c r="S4165" s="22"/>
      <c r="T4165" s="22"/>
      <c r="U4165" s="22"/>
      <c r="V4165" s="22"/>
      <c r="W4165" s="22"/>
      <c r="X4165" s="104"/>
      <c r="Y4165" s="195" t="str">
        <f t="shared" si="1288"/>
        <v/>
      </c>
      <c r="Z4165" s="196" t="str">
        <f t="shared" si="1289"/>
        <v/>
      </c>
      <c r="AA4165" s="22"/>
      <c r="AB4165" s="197" t="str">
        <f t="shared" si="1294"/>
        <v/>
      </c>
      <c r="AC4165" s="198" t="str">
        <f t="shared" si="1295"/>
        <v/>
      </c>
      <c r="AD4165" s="162"/>
      <c r="AE4165" s="199" t="str">
        <f t="shared" si="1296"/>
        <v/>
      </c>
      <c r="AF4165" s="199" t="str">
        <f>IF(AND(COUNTIFS($J$18:J4165,J4165)=1,AE4165=1),1,"")</f>
        <v/>
      </c>
      <c r="AG4165" s="199" t="str">
        <f>IF(C4165="","",IF(AND(COUNTIFS($J$18:J4165,J4165)=1,C4165&lt;&gt;""),1,""))</f>
        <v/>
      </c>
      <c r="AH4165" s="199" t="str">
        <f>IF(G4165="","",IF(AND(COUNTIFS($J$18:J4165,J4165)=1,G4165&lt;&gt;""),1,""))</f>
        <v/>
      </c>
      <c r="AI4165" s="200">
        <f t="shared" si="1297"/>
        <v>0</v>
      </c>
      <c r="AJ4165" s="200">
        <f t="shared" si="1298"/>
        <v>0</v>
      </c>
      <c r="AK4165" s="201" t="str">
        <f t="shared" si="1299"/>
        <v/>
      </c>
      <c r="AL4165" s="24"/>
      <c r="AM4165" s="24"/>
      <c r="AN4165" s="24"/>
      <c r="AO4165" s="24"/>
      <c r="AP4165" s="165" t="str">
        <f t="shared" si="1300"/>
        <v/>
      </c>
      <c r="AQ4165" s="203" t="str">
        <f t="shared" si="1301"/>
        <v/>
      </c>
      <c r="AR4165" s="206">
        <f t="shared" si="1302"/>
        <v>0</v>
      </c>
      <c r="AS4165" s="22" t="str">
        <f t="shared" si="1303"/>
        <v/>
      </c>
      <c r="AT4165" s="24" t="str">
        <f t="shared" si="1304"/>
        <v/>
      </c>
      <c r="AU4165" s="22" t="s">
        <v>3240</v>
      </c>
    </row>
    <row r="4166" spans="1:47">
      <c r="A4166" s="246" t="str">
        <f t="shared" si="1292"/>
        <v/>
      </c>
      <c r="B4166" s="23"/>
      <c r="C4166" s="23"/>
      <c r="D4166" s="202" t="str">
        <f t="shared" si="1293"/>
        <v/>
      </c>
      <c r="E4166" s="33" t="str">
        <f t="shared" si="1287"/>
        <v/>
      </c>
      <c r="F4166" s="23"/>
      <c r="G4166" s="23"/>
      <c r="H4166" s="29"/>
      <c r="I4166" s="204" t="str">
        <f t="shared" si="1290"/>
        <v/>
      </c>
      <c r="J4166" s="188"/>
      <c r="K4166" s="29"/>
      <c r="L4166" s="24"/>
      <c r="M4166" s="22"/>
      <c r="N4166" s="22"/>
      <c r="O4166" s="22"/>
      <c r="P4166" s="202" t="str">
        <f t="shared" si="1291"/>
        <v/>
      </c>
      <c r="Q4166" s="22"/>
      <c r="R4166" s="22"/>
      <c r="S4166" s="22"/>
      <c r="T4166" s="22"/>
      <c r="U4166" s="22"/>
      <c r="V4166" s="22"/>
      <c r="W4166" s="22"/>
      <c r="X4166" s="104"/>
      <c r="Y4166" s="195" t="str">
        <f t="shared" si="1288"/>
        <v/>
      </c>
      <c r="Z4166" s="196" t="str">
        <f t="shared" si="1289"/>
        <v/>
      </c>
      <c r="AA4166" s="22"/>
      <c r="AB4166" s="197" t="str">
        <f t="shared" si="1294"/>
        <v/>
      </c>
      <c r="AC4166" s="198" t="str">
        <f t="shared" si="1295"/>
        <v/>
      </c>
      <c r="AD4166" s="162"/>
      <c r="AE4166" s="199" t="str">
        <f t="shared" si="1296"/>
        <v/>
      </c>
      <c r="AF4166" s="199" t="str">
        <f>IF(AND(COUNTIFS($J$18:J4166,J4166)=1,AE4166=1),1,"")</f>
        <v/>
      </c>
      <c r="AG4166" s="199" t="str">
        <f>IF(C4166="","",IF(AND(COUNTIFS($J$18:J4166,J4166)=1,C4166&lt;&gt;""),1,""))</f>
        <v/>
      </c>
      <c r="AH4166" s="199" t="str">
        <f>IF(G4166="","",IF(AND(COUNTIFS($J$18:J4166,J4166)=1,G4166&lt;&gt;""),1,""))</f>
        <v/>
      </c>
      <c r="AI4166" s="200">
        <f t="shared" si="1297"/>
        <v>0</v>
      </c>
      <c r="AJ4166" s="200">
        <f t="shared" si="1298"/>
        <v>0</v>
      </c>
      <c r="AK4166" s="201" t="str">
        <f t="shared" si="1299"/>
        <v/>
      </c>
      <c r="AL4166" s="24"/>
      <c r="AM4166" s="24"/>
      <c r="AN4166" s="24"/>
      <c r="AO4166" s="24"/>
      <c r="AP4166" s="165" t="str">
        <f t="shared" si="1300"/>
        <v/>
      </c>
      <c r="AQ4166" s="203" t="str">
        <f t="shared" si="1301"/>
        <v/>
      </c>
      <c r="AR4166" s="206">
        <f t="shared" si="1302"/>
        <v>0</v>
      </c>
      <c r="AS4166" s="22" t="str">
        <f t="shared" si="1303"/>
        <v/>
      </c>
      <c r="AT4166" s="24" t="str">
        <f t="shared" si="1304"/>
        <v/>
      </c>
      <c r="AU4166" s="22" t="s">
        <v>3240</v>
      </c>
    </row>
    <row r="4167" spans="1:47">
      <c r="A4167" s="246" t="str">
        <f t="shared" si="1292"/>
        <v/>
      </c>
      <c r="B4167" s="23"/>
      <c r="C4167" s="23"/>
      <c r="D4167" s="202" t="str">
        <f t="shared" si="1293"/>
        <v/>
      </c>
      <c r="E4167" s="33" t="str">
        <f t="shared" si="1287"/>
        <v/>
      </c>
      <c r="F4167" s="23"/>
      <c r="G4167" s="23"/>
      <c r="H4167" s="29"/>
      <c r="I4167" s="204" t="str">
        <f t="shared" si="1290"/>
        <v/>
      </c>
      <c r="J4167" s="188"/>
      <c r="K4167" s="29"/>
      <c r="L4167" s="24"/>
      <c r="M4167" s="22"/>
      <c r="N4167" s="22"/>
      <c r="O4167" s="22"/>
      <c r="P4167" s="202" t="str">
        <f t="shared" si="1291"/>
        <v/>
      </c>
      <c r="Q4167" s="22"/>
      <c r="R4167" s="22"/>
      <c r="S4167" s="22"/>
      <c r="T4167" s="22"/>
      <c r="U4167" s="22"/>
      <c r="V4167" s="22"/>
      <c r="W4167" s="22"/>
      <c r="X4167" s="104"/>
      <c r="Y4167" s="195" t="str">
        <f t="shared" si="1288"/>
        <v/>
      </c>
      <c r="Z4167" s="196" t="str">
        <f t="shared" si="1289"/>
        <v/>
      </c>
      <c r="AA4167" s="22"/>
      <c r="AB4167" s="197" t="str">
        <f t="shared" si="1294"/>
        <v/>
      </c>
      <c r="AC4167" s="198" t="str">
        <f t="shared" si="1295"/>
        <v/>
      </c>
      <c r="AD4167" s="162"/>
      <c r="AE4167" s="199" t="str">
        <f t="shared" si="1296"/>
        <v/>
      </c>
      <c r="AF4167" s="199" t="str">
        <f>IF(AND(COUNTIFS($J$18:J4167,J4167)=1,AE4167=1),1,"")</f>
        <v/>
      </c>
      <c r="AG4167" s="199" t="str">
        <f>IF(C4167="","",IF(AND(COUNTIFS($J$18:J4167,J4167)=1,C4167&lt;&gt;""),1,""))</f>
        <v/>
      </c>
      <c r="AH4167" s="199" t="str">
        <f>IF(G4167="","",IF(AND(COUNTIFS($J$18:J4167,J4167)=1,G4167&lt;&gt;""),1,""))</f>
        <v/>
      </c>
      <c r="AI4167" s="200">
        <f t="shared" si="1297"/>
        <v>0</v>
      </c>
      <c r="AJ4167" s="200">
        <f t="shared" si="1298"/>
        <v>0</v>
      </c>
      <c r="AK4167" s="201" t="str">
        <f t="shared" si="1299"/>
        <v/>
      </c>
      <c r="AL4167" s="24"/>
      <c r="AM4167" s="24"/>
      <c r="AN4167" s="24"/>
      <c r="AO4167" s="24"/>
      <c r="AP4167" s="165" t="str">
        <f t="shared" si="1300"/>
        <v/>
      </c>
      <c r="AQ4167" s="203" t="str">
        <f t="shared" si="1301"/>
        <v/>
      </c>
      <c r="AR4167" s="206">
        <f t="shared" si="1302"/>
        <v>0</v>
      </c>
      <c r="AS4167" s="22" t="str">
        <f t="shared" si="1303"/>
        <v/>
      </c>
      <c r="AT4167" s="24" t="str">
        <f t="shared" si="1304"/>
        <v/>
      </c>
      <c r="AU4167" s="22" t="s">
        <v>3240</v>
      </c>
    </row>
    <row r="4168" spans="1:47">
      <c r="A4168" s="246" t="str">
        <f t="shared" si="1292"/>
        <v/>
      </c>
      <c r="B4168" s="23"/>
      <c r="C4168" s="23"/>
      <c r="D4168" s="202" t="str">
        <f t="shared" si="1293"/>
        <v/>
      </c>
      <c r="E4168" s="33" t="str">
        <f t="shared" si="1287"/>
        <v/>
      </c>
      <c r="F4168" s="23"/>
      <c r="G4168" s="23"/>
      <c r="H4168" s="29"/>
      <c r="I4168" s="204" t="str">
        <f t="shared" si="1290"/>
        <v/>
      </c>
      <c r="J4168" s="188"/>
      <c r="K4168" s="29"/>
      <c r="L4168" s="24"/>
      <c r="M4168" s="22"/>
      <c r="N4168" s="22"/>
      <c r="O4168" s="22"/>
      <c r="P4168" s="202" t="str">
        <f t="shared" si="1291"/>
        <v/>
      </c>
      <c r="Q4168" s="22"/>
      <c r="R4168" s="22"/>
      <c r="S4168" s="22"/>
      <c r="T4168" s="22"/>
      <c r="U4168" s="22"/>
      <c r="V4168" s="22"/>
      <c r="W4168" s="22"/>
      <c r="X4168" s="104"/>
      <c r="Y4168" s="195" t="str">
        <f t="shared" si="1288"/>
        <v/>
      </c>
      <c r="Z4168" s="196" t="str">
        <f t="shared" si="1289"/>
        <v/>
      </c>
      <c r="AA4168" s="22"/>
      <c r="AB4168" s="197" t="str">
        <f t="shared" si="1294"/>
        <v/>
      </c>
      <c r="AC4168" s="198" t="str">
        <f t="shared" si="1295"/>
        <v/>
      </c>
      <c r="AD4168" s="162"/>
      <c r="AE4168" s="199" t="str">
        <f t="shared" si="1296"/>
        <v/>
      </c>
      <c r="AF4168" s="199" t="str">
        <f>IF(AND(COUNTIFS($J$18:J4168,J4168)=1,AE4168=1),1,"")</f>
        <v/>
      </c>
      <c r="AG4168" s="199" t="str">
        <f>IF(C4168="","",IF(AND(COUNTIFS($J$18:J4168,J4168)=1,C4168&lt;&gt;""),1,""))</f>
        <v/>
      </c>
      <c r="AH4168" s="199" t="str">
        <f>IF(G4168="","",IF(AND(COUNTIFS($J$18:J4168,J4168)=1,G4168&lt;&gt;""),1,""))</f>
        <v/>
      </c>
      <c r="AI4168" s="200">
        <f t="shared" si="1297"/>
        <v>0</v>
      </c>
      <c r="AJ4168" s="200">
        <f t="shared" si="1298"/>
        <v>0</v>
      </c>
      <c r="AK4168" s="201" t="str">
        <f t="shared" si="1299"/>
        <v/>
      </c>
      <c r="AL4168" s="24"/>
      <c r="AM4168" s="24"/>
      <c r="AN4168" s="24"/>
      <c r="AO4168" s="24"/>
      <c r="AP4168" s="165" t="str">
        <f t="shared" si="1300"/>
        <v/>
      </c>
      <c r="AQ4168" s="203" t="str">
        <f t="shared" si="1301"/>
        <v/>
      </c>
      <c r="AR4168" s="206">
        <f t="shared" si="1302"/>
        <v>0</v>
      </c>
      <c r="AS4168" s="22" t="str">
        <f t="shared" si="1303"/>
        <v/>
      </c>
      <c r="AT4168" s="24" t="str">
        <f t="shared" si="1304"/>
        <v/>
      </c>
      <c r="AU4168" s="22" t="s">
        <v>3240</v>
      </c>
    </row>
    <row r="4169" spans="1:47">
      <c r="A4169" s="246" t="str">
        <f t="shared" si="1292"/>
        <v/>
      </c>
      <c r="B4169" s="23"/>
      <c r="C4169" s="23"/>
      <c r="D4169" s="202" t="str">
        <f t="shared" si="1293"/>
        <v/>
      </c>
      <c r="E4169" s="33" t="str">
        <f t="shared" si="1287"/>
        <v/>
      </c>
      <c r="F4169" s="23"/>
      <c r="G4169" s="23"/>
      <c r="H4169" s="29"/>
      <c r="I4169" s="204" t="str">
        <f t="shared" si="1290"/>
        <v/>
      </c>
      <c r="J4169" s="188"/>
      <c r="K4169" s="29"/>
      <c r="L4169" s="24"/>
      <c r="M4169" s="22"/>
      <c r="N4169" s="22"/>
      <c r="O4169" s="22"/>
      <c r="P4169" s="202" t="str">
        <f t="shared" si="1291"/>
        <v/>
      </c>
      <c r="Q4169" s="22"/>
      <c r="R4169" s="22"/>
      <c r="S4169" s="22"/>
      <c r="T4169" s="22"/>
      <c r="U4169" s="22"/>
      <c r="V4169" s="22"/>
      <c r="W4169" s="22"/>
      <c r="X4169" s="104"/>
      <c r="Y4169" s="195" t="str">
        <f t="shared" si="1288"/>
        <v/>
      </c>
      <c r="Z4169" s="196" t="str">
        <f t="shared" si="1289"/>
        <v/>
      </c>
      <c r="AA4169" s="22"/>
      <c r="AB4169" s="197" t="str">
        <f t="shared" si="1294"/>
        <v/>
      </c>
      <c r="AC4169" s="198" t="str">
        <f t="shared" si="1295"/>
        <v/>
      </c>
      <c r="AD4169" s="162"/>
      <c r="AE4169" s="199" t="str">
        <f t="shared" si="1296"/>
        <v/>
      </c>
      <c r="AF4169" s="199" t="str">
        <f>IF(AND(COUNTIFS($J$18:J4169,J4169)=1,AE4169=1),1,"")</f>
        <v/>
      </c>
      <c r="AG4169" s="199" t="str">
        <f>IF(C4169="","",IF(AND(COUNTIFS($J$18:J4169,J4169)=1,C4169&lt;&gt;""),1,""))</f>
        <v/>
      </c>
      <c r="AH4169" s="199" t="str">
        <f>IF(G4169="","",IF(AND(COUNTIFS($J$18:J4169,J4169)=1,G4169&lt;&gt;""),1,""))</f>
        <v/>
      </c>
      <c r="AI4169" s="200">
        <f t="shared" si="1297"/>
        <v>0</v>
      </c>
      <c r="AJ4169" s="200">
        <f t="shared" si="1298"/>
        <v>0</v>
      </c>
      <c r="AK4169" s="201" t="str">
        <f t="shared" si="1299"/>
        <v/>
      </c>
      <c r="AL4169" s="24"/>
      <c r="AM4169" s="24"/>
      <c r="AN4169" s="24"/>
      <c r="AO4169" s="24"/>
      <c r="AP4169" s="165" t="str">
        <f t="shared" si="1300"/>
        <v/>
      </c>
      <c r="AQ4169" s="203" t="str">
        <f t="shared" si="1301"/>
        <v/>
      </c>
      <c r="AR4169" s="206">
        <f t="shared" si="1302"/>
        <v>0</v>
      </c>
      <c r="AS4169" s="22" t="str">
        <f t="shared" si="1303"/>
        <v/>
      </c>
      <c r="AT4169" s="24" t="str">
        <f t="shared" si="1304"/>
        <v/>
      </c>
      <c r="AU4169" s="22" t="s">
        <v>3240</v>
      </c>
    </row>
    <row r="4170" spans="1:47">
      <c r="A4170" s="246" t="str">
        <f t="shared" si="1292"/>
        <v/>
      </c>
      <c r="B4170" s="23"/>
      <c r="C4170" s="23"/>
      <c r="D4170" s="202" t="str">
        <f t="shared" si="1293"/>
        <v/>
      </c>
      <c r="E4170" s="33" t="str">
        <f t="shared" si="1287"/>
        <v/>
      </c>
      <c r="F4170" s="23"/>
      <c r="G4170" s="23"/>
      <c r="H4170" s="29"/>
      <c r="I4170" s="204" t="str">
        <f t="shared" si="1290"/>
        <v/>
      </c>
      <c r="J4170" s="188"/>
      <c r="K4170" s="29"/>
      <c r="L4170" s="24"/>
      <c r="M4170" s="22"/>
      <c r="N4170" s="22"/>
      <c r="O4170" s="22"/>
      <c r="P4170" s="202" t="str">
        <f t="shared" si="1291"/>
        <v/>
      </c>
      <c r="Q4170" s="22"/>
      <c r="R4170" s="22"/>
      <c r="S4170" s="22"/>
      <c r="T4170" s="22"/>
      <c r="U4170" s="22"/>
      <c r="V4170" s="22"/>
      <c r="W4170" s="22"/>
      <c r="X4170" s="104"/>
      <c r="Y4170" s="195" t="str">
        <f t="shared" si="1288"/>
        <v/>
      </c>
      <c r="Z4170" s="196" t="str">
        <f t="shared" si="1289"/>
        <v/>
      </c>
      <c r="AA4170" s="22"/>
      <c r="AB4170" s="197" t="str">
        <f t="shared" si="1294"/>
        <v/>
      </c>
      <c r="AC4170" s="198" t="str">
        <f t="shared" si="1295"/>
        <v/>
      </c>
      <c r="AD4170" s="162"/>
      <c r="AE4170" s="199" t="str">
        <f t="shared" si="1296"/>
        <v/>
      </c>
      <c r="AF4170" s="199" t="str">
        <f>IF(AND(COUNTIFS($J$18:J4170,J4170)=1,AE4170=1),1,"")</f>
        <v/>
      </c>
      <c r="AG4170" s="199" t="str">
        <f>IF(C4170="","",IF(AND(COUNTIFS($J$18:J4170,J4170)=1,C4170&lt;&gt;""),1,""))</f>
        <v/>
      </c>
      <c r="AH4170" s="199" t="str">
        <f>IF(G4170="","",IF(AND(COUNTIFS($J$18:J4170,J4170)=1,G4170&lt;&gt;""),1,""))</f>
        <v/>
      </c>
      <c r="AI4170" s="200">
        <f t="shared" si="1297"/>
        <v>0</v>
      </c>
      <c r="AJ4170" s="200">
        <f t="shared" si="1298"/>
        <v>0</v>
      </c>
      <c r="AK4170" s="201" t="str">
        <f t="shared" si="1299"/>
        <v/>
      </c>
      <c r="AL4170" s="24"/>
      <c r="AM4170" s="24"/>
      <c r="AN4170" s="24"/>
      <c r="AO4170" s="24"/>
      <c r="AP4170" s="165" t="str">
        <f t="shared" si="1300"/>
        <v/>
      </c>
      <c r="AQ4170" s="203" t="str">
        <f t="shared" si="1301"/>
        <v/>
      </c>
      <c r="AR4170" s="206">
        <f t="shared" si="1302"/>
        <v>0</v>
      </c>
      <c r="AS4170" s="22" t="str">
        <f t="shared" si="1303"/>
        <v/>
      </c>
      <c r="AT4170" s="24" t="str">
        <f t="shared" si="1304"/>
        <v/>
      </c>
      <c r="AU4170" s="22" t="s">
        <v>3240</v>
      </c>
    </row>
    <row r="4171" spans="1:47">
      <c r="A4171" s="246" t="str">
        <f t="shared" si="1292"/>
        <v/>
      </c>
      <c r="B4171" s="23"/>
      <c r="C4171" s="23"/>
      <c r="D4171" s="202" t="str">
        <f t="shared" si="1293"/>
        <v/>
      </c>
      <c r="E4171" s="33" t="str">
        <f t="shared" si="1287"/>
        <v/>
      </c>
      <c r="F4171" s="23"/>
      <c r="G4171" s="23"/>
      <c r="H4171" s="29"/>
      <c r="I4171" s="204" t="str">
        <f t="shared" si="1290"/>
        <v/>
      </c>
      <c r="J4171" s="188"/>
      <c r="K4171" s="29"/>
      <c r="L4171" s="24"/>
      <c r="M4171" s="22"/>
      <c r="N4171" s="22"/>
      <c r="O4171" s="22"/>
      <c r="P4171" s="202" t="str">
        <f t="shared" si="1291"/>
        <v/>
      </c>
      <c r="Q4171" s="22"/>
      <c r="R4171" s="22"/>
      <c r="S4171" s="22"/>
      <c r="T4171" s="22"/>
      <c r="U4171" s="22"/>
      <c r="V4171" s="22"/>
      <c r="W4171" s="22"/>
      <c r="X4171" s="104"/>
      <c r="Y4171" s="195" t="str">
        <f t="shared" si="1288"/>
        <v/>
      </c>
      <c r="Z4171" s="196" t="str">
        <f t="shared" si="1289"/>
        <v/>
      </c>
      <c r="AA4171" s="22"/>
      <c r="AB4171" s="197" t="str">
        <f t="shared" si="1294"/>
        <v/>
      </c>
      <c r="AC4171" s="198" t="str">
        <f t="shared" si="1295"/>
        <v/>
      </c>
      <c r="AD4171" s="162"/>
      <c r="AE4171" s="199" t="str">
        <f t="shared" si="1296"/>
        <v/>
      </c>
      <c r="AF4171" s="199" t="str">
        <f>IF(AND(COUNTIFS($J$18:J4171,J4171)=1,AE4171=1),1,"")</f>
        <v/>
      </c>
      <c r="AG4171" s="199" t="str">
        <f>IF(C4171="","",IF(AND(COUNTIFS($J$18:J4171,J4171)=1,C4171&lt;&gt;""),1,""))</f>
        <v/>
      </c>
      <c r="AH4171" s="199" t="str">
        <f>IF(G4171="","",IF(AND(COUNTIFS($J$18:J4171,J4171)=1,G4171&lt;&gt;""),1,""))</f>
        <v/>
      </c>
      <c r="AI4171" s="200">
        <f t="shared" si="1297"/>
        <v>0</v>
      </c>
      <c r="AJ4171" s="200">
        <f t="shared" si="1298"/>
        <v>0</v>
      </c>
      <c r="AK4171" s="201" t="str">
        <f t="shared" si="1299"/>
        <v/>
      </c>
      <c r="AL4171" s="24"/>
      <c r="AM4171" s="24"/>
      <c r="AN4171" s="24"/>
      <c r="AO4171" s="24"/>
      <c r="AP4171" s="165" t="str">
        <f t="shared" si="1300"/>
        <v/>
      </c>
      <c r="AQ4171" s="203" t="str">
        <f t="shared" si="1301"/>
        <v/>
      </c>
      <c r="AR4171" s="206">
        <f t="shared" si="1302"/>
        <v>0</v>
      </c>
      <c r="AS4171" s="22" t="str">
        <f t="shared" si="1303"/>
        <v/>
      </c>
      <c r="AT4171" s="24" t="str">
        <f t="shared" si="1304"/>
        <v/>
      </c>
      <c r="AU4171" s="22" t="s">
        <v>3240</v>
      </c>
    </row>
    <row r="4172" spans="1:47">
      <c r="A4172" s="246" t="str">
        <f t="shared" si="1292"/>
        <v/>
      </c>
      <c r="B4172" s="23"/>
      <c r="C4172" s="23"/>
      <c r="D4172" s="202" t="str">
        <f t="shared" si="1293"/>
        <v/>
      </c>
      <c r="E4172" s="33" t="str">
        <f t="shared" si="1287"/>
        <v/>
      </c>
      <c r="F4172" s="23"/>
      <c r="G4172" s="23"/>
      <c r="H4172" s="29"/>
      <c r="I4172" s="204" t="str">
        <f t="shared" si="1290"/>
        <v/>
      </c>
      <c r="J4172" s="188"/>
      <c r="K4172" s="29"/>
      <c r="L4172" s="24"/>
      <c r="M4172" s="22"/>
      <c r="N4172" s="22"/>
      <c r="O4172" s="22"/>
      <c r="P4172" s="202" t="str">
        <f t="shared" si="1291"/>
        <v/>
      </c>
      <c r="Q4172" s="22"/>
      <c r="R4172" s="22"/>
      <c r="S4172" s="22"/>
      <c r="T4172" s="22"/>
      <c r="U4172" s="22"/>
      <c r="V4172" s="22"/>
      <c r="W4172" s="22"/>
      <c r="X4172" s="104"/>
      <c r="Y4172" s="195" t="str">
        <f t="shared" si="1288"/>
        <v/>
      </c>
      <c r="Z4172" s="196" t="str">
        <f t="shared" si="1289"/>
        <v/>
      </c>
      <c r="AA4172" s="22"/>
      <c r="AB4172" s="197" t="str">
        <f t="shared" si="1294"/>
        <v/>
      </c>
      <c r="AC4172" s="198" t="str">
        <f t="shared" si="1295"/>
        <v/>
      </c>
      <c r="AD4172" s="162"/>
      <c r="AE4172" s="199" t="str">
        <f t="shared" si="1296"/>
        <v/>
      </c>
      <c r="AF4172" s="199" t="str">
        <f>IF(AND(COUNTIFS($J$18:J4172,J4172)=1,AE4172=1),1,"")</f>
        <v/>
      </c>
      <c r="AG4172" s="199" t="str">
        <f>IF(C4172="","",IF(AND(COUNTIFS($J$18:J4172,J4172)=1,C4172&lt;&gt;""),1,""))</f>
        <v/>
      </c>
      <c r="AH4172" s="199" t="str">
        <f>IF(G4172="","",IF(AND(COUNTIFS($J$18:J4172,J4172)=1,G4172&lt;&gt;""),1,""))</f>
        <v/>
      </c>
      <c r="AI4172" s="200">
        <f t="shared" si="1297"/>
        <v>0</v>
      </c>
      <c r="AJ4172" s="200">
        <f t="shared" si="1298"/>
        <v>0</v>
      </c>
      <c r="AK4172" s="201" t="str">
        <f t="shared" si="1299"/>
        <v/>
      </c>
      <c r="AL4172" s="24"/>
      <c r="AM4172" s="24"/>
      <c r="AN4172" s="24"/>
      <c r="AO4172" s="24"/>
      <c r="AP4172" s="165" t="str">
        <f t="shared" si="1300"/>
        <v/>
      </c>
      <c r="AQ4172" s="203" t="str">
        <f t="shared" si="1301"/>
        <v/>
      </c>
      <c r="AR4172" s="206">
        <f t="shared" si="1302"/>
        <v>0</v>
      </c>
      <c r="AS4172" s="22" t="str">
        <f t="shared" si="1303"/>
        <v/>
      </c>
      <c r="AT4172" s="24" t="str">
        <f t="shared" si="1304"/>
        <v/>
      </c>
      <c r="AU4172" s="22" t="s">
        <v>3240</v>
      </c>
    </row>
    <row r="4173" spans="1:47">
      <c r="A4173" s="246" t="str">
        <f t="shared" si="1292"/>
        <v/>
      </c>
      <c r="B4173" s="23"/>
      <c r="C4173" s="23"/>
      <c r="D4173" s="202" t="str">
        <f t="shared" si="1293"/>
        <v/>
      </c>
      <c r="E4173" s="33" t="str">
        <f t="shared" si="1287"/>
        <v/>
      </c>
      <c r="F4173" s="23"/>
      <c r="G4173" s="23"/>
      <c r="H4173" s="29"/>
      <c r="I4173" s="204" t="str">
        <f t="shared" si="1290"/>
        <v/>
      </c>
      <c r="J4173" s="188"/>
      <c r="K4173" s="29"/>
      <c r="L4173" s="24"/>
      <c r="M4173" s="22"/>
      <c r="N4173" s="22"/>
      <c r="O4173" s="22"/>
      <c r="P4173" s="202" t="str">
        <f t="shared" si="1291"/>
        <v/>
      </c>
      <c r="Q4173" s="22"/>
      <c r="R4173" s="22"/>
      <c r="S4173" s="22"/>
      <c r="T4173" s="22"/>
      <c r="U4173" s="22"/>
      <c r="V4173" s="22"/>
      <c r="W4173" s="22"/>
      <c r="X4173" s="104"/>
      <c r="Y4173" s="195" t="str">
        <f t="shared" si="1288"/>
        <v/>
      </c>
      <c r="Z4173" s="196" t="str">
        <f t="shared" si="1289"/>
        <v/>
      </c>
      <c r="AA4173" s="22"/>
      <c r="AB4173" s="197" t="str">
        <f t="shared" si="1294"/>
        <v/>
      </c>
      <c r="AC4173" s="198" t="str">
        <f t="shared" si="1295"/>
        <v/>
      </c>
      <c r="AD4173" s="162"/>
      <c r="AE4173" s="199" t="str">
        <f t="shared" si="1296"/>
        <v/>
      </c>
      <c r="AF4173" s="199" t="str">
        <f>IF(AND(COUNTIFS($J$18:J4173,J4173)=1,AE4173=1),1,"")</f>
        <v/>
      </c>
      <c r="AG4173" s="199" t="str">
        <f>IF(C4173="","",IF(AND(COUNTIFS($J$18:J4173,J4173)=1,C4173&lt;&gt;""),1,""))</f>
        <v/>
      </c>
      <c r="AH4173" s="199" t="str">
        <f>IF(G4173="","",IF(AND(COUNTIFS($J$18:J4173,J4173)=1,G4173&lt;&gt;""),1,""))</f>
        <v/>
      </c>
      <c r="AI4173" s="200">
        <f t="shared" si="1297"/>
        <v>0</v>
      </c>
      <c r="AJ4173" s="200">
        <f t="shared" si="1298"/>
        <v>0</v>
      </c>
      <c r="AK4173" s="201" t="str">
        <f t="shared" si="1299"/>
        <v/>
      </c>
      <c r="AL4173" s="24"/>
      <c r="AM4173" s="24"/>
      <c r="AN4173" s="24"/>
      <c r="AO4173" s="24"/>
      <c r="AP4173" s="165" t="str">
        <f t="shared" si="1300"/>
        <v/>
      </c>
      <c r="AQ4173" s="203" t="str">
        <f t="shared" si="1301"/>
        <v/>
      </c>
      <c r="AR4173" s="206">
        <f t="shared" si="1302"/>
        <v>0</v>
      </c>
      <c r="AS4173" s="22" t="str">
        <f t="shared" si="1303"/>
        <v/>
      </c>
      <c r="AT4173" s="24" t="str">
        <f t="shared" si="1304"/>
        <v/>
      </c>
      <c r="AU4173" s="22" t="s">
        <v>3240</v>
      </c>
    </row>
    <row r="4174" spans="1:47">
      <c r="A4174" s="246" t="str">
        <f t="shared" si="1292"/>
        <v/>
      </c>
      <c r="B4174" s="23"/>
      <c r="C4174" s="23"/>
      <c r="D4174" s="202" t="str">
        <f t="shared" si="1293"/>
        <v/>
      </c>
      <c r="E4174" s="33" t="str">
        <f t="shared" si="1287"/>
        <v/>
      </c>
      <c r="F4174" s="23"/>
      <c r="G4174" s="23"/>
      <c r="H4174" s="29"/>
      <c r="I4174" s="204" t="str">
        <f t="shared" si="1290"/>
        <v/>
      </c>
      <c r="J4174" s="188"/>
      <c r="K4174" s="29"/>
      <c r="L4174" s="24"/>
      <c r="M4174" s="22"/>
      <c r="N4174" s="22"/>
      <c r="O4174" s="22"/>
      <c r="P4174" s="202" t="str">
        <f t="shared" si="1291"/>
        <v/>
      </c>
      <c r="Q4174" s="22"/>
      <c r="R4174" s="22"/>
      <c r="S4174" s="22"/>
      <c r="T4174" s="22"/>
      <c r="U4174" s="22"/>
      <c r="V4174" s="22"/>
      <c r="W4174" s="22"/>
      <c r="X4174" s="104"/>
      <c r="Y4174" s="195" t="str">
        <f t="shared" si="1288"/>
        <v/>
      </c>
      <c r="Z4174" s="196" t="str">
        <f t="shared" si="1289"/>
        <v/>
      </c>
      <c r="AA4174" s="22"/>
      <c r="AB4174" s="197" t="str">
        <f t="shared" si="1294"/>
        <v/>
      </c>
      <c r="AC4174" s="198" t="str">
        <f t="shared" si="1295"/>
        <v/>
      </c>
      <c r="AD4174" s="162"/>
      <c r="AE4174" s="199" t="str">
        <f t="shared" si="1296"/>
        <v/>
      </c>
      <c r="AF4174" s="199" t="str">
        <f>IF(AND(COUNTIFS($J$18:J4174,J4174)=1,AE4174=1),1,"")</f>
        <v/>
      </c>
      <c r="AG4174" s="199" t="str">
        <f>IF(C4174="","",IF(AND(COUNTIFS($J$18:J4174,J4174)=1,C4174&lt;&gt;""),1,""))</f>
        <v/>
      </c>
      <c r="AH4174" s="199" t="str">
        <f>IF(G4174="","",IF(AND(COUNTIFS($J$18:J4174,J4174)=1,G4174&lt;&gt;""),1,""))</f>
        <v/>
      </c>
      <c r="AI4174" s="200">
        <f t="shared" si="1297"/>
        <v>0</v>
      </c>
      <c r="AJ4174" s="200">
        <f t="shared" si="1298"/>
        <v>0</v>
      </c>
      <c r="AK4174" s="201" t="str">
        <f t="shared" si="1299"/>
        <v/>
      </c>
      <c r="AL4174" s="24"/>
      <c r="AM4174" s="24"/>
      <c r="AN4174" s="24"/>
      <c r="AO4174" s="24"/>
      <c r="AP4174" s="165" t="str">
        <f t="shared" si="1300"/>
        <v/>
      </c>
      <c r="AQ4174" s="203" t="str">
        <f t="shared" si="1301"/>
        <v/>
      </c>
      <c r="AR4174" s="206">
        <f t="shared" si="1302"/>
        <v>0</v>
      </c>
      <c r="AS4174" s="22" t="str">
        <f t="shared" si="1303"/>
        <v/>
      </c>
      <c r="AT4174" s="24" t="str">
        <f t="shared" si="1304"/>
        <v/>
      </c>
      <c r="AU4174" s="22" t="s">
        <v>3240</v>
      </c>
    </row>
    <row r="4175" spans="1:47">
      <c r="A4175" s="246" t="str">
        <f t="shared" si="1292"/>
        <v/>
      </c>
      <c r="B4175" s="23"/>
      <c r="C4175" s="23"/>
      <c r="D4175" s="202" t="str">
        <f t="shared" si="1293"/>
        <v/>
      </c>
      <c r="E4175" s="33" t="str">
        <f t="shared" si="1287"/>
        <v/>
      </c>
      <c r="F4175" s="23"/>
      <c r="G4175" s="23"/>
      <c r="H4175" s="29"/>
      <c r="I4175" s="204" t="str">
        <f t="shared" si="1290"/>
        <v/>
      </c>
      <c r="J4175" s="188"/>
      <c r="K4175" s="29"/>
      <c r="L4175" s="24"/>
      <c r="M4175" s="22"/>
      <c r="N4175" s="22"/>
      <c r="O4175" s="22"/>
      <c r="P4175" s="202" t="str">
        <f t="shared" si="1291"/>
        <v/>
      </c>
      <c r="Q4175" s="22"/>
      <c r="R4175" s="22"/>
      <c r="S4175" s="22"/>
      <c r="T4175" s="22"/>
      <c r="U4175" s="22"/>
      <c r="V4175" s="22"/>
      <c r="W4175" s="22"/>
      <c r="X4175" s="104"/>
      <c r="Y4175" s="195" t="str">
        <f t="shared" si="1288"/>
        <v/>
      </c>
      <c r="Z4175" s="196" t="str">
        <f t="shared" si="1289"/>
        <v/>
      </c>
      <c r="AA4175" s="22"/>
      <c r="AB4175" s="197" t="str">
        <f t="shared" si="1294"/>
        <v/>
      </c>
      <c r="AC4175" s="198" t="str">
        <f t="shared" si="1295"/>
        <v/>
      </c>
      <c r="AD4175" s="162"/>
      <c r="AE4175" s="199" t="str">
        <f t="shared" si="1296"/>
        <v/>
      </c>
      <c r="AF4175" s="199" t="str">
        <f>IF(AND(COUNTIFS($J$18:J4175,J4175)=1,AE4175=1),1,"")</f>
        <v/>
      </c>
      <c r="AG4175" s="199" t="str">
        <f>IF(C4175="","",IF(AND(COUNTIFS($J$18:J4175,J4175)=1,C4175&lt;&gt;""),1,""))</f>
        <v/>
      </c>
      <c r="AH4175" s="199" t="str">
        <f>IF(G4175="","",IF(AND(COUNTIFS($J$18:J4175,J4175)=1,G4175&lt;&gt;""),1,""))</f>
        <v/>
      </c>
      <c r="AI4175" s="200">
        <f t="shared" si="1297"/>
        <v>0</v>
      </c>
      <c r="AJ4175" s="200">
        <f t="shared" si="1298"/>
        <v>0</v>
      </c>
      <c r="AK4175" s="201" t="str">
        <f t="shared" si="1299"/>
        <v/>
      </c>
      <c r="AL4175" s="24"/>
      <c r="AM4175" s="24"/>
      <c r="AN4175" s="24"/>
      <c r="AO4175" s="24"/>
      <c r="AP4175" s="165" t="str">
        <f t="shared" si="1300"/>
        <v/>
      </c>
      <c r="AQ4175" s="203" t="str">
        <f t="shared" si="1301"/>
        <v/>
      </c>
      <c r="AR4175" s="206">
        <f t="shared" si="1302"/>
        <v>0</v>
      </c>
      <c r="AS4175" s="22" t="str">
        <f t="shared" si="1303"/>
        <v/>
      </c>
      <c r="AT4175" s="24" t="str">
        <f t="shared" si="1304"/>
        <v/>
      </c>
      <c r="AU4175" s="22" t="s">
        <v>3240</v>
      </c>
    </row>
    <row r="4176" spans="1:47">
      <c r="A4176" s="246" t="str">
        <f t="shared" si="1292"/>
        <v/>
      </c>
      <c r="B4176" s="23"/>
      <c r="C4176" s="23"/>
      <c r="D4176" s="202" t="str">
        <f t="shared" si="1293"/>
        <v/>
      </c>
      <c r="E4176" s="33" t="str">
        <f t="shared" si="1287"/>
        <v/>
      </c>
      <c r="F4176" s="23"/>
      <c r="G4176" s="23"/>
      <c r="H4176" s="29"/>
      <c r="I4176" s="204" t="str">
        <f t="shared" si="1290"/>
        <v/>
      </c>
      <c r="J4176" s="188"/>
      <c r="K4176" s="29"/>
      <c r="L4176" s="24"/>
      <c r="M4176" s="22"/>
      <c r="N4176" s="22"/>
      <c r="O4176" s="22"/>
      <c r="P4176" s="202" t="str">
        <f t="shared" si="1291"/>
        <v/>
      </c>
      <c r="Q4176" s="22"/>
      <c r="R4176" s="22"/>
      <c r="S4176" s="22"/>
      <c r="T4176" s="22"/>
      <c r="U4176" s="22"/>
      <c r="V4176" s="22"/>
      <c r="W4176" s="22"/>
      <c r="X4176" s="104"/>
      <c r="Y4176" s="195" t="str">
        <f t="shared" si="1288"/>
        <v/>
      </c>
      <c r="Z4176" s="196" t="str">
        <f t="shared" si="1289"/>
        <v/>
      </c>
      <c r="AA4176" s="22"/>
      <c r="AB4176" s="197" t="str">
        <f t="shared" si="1294"/>
        <v/>
      </c>
      <c r="AC4176" s="198" t="str">
        <f t="shared" si="1295"/>
        <v/>
      </c>
      <c r="AD4176" s="162"/>
      <c r="AE4176" s="199" t="str">
        <f t="shared" si="1296"/>
        <v/>
      </c>
      <c r="AF4176" s="199" t="str">
        <f>IF(AND(COUNTIFS($J$18:J4176,J4176)=1,AE4176=1),1,"")</f>
        <v/>
      </c>
      <c r="AG4176" s="199" t="str">
        <f>IF(C4176="","",IF(AND(COUNTIFS($J$18:J4176,J4176)=1,C4176&lt;&gt;""),1,""))</f>
        <v/>
      </c>
      <c r="AH4176" s="199" t="str">
        <f>IF(G4176="","",IF(AND(COUNTIFS($J$18:J4176,J4176)=1,G4176&lt;&gt;""),1,""))</f>
        <v/>
      </c>
      <c r="AI4176" s="200">
        <f t="shared" si="1297"/>
        <v>0</v>
      </c>
      <c r="AJ4176" s="200">
        <f t="shared" si="1298"/>
        <v>0</v>
      </c>
      <c r="AK4176" s="201" t="str">
        <f t="shared" si="1299"/>
        <v/>
      </c>
      <c r="AL4176" s="24"/>
      <c r="AM4176" s="24"/>
      <c r="AN4176" s="24"/>
      <c r="AO4176" s="24"/>
      <c r="AP4176" s="165" t="str">
        <f t="shared" si="1300"/>
        <v/>
      </c>
      <c r="AQ4176" s="203" t="str">
        <f t="shared" si="1301"/>
        <v/>
      </c>
      <c r="AR4176" s="206">
        <f t="shared" si="1302"/>
        <v>0</v>
      </c>
      <c r="AS4176" s="22" t="str">
        <f t="shared" si="1303"/>
        <v/>
      </c>
      <c r="AT4176" s="24" t="str">
        <f t="shared" si="1304"/>
        <v/>
      </c>
      <c r="AU4176" s="22" t="s">
        <v>3240</v>
      </c>
    </row>
    <row r="4177" spans="1:47">
      <c r="A4177" s="246" t="str">
        <f t="shared" si="1292"/>
        <v/>
      </c>
      <c r="B4177" s="23"/>
      <c r="C4177" s="23"/>
      <c r="D4177" s="202" t="str">
        <f t="shared" si="1293"/>
        <v/>
      </c>
      <c r="E4177" s="33" t="str">
        <f t="shared" si="1287"/>
        <v/>
      </c>
      <c r="F4177" s="23"/>
      <c r="G4177" s="23"/>
      <c r="H4177" s="29"/>
      <c r="I4177" s="204" t="str">
        <f t="shared" si="1290"/>
        <v/>
      </c>
      <c r="J4177" s="188"/>
      <c r="K4177" s="29"/>
      <c r="L4177" s="24"/>
      <c r="M4177" s="22"/>
      <c r="N4177" s="22"/>
      <c r="O4177" s="22"/>
      <c r="P4177" s="202" t="str">
        <f t="shared" si="1291"/>
        <v/>
      </c>
      <c r="Q4177" s="22"/>
      <c r="R4177" s="22"/>
      <c r="S4177" s="22"/>
      <c r="T4177" s="22"/>
      <c r="U4177" s="22"/>
      <c r="V4177" s="22"/>
      <c r="W4177" s="22"/>
      <c r="X4177" s="104"/>
      <c r="Y4177" s="195" t="str">
        <f t="shared" si="1288"/>
        <v/>
      </c>
      <c r="Z4177" s="196" t="str">
        <f t="shared" si="1289"/>
        <v/>
      </c>
      <c r="AA4177" s="22"/>
      <c r="AB4177" s="197" t="str">
        <f t="shared" si="1294"/>
        <v/>
      </c>
      <c r="AC4177" s="198" t="str">
        <f t="shared" si="1295"/>
        <v/>
      </c>
      <c r="AD4177" s="162"/>
      <c r="AE4177" s="199" t="str">
        <f t="shared" si="1296"/>
        <v/>
      </c>
      <c r="AF4177" s="199" t="str">
        <f>IF(AND(COUNTIFS($J$18:J4177,J4177)=1,AE4177=1),1,"")</f>
        <v/>
      </c>
      <c r="AG4177" s="199" t="str">
        <f>IF(C4177="","",IF(AND(COUNTIFS($J$18:J4177,J4177)=1,C4177&lt;&gt;""),1,""))</f>
        <v/>
      </c>
      <c r="AH4177" s="199" t="str">
        <f>IF(G4177="","",IF(AND(COUNTIFS($J$18:J4177,J4177)=1,G4177&lt;&gt;""),1,""))</f>
        <v/>
      </c>
      <c r="AI4177" s="200">
        <f t="shared" si="1297"/>
        <v>0</v>
      </c>
      <c r="AJ4177" s="200">
        <f t="shared" si="1298"/>
        <v>0</v>
      </c>
      <c r="AK4177" s="201" t="str">
        <f t="shared" si="1299"/>
        <v/>
      </c>
      <c r="AL4177" s="24"/>
      <c r="AM4177" s="24"/>
      <c r="AN4177" s="24"/>
      <c r="AO4177" s="24"/>
      <c r="AP4177" s="165" t="str">
        <f t="shared" si="1300"/>
        <v/>
      </c>
      <c r="AQ4177" s="203" t="str">
        <f t="shared" si="1301"/>
        <v/>
      </c>
      <c r="AR4177" s="206">
        <f t="shared" si="1302"/>
        <v>0</v>
      </c>
      <c r="AS4177" s="22" t="str">
        <f t="shared" si="1303"/>
        <v/>
      </c>
      <c r="AT4177" s="24" t="str">
        <f t="shared" si="1304"/>
        <v/>
      </c>
      <c r="AU4177" s="22" t="s">
        <v>3240</v>
      </c>
    </row>
    <row r="4178" spans="1:47">
      <c r="A4178" s="246" t="str">
        <f t="shared" si="1292"/>
        <v/>
      </c>
      <c r="B4178" s="23"/>
      <c r="C4178" s="23"/>
      <c r="D4178" s="202" t="str">
        <f t="shared" si="1293"/>
        <v/>
      </c>
      <c r="E4178" s="33" t="str">
        <f t="shared" si="1287"/>
        <v/>
      </c>
      <c r="F4178" s="23"/>
      <c r="G4178" s="23"/>
      <c r="H4178" s="29"/>
      <c r="I4178" s="204" t="str">
        <f t="shared" si="1290"/>
        <v/>
      </c>
      <c r="J4178" s="188"/>
      <c r="K4178" s="29"/>
      <c r="L4178" s="24"/>
      <c r="M4178" s="22"/>
      <c r="N4178" s="22"/>
      <c r="O4178" s="22"/>
      <c r="P4178" s="202" t="str">
        <f t="shared" si="1291"/>
        <v/>
      </c>
      <c r="Q4178" s="22"/>
      <c r="R4178" s="22"/>
      <c r="S4178" s="22"/>
      <c r="T4178" s="22"/>
      <c r="U4178" s="22"/>
      <c r="V4178" s="22"/>
      <c r="W4178" s="22"/>
      <c r="X4178" s="104"/>
      <c r="Y4178" s="195" t="str">
        <f t="shared" si="1288"/>
        <v/>
      </c>
      <c r="Z4178" s="196" t="str">
        <f t="shared" si="1289"/>
        <v/>
      </c>
      <c r="AA4178" s="22"/>
      <c r="AB4178" s="197" t="str">
        <f t="shared" si="1294"/>
        <v/>
      </c>
      <c r="AC4178" s="198" t="str">
        <f t="shared" si="1295"/>
        <v/>
      </c>
      <c r="AD4178" s="162"/>
      <c r="AE4178" s="199" t="str">
        <f t="shared" si="1296"/>
        <v/>
      </c>
      <c r="AF4178" s="199" t="str">
        <f>IF(AND(COUNTIFS($J$18:J4178,J4178)=1,AE4178=1),1,"")</f>
        <v/>
      </c>
      <c r="AG4178" s="199" t="str">
        <f>IF(C4178="","",IF(AND(COUNTIFS($J$18:J4178,J4178)=1,C4178&lt;&gt;""),1,""))</f>
        <v/>
      </c>
      <c r="AH4178" s="199" t="str">
        <f>IF(G4178="","",IF(AND(COUNTIFS($J$18:J4178,J4178)=1,G4178&lt;&gt;""),1,""))</f>
        <v/>
      </c>
      <c r="AI4178" s="200">
        <f t="shared" si="1297"/>
        <v>0</v>
      </c>
      <c r="AJ4178" s="200">
        <f t="shared" si="1298"/>
        <v>0</v>
      </c>
      <c r="AK4178" s="201" t="str">
        <f t="shared" si="1299"/>
        <v/>
      </c>
      <c r="AL4178" s="24"/>
      <c r="AM4178" s="24"/>
      <c r="AN4178" s="24"/>
      <c r="AO4178" s="24"/>
      <c r="AP4178" s="165" t="str">
        <f t="shared" si="1300"/>
        <v/>
      </c>
      <c r="AQ4178" s="203" t="str">
        <f t="shared" si="1301"/>
        <v/>
      </c>
      <c r="AR4178" s="206">
        <f t="shared" si="1302"/>
        <v>0</v>
      </c>
      <c r="AS4178" s="22" t="str">
        <f t="shared" si="1303"/>
        <v/>
      </c>
      <c r="AT4178" s="24" t="str">
        <f t="shared" si="1304"/>
        <v/>
      </c>
      <c r="AU4178" s="22" t="s">
        <v>3240</v>
      </c>
    </row>
    <row r="4179" spans="1:47">
      <c r="A4179" s="246" t="str">
        <f t="shared" si="1292"/>
        <v/>
      </c>
      <c r="B4179" s="23"/>
      <c r="C4179" s="23"/>
      <c r="D4179" s="202" t="str">
        <f t="shared" si="1293"/>
        <v/>
      </c>
      <c r="E4179" s="33" t="str">
        <f t="shared" si="1287"/>
        <v/>
      </c>
      <c r="F4179" s="23"/>
      <c r="G4179" s="23"/>
      <c r="H4179" s="29"/>
      <c r="I4179" s="204" t="str">
        <f t="shared" si="1290"/>
        <v/>
      </c>
      <c r="J4179" s="188"/>
      <c r="K4179" s="29"/>
      <c r="L4179" s="24"/>
      <c r="M4179" s="22"/>
      <c r="N4179" s="22"/>
      <c r="O4179" s="22"/>
      <c r="P4179" s="202" t="str">
        <f t="shared" si="1291"/>
        <v/>
      </c>
      <c r="Q4179" s="22"/>
      <c r="R4179" s="22"/>
      <c r="S4179" s="22"/>
      <c r="T4179" s="22"/>
      <c r="U4179" s="22"/>
      <c r="V4179" s="22"/>
      <c r="W4179" s="22"/>
      <c r="X4179" s="104"/>
      <c r="Y4179" s="195" t="str">
        <f t="shared" si="1288"/>
        <v/>
      </c>
      <c r="Z4179" s="196" t="str">
        <f t="shared" si="1289"/>
        <v/>
      </c>
      <c r="AA4179" s="22"/>
      <c r="AB4179" s="197" t="str">
        <f t="shared" si="1294"/>
        <v/>
      </c>
      <c r="AC4179" s="198" t="str">
        <f t="shared" si="1295"/>
        <v/>
      </c>
      <c r="AD4179" s="162"/>
      <c r="AE4179" s="199" t="str">
        <f t="shared" si="1296"/>
        <v/>
      </c>
      <c r="AF4179" s="199" t="str">
        <f>IF(AND(COUNTIFS($J$18:J4179,J4179)=1,AE4179=1),1,"")</f>
        <v/>
      </c>
      <c r="AG4179" s="199" t="str">
        <f>IF(C4179="","",IF(AND(COUNTIFS($J$18:J4179,J4179)=1,C4179&lt;&gt;""),1,""))</f>
        <v/>
      </c>
      <c r="AH4179" s="199" t="str">
        <f>IF(G4179="","",IF(AND(COUNTIFS($J$18:J4179,J4179)=1,G4179&lt;&gt;""),1,""))</f>
        <v/>
      </c>
      <c r="AI4179" s="200">
        <f t="shared" si="1297"/>
        <v>0</v>
      </c>
      <c r="AJ4179" s="200">
        <f t="shared" si="1298"/>
        <v>0</v>
      </c>
      <c r="AK4179" s="201" t="str">
        <f t="shared" si="1299"/>
        <v/>
      </c>
      <c r="AL4179" s="24"/>
      <c r="AM4179" s="24"/>
      <c r="AN4179" s="24"/>
      <c r="AO4179" s="24"/>
      <c r="AP4179" s="165" t="str">
        <f t="shared" si="1300"/>
        <v/>
      </c>
      <c r="AQ4179" s="203" t="str">
        <f t="shared" si="1301"/>
        <v/>
      </c>
      <c r="AR4179" s="206">
        <f t="shared" si="1302"/>
        <v>0</v>
      </c>
      <c r="AS4179" s="22" t="str">
        <f t="shared" si="1303"/>
        <v/>
      </c>
      <c r="AT4179" s="24" t="str">
        <f t="shared" si="1304"/>
        <v/>
      </c>
      <c r="AU4179" s="22" t="s">
        <v>3240</v>
      </c>
    </row>
    <row r="4180" spans="1:47">
      <c r="A4180" s="246" t="str">
        <f t="shared" si="1292"/>
        <v/>
      </c>
      <c r="B4180" s="23"/>
      <c r="C4180" s="23"/>
      <c r="D4180" s="202" t="str">
        <f t="shared" si="1293"/>
        <v/>
      </c>
      <c r="E4180" s="33" t="str">
        <f t="shared" si="1287"/>
        <v/>
      </c>
      <c r="F4180" s="23"/>
      <c r="G4180" s="23"/>
      <c r="H4180" s="29"/>
      <c r="I4180" s="204" t="str">
        <f t="shared" si="1290"/>
        <v/>
      </c>
      <c r="J4180" s="188"/>
      <c r="K4180" s="29"/>
      <c r="L4180" s="24"/>
      <c r="M4180" s="22"/>
      <c r="N4180" s="22"/>
      <c r="O4180" s="22"/>
      <c r="P4180" s="202" t="str">
        <f t="shared" si="1291"/>
        <v/>
      </c>
      <c r="Q4180" s="22"/>
      <c r="R4180" s="22"/>
      <c r="S4180" s="22"/>
      <c r="T4180" s="22"/>
      <c r="U4180" s="22"/>
      <c r="V4180" s="22"/>
      <c r="W4180" s="22"/>
      <c r="X4180" s="104"/>
      <c r="Y4180" s="195" t="str">
        <f t="shared" si="1288"/>
        <v/>
      </c>
      <c r="Z4180" s="196" t="str">
        <f t="shared" si="1289"/>
        <v/>
      </c>
      <c r="AA4180" s="22"/>
      <c r="AB4180" s="197" t="str">
        <f t="shared" si="1294"/>
        <v/>
      </c>
      <c r="AC4180" s="198" t="str">
        <f t="shared" si="1295"/>
        <v/>
      </c>
      <c r="AD4180" s="162"/>
      <c r="AE4180" s="199" t="str">
        <f t="shared" si="1296"/>
        <v/>
      </c>
      <c r="AF4180" s="199" t="str">
        <f>IF(AND(COUNTIFS($J$18:J4180,J4180)=1,AE4180=1),1,"")</f>
        <v/>
      </c>
      <c r="AG4180" s="199" t="str">
        <f>IF(C4180="","",IF(AND(COUNTIFS($J$18:J4180,J4180)=1,C4180&lt;&gt;""),1,""))</f>
        <v/>
      </c>
      <c r="AH4180" s="199" t="str">
        <f>IF(G4180="","",IF(AND(COUNTIFS($J$18:J4180,J4180)=1,G4180&lt;&gt;""),1,""))</f>
        <v/>
      </c>
      <c r="AI4180" s="200">
        <f t="shared" si="1297"/>
        <v>0</v>
      </c>
      <c r="AJ4180" s="200">
        <f t="shared" si="1298"/>
        <v>0</v>
      </c>
      <c r="AK4180" s="201" t="str">
        <f t="shared" si="1299"/>
        <v/>
      </c>
      <c r="AL4180" s="24"/>
      <c r="AM4180" s="24"/>
      <c r="AN4180" s="24"/>
      <c r="AO4180" s="24"/>
      <c r="AP4180" s="165" t="str">
        <f t="shared" si="1300"/>
        <v/>
      </c>
      <c r="AQ4180" s="203" t="str">
        <f t="shared" si="1301"/>
        <v/>
      </c>
      <c r="AR4180" s="206">
        <f t="shared" si="1302"/>
        <v>0</v>
      </c>
      <c r="AS4180" s="22" t="str">
        <f t="shared" si="1303"/>
        <v/>
      </c>
      <c r="AT4180" s="24" t="str">
        <f t="shared" si="1304"/>
        <v/>
      </c>
      <c r="AU4180" s="22" t="s">
        <v>3240</v>
      </c>
    </row>
    <row r="4181" spans="1:47">
      <c r="A4181" s="246" t="str">
        <f t="shared" si="1292"/>
        <v/>
      </c>
      <c r="B4181" s="23"/>
      <c r="C4181" s="23"/>
      <c r="D4181" s="202" t="str">
        <f t="shared" si="1293"/>
        <v/>
      </c>
      <c r="E4181" s="33" t="str">
        <f t="shared" si="1287"/>
        <v/>
      </c>
      <c r="F4181" s="23"/>
      <c r="G4181" s="23"/>
      <c r="H4181" s="29"/>
      <c r="I4181" s="204" t="str">
        <f t="shared" si="1290"/>
        <v/>
      </c>
      <c r="J4181" s="188"/>
      <c r="K4181" s="29"/>
      <c r="L4181" s="24"/>
      <c r="M4181" s="22"/>
      <c r="N4181" s="22"/>
      <c r="O4181" s="22"/>
      <c r="P4181" s="202" t="str">
        <f t="shared" si="1291"/>
        <v/>
      </c>
      <c r="Q4181" s="22"/>
      <c r="R4181" s="22"/>
      <c r="S4181" s="22"/>
      <c r="T4181" s="22"/>
      <c r="U4181" s="22"/>
      <c r="V4181" s="22"/>
      <c r="W4181" s="22"/>
      <c r="X4181" s="104"/>
      <c r="Y4181" s="195" t="str">
        <f t="shared" si="1288"/>
        <v/>
      </c>
      <c r="Z4181" s="196" t="str">
        <f t="shared" si="1289"/>
        <v/>
      </c>
      <c r="AA4181" s="22"/>
      <c r="AB4181" s="197" t="str">
        <f t="shared" si="1294"/>
        <v/>
      </c>
      <c r="AC4181" s="198" t="str">
        <f t="shared" si="1295"/>
        <v/>
      </c>
      <c r="AD4181" s="162"/>
      <c r="AE4181" s="199" t="str">
        <f t="shared" si="1296"/>
        <v/>
      </c>
      <c r="AF4181" s="199" t="str">
        <f>IF(AND(COUNTIFS($J$18:J4181,J4181)=1,AE4181=1),1,"")</f>
        <v/>
      </c>
      <c r="AG4181" s="199" t="str">
        <f>IF(C4181="","",IF(AND(COUNTIFS($J$18:J4181,J4181)=1,C4181&lt;&gt;""),1,""))</f>
        <v/>
      </c>
      <c r="AH4181" s="199" t="str">
        <f>IF(G4181="","",IF(AND(COUNTIFS($J$18:J4181,J4181)=1,G4181&lt;&gt;""),1,""))</f>
        <v/>
      </c>
      <c r="AI4181" s="200">
        <f t="shared" si="1297"/>
        <v>0</v>
      </c>
      <c r="AJ4181" s="200">
        <f t="shared" si="1298"/>
        <v>0</v>
      </c>
      <c r="AK4181" s="201" t="str">
        <f t="shared" si="1299"/>
        <v/>
      </c>
      <c r="AL4181" s="24"/>
      <c r="AM4181" s="24"/>
      <c r="AN4181" s="24"/>
      <c r="AO4181" s="24"/>
      <c r="AP4181" s="165" t="str">
        <f t="shared" si="1300"/>
        <v/>
      </c>
      <c r="AQ4181" s="203" t="str">
        <f t="shared" si="1301"/>
        <v/>
      </c>
      <c r="AR4181" s="206">
        <f t="shared" si="1302"/>
        <v>0</v>
      </c>
      <c r="AS4181" s="22" t="str">
        <f t="shared" si="1303"/>
        <v/>
      </c>
      <c r="AT4181" s="24" t="str">
        <f t="shared" si="1304"/>
        <v/>
      </c>
      <c r="AU4181" s="22" t="s">
        <v>3240</v>
      </c>
    </row>
    <row r="4182" spans="1:47">
      <c r="A4182" s="246" t="str">
        <f t="shared" si="1292"/>
        <v/>
      </c>
      <c r="B4182" s="23"/>
      <c r="C4182" s="23"/>
      <c r="D4182" s="202" t="str">
        <f t="shared" si="1293"/>
        <v/>
      </c>
      <c r="E4182" s="33" t="str">
        <f t="shared" si="1287"/>
        <v/>
      </c>
      <c r="F4182" s="23"/>
      <c r="G4182" s="23"/>
      <c r="H4182" s="29"/>
      <c r="I4182" s="204" t="str">
        <f t="shared" si="1290"/>
        <v/>
      </c>
      <c r="J4182" s="188"/>
      <c r="K4182" s="29"/>
      <c r="L4182" s="24"/>
      <c r="M4182" s="22"/>
      <c r="N4182" s="22"/>
      <c r="O4182" s="22"/>
      <c r="P4182" s="202" t="str">
        <f t="shared" si="1291"/>
        <v/>
      </c>
      <c r="Q4182" s="22"/>
      <c r="R4182" s="22"/>
      <c r="S4182" s="22"/>
      <c r="T4182" s="22"/>
      <c r="U4182" s="22"/>
      <c r="V4182" s="22"/>
      <c r="W4182" s="22"/>
      <c r="X4182" s="104"/>
      <c r="Y4182" s="195" t="str">
        <f t="shared" si="1288"/>
        <v/>
      </c>
      <c r="Z4182" s="196" t="str">
        <f t="shared" si="1289"/>
        <v/>
      </c>
      <c r="AA4182" s="22"/>
      <c r="AB4182" s="197" t="str">
        <f t="shared" si="1294"/>
        <v/>
      </c>
      <c r="AC4182" s="198" t="str">
        <f t="shared" si="1295"/>
        <v/>
      </c>
      <c r="AD4182" s="162"/>
      <c r="AE4182" s="199" t="str">
        <f t="shared" si="1296"/>
        <v/>
      </c>
      <c r="AF4182" s="199" t="str">
        <f>IF(AND(COUNTIFS($J$18:J4182,J4182)=1,AE4182=1),1,"")</f>
        <v/>
      </c>
      <c r="AG4182" s="199" t="str">
        <f>IF(C4182="","",IF(AND(COUNTIFS($J$18:J4182,J4182)=1,C4182&lt;&gt;""),1,""))</f>
        <v/>
      </c>
      <c r="AH4182" s="199" t="str">
        <f>IF(G4182="","",IF(AND(COUNTIFS($J$18:J4182,J4182)=1,G4182&lt;&gt;""),1,""))</f>
        <v/>
      </c>
      <c r="AI4182" s="200">
        <f t="shared" si="1297"/>
        <v>0</v>
      </c>
      <c r="AJ4182" s="200">
        <f t="shared" si="1298"/>
        <v>0</v>
      </c>
      <c r="AK4182" s="201" t="str">
        <f t="shared" si="1299"/>
        <v/>
      </c>
      <c r="AL4182" s="24"/>
      <c r="AM4182" s="24"/>
      <c r="AN4182" s="24"/>
      <c r="AO4182" s="24"/>
      <c r="AP4182" s="165" t="str">
        <f t="shared" si="1300"/>
        <v/>
      </c>
      <c r="AQ4182" s="203" t="str">
        <f t="shared" si="1301"/>
        <v/>
      </c>
      <c r="AR4182" s="206">
        <f t="shared" si="1302"/>
        <v>0</v>
      </c>
      <c r="AS4182" s="22" t="str">
        <f t="shared" si="1303"/>
        <v/>
      </c>
      <c r="AT4182" s="24" t="str">
        <f t="shared" si="1304"/>
        <v/>
      </c>
      <c r="AU4182" s="22" t="s">
        <v>3240</v>
      </c>
    </row>
    <row r="4183" spans="1:47">
      <c r="A4183" s="246" t="str">
        <f t="shared" si="1292"/>
        <v/>
      </c>
      <c r="B4183" s="23"/>
      <c r="C4183" s="23"/>
      <c r="D4183" s="202" t="str">
        <f t="shared" si="1293"/>
        <v/>
      </c>
      <c r="E4183" s="33" t="str">
        <f t="shared" si="1287"/>
        <v/>
      </c>
      <c r="F4183" s="23"/>
      <c r="G4183" s="23"/>
      <c r="H4183" s="29"/>
      <c r="I4183" s="204" t="str">
        <f t="shared" si="1290"/>
        <v/>
      </c>
      <c r="J4183" s="188"/>
      <c r="K4183" s="29"/>
      <c r="L4183" s="24"/>
      <c r="M4183" s="22"/>
      <c r="N4183" s="22"/>
      <c r="O4183" s="22"/>
      <c r="P4183" s="202" t="str">
        <f t="shared" si="1291"/>
        <v/>
      </c>
      <c r="Q4183" s="22"/>
      <c r="R4183" s="22"/>
      <c r="S4183" s="22"/>
      <c r="T4183" s="22"/>
      <c r="U4183" s="22"/>
      <c r="V4183" s="22"/>
      <c r="W4183" s="22"/>
      <c r="X4183" s="104"/>
      <c r="Y4183" s="195" t="str">
        <f t="shared" si="1288"/>
        <v/>
      </c>
      <c r="Z4183" s="196" t="str">
        <f t="shared" si="1289"/>
        <v/>
      </c>
      <c r="AA4183" s="22"/>
      <c r="AB4183" s="197" t="str">
        <f t="shared" si="1294"/>
        <v/>
      </c>
      <c r="AC4183" s="198" t="str">
        <f t="shared" si="1295"/>
        <v/>
      </c>
      <c r="AD4183" s="162"/>
      <c r="AE4183" s="199" t="str">
        <f t="shared" si="1296"/>
        <v/>
      </c>
      <c r="AF4183" s="199" t="str">
        <f>IF(AND(COUNTIFS($J$18:J4183,J4183)=1,AE4183=1),1,"")</f>
        <v/>
      </c>
      <c r="AG4183" s="199" t="str">
        <f>IF(C4183="","",IF(AND(COUNTIFS($J$18:J4183,J4183)=1,C4183&lt;&gt;""),1,""))</f>
        <v/>
      </c>
      <c r="AH4183" s="199" t="str">
        <f>IF(G4183="","",IF(AND(COUNTIFS($J$18:J4183,J4183)=1,G4183&lt;&gt;""),1,""))</f>
        <v/>
      </c>
      <c r="AI4183" s="200">
        <f t="shared" si="1297"/>
        <v>0</v>
      </c>
      <c r="AJ4183" s="200">
        <f t="shared" si="1298"/>
        <v>0</v>
      </c>
      <c r="AK4183" s="201" t="str">
        <f t="shared" si="1299"/>
        <v/>
      </c>
      <c r="AL4183" s="24"/>
      <c r="AM4183" s="24"/>
      <c r="AN4183" s="24"/>
      <c r="AO4183" s="24"/>
      <c r="AP4183" s="165" t="str">
        <f t="shared" si="1300"/>
        <v/>
      </c>
      <c r="AQ4183" s="203" t="str">
        <f t="shared" si="1301"/>
        <v/>
      </c>
      <c r="AR4183" s="206">
        <f t="shared" si="1302"/>
        <v>0</v>
      </c>
      <c r="AS4183" s="22" t="str">
        <f t="shared" si="1303"/>
        <v/>
      </c>
      <c r="AT4183" s="24" t="str">
        <f t="shared" si="1304"/>
        <v/>
      </c>
      <c r="AU4183" s="22" t="s">
        <v>3240</v>
      </c>
    </row>
    <row r="4184" spans="1:47">
      <c r="A4184" s="246" t="str">
        <f t="shared" si="1292"/>
        <v/>
      </c>
      <c r="B4184" s="23"/>
      <c r="C4184" s="23"/>
      <c r="D4184" s="202" t="str">
        <f t="shared" si="1293"/>
        <v/>
      </c>
      <c r="E4184" s="33" t="str">
        <f t="shared" ref="E4184:E4247" si="1305">IF(G4184="Cancel","Cancel",IF(G4184="TBA","TBA",IFERROR(IF(I4184="Q4","FY "&amp;RIGHT(F4184,2)-1&amp;"/"&amp;RIGHT(F4184,2),"FY "&amp;RIGHT(F4184,2)&amp;"/"&amp;RIGHT(F4184,2)+1),"")))</f>
        <v/>
      </c>
      <c r="F4184" s="23"/>
      <c r="G4184" s="23"/>
      <c r="H4184" s="29"/>
      <c r="I4184" s="204" t="str">
        <f t="shared" si="1290"/>
        <v/>
      </c>
      <c r="J4184" s="188"/>
      <c r="K4184" s="29"/>
      <c r="L4184" s="24"/>
      <c r="M4184" s="22"/>
      <c r="N4184" s="22"/>
      <c r="O4184" s="22"/>
      <c r="P4184" s="202" t="str">
        <f t="shared" si="1291"/>
        <v/>
      </c>
      <c r="Q4184" s="22"/>
      <c r="R4184" s="22"/>
      <c r="S4184" s="22"/>
      <c r="T4184" s="22"/>
      <c r="U4184" s="22"/>
      <c r="V4184" s="22"/>
      <c r="W4184" s="22"/>
      <c r="X4184" s="104"/>
      <c r="Y4184" s="195" t="str">
        <f t="shared" si="1288"/>
        <v/>
      </c>
      <c r="Z4184" s="196" t="str">
        <f t="shared" si="1289"/>
        <v/>
      </c>
      <c r="AA4184" s="22"/>
      <c r="AB4184" s="197" t="str">
        <f t="shared" si="1294"/>
        <v/>
      </c>
      <c r="AC4184" s="198" t="str">
        <f t="shared" si="1295"/>
        <v/>
      </c>
      <c r="AD4184" s="162"/>
      <c r="AE4184" s="199" t="str">
        <f t="shared" si="1296"/>
        <v/>
      </c>
      <c r="AF4184" s="199" t="str">
        <f>IF(AND(COUNTIFS($J$18:J4184,J4184)=1,AE4184=1),1,"")</f>
        <v/>
      </c>
      <c r="AG4184" s="199" t="str">
        <f>IF(C4184="","",IF(AND(COUNTIFS($J$18:J4184,J4184)=1,C4184&lt;&gt;""),1,""))</f>
        <v/>
      </c>
      <c r="AH4184" s="199" t="str">
        <f>IF(G4184="","",IF(AND(COUNTIFS($J$18:J4184,J4184)=1,G4184&lt;&gt;""),1,""))</f>
        <v/>
      </c>
      <c r="AI4184" s="200">
        <f t="shared" si="1297"/>
        <v>0</v>
      </c>
      <c r="AJ4184" s="200">
        <f t="shared" si="1298"/>
        <v>0</v>
      </c>
      <c r="AK4184" s="201" t="str">
        <f t="shared" si="1299"/>
        <v/>
      </c>
      <c r="AL4184" s="24"/>
      <c r="AM4184" s="24"/>
      <c r="AN4184" s="24"/>
      <c r="AO4184" s="24"/>
      <c r="AP4184" s="165" t="str">
        <f t="shared" si="1300"/>
        <v/>
      </c>
      <c r="AQ4184" s="203" t="str">
        <f t="shared" si="1301"/>
        <v/>
      </c>
      <c r="AR4184" s="206">
        <f t="shared" si="1302"/>
        <v>0</v>
      </c>
      <c r="AS4184" s="22" t="str">
        <f t="shared" si="1303"/>
        <v/>
      </c>
      <c r="AT4184" s="24" t="str">
        <f t="shared" si="1304"/>
        <v/>
      </c>
      <c r="AU4184" s="22" t="s">
        <v>3240</v>
      </c>
    </row>
    <row r="4185" spans="1:47">
      <c r="A4185" s="246" t="str">
        <f t="shared" si="1292"/>
        <v/>
      </c>
      <c r="B4185" s="23"/>
      <c r="C4185" s="23"/>
      <c r="D4185" s="202" t="str">
        <f t="shared" si="1293"/>
        <v/>
      </c>
      <c r="E4185" s="33" t="str">
        <f t="shared" si="1305"/>
        <v/>
      </c>
      <c r="F4185" s="23"/>
      <c r="G4185" s="23"/>
      <c r="H4185" s="29"/>
      <c r="I4185" s="204" t="str">
        <f t="shared" si="1290"/>
        <v/>
      </c>
      <c r="J4185" s="188"/>
      <c r="K4185" s="29"/>
      <c r="L4185" s="24"/>
      <c r="M4185" s="22"/>
      <c r="N4185" s="22"/>
      <c r="O4185" s="22"/>
      <c r="P4185" s="202" t="str">
        <f t="shared" si="1291"/>
        <v/>
      </c>
      <c r="Q4185" s="22"/>
      <c r="R4185" s="22"/>
      <c r="S4185" s="22"/>
      <c r="T4185" s="22"/>
      <c r="U4185" s="22"/>
      <c r="V4185" s="22"/>
      <c r="W4185" s="22"/>
      <c r="X4185" s="104"/>
      <c r="Y4185" s="195" t="str">
        <f t="shared" si="1288"/>
        <v/>
      </c>
      <c r="Z4185" s="196" t="str">
        <f t="shared" si="1289"/>
        <v/>
      </c>
      <c r="AA4185" s="22"/>
      <c r="AB4185" s="197" t="str">
        <f t="shared" si="1294"/>
        <v/>
      </c>
      <c r="AC4185" s="198" t="str">
        <f t="shared" si="1295"/>
        <v/>
      </c>
      <c r="AD4185" s="162"/>
      <c r="AE4185" s="199" t="str">
        <f t="shared" si="1296"/>
        <v/>
      </c>
      <c r="AF4185" s="199" t="str">
        <f>IF(AND(COUNTIFS($J$18:J4185,J4185)=1,AE4185=1),1,"")</f>
        <v/>
      </c>
      <c r="AG4185" s="199" t="str">
        <f>IF(C4185="","",IF(AND(COUNTIFS($J$18:J4185,J4185)=1,C4185&lt;&gt;""),1,""))</f>
        <v/>
      </c>
      <c r="AH4185" s="199" t="str">
        <f>IF(G4185="","",IF(AND(COUNTIFS($J$18:J4185,J4185)=1,G4185&lt;&gt;""),1,""))</f>
        <v/>
      </c>
      <c r="AI4185" s="200">
        <f t="shared" si="1297"/>
        <v>0</v>
      </c>
      <c r="AJ4185" s="200">
        <f t="shared" si="1298"/>
        <v>0</v>
      </c>
      <c r="AK4185" s="201" t="str">
        <f t="shared" si="1299"/>
        <v/>
      </c>
      <c r="AL4185" s="24"/>
      <c r="AM4185" s="24"/>
      <c r="AN4185" s="24"/>
      <c r="AO4185" s="24"/>
      <c r="AP4185" s="165" t="str">
        <f t="shared" si="1300"/>
        <v/>
      </c>
      <c r="AQ4185" s="203" t="str">
        <f t="shared" si="1301"/>
        <v/>
      </c>
      <c r="AR4185" s="206">
        <f t="shared" si="1302"/>
        <v>0</v>
      </c>
      <c r="AS4185" s="22" t="str">
        <f t="shared" si="1303"/>
        <v/>
      </c>
      <c r="AT4185" s="24" t="str">
        <f t="shared" si="1304"/>
        <v/>
      </c>
      <c r="AU4185" s="22" t="s">
        <v>3240</v>
      </c>
    </row>
    <row r="4186" spans="1:47">
      <c r="A4186" s="246" t="str">
        <f t="shared" si="1292"/>
        <v/>
      </c>
      <c r="B4186" s="23"/>
      <c r="C4186" s="23"/>
      <c r="D4186" s="202" t="str">
        <f t="shared" si="1293"/>
        <v/>
      </c>
      <c r="E4186" s="33" t="str">
        <f t="shared" si="1305"/>
        <v/>
      </c>
      <c r="F4186" s="23"/>
      <c r="G4186" s="23"/>
      <c r="H4186" s="29"/>
      <c r="I4186" s="204" t="str">
        <f t="shared" si="1290"/>
        <v/>
      </c>
      <c r="J4186" s="188"/>
      <c r="K4186" s="29"/>
      <c r="L4186" s="24"/>
      <c r="M4186" s="22"/>
      <c r="N4186" s="22"/>
      <c r="O4186" s="22"/>
      <c r="P4186" s="202" t="str">
        <f t="shared" si="1291"/>
        <v/>
      </c>
      <c r="Q4186" s="22"/>
      <c r="R4186" s="22"/>
      <c r="S4186" s="22"/>
      <c r="T4186" s="22"/>
      <c r="U4186" s="22"/>
      <c r="V4186" s="22"/>
      <c r="W4186" s="22"/>
      <c r="X4186" s="104"/>
      <c r="Y4186" s="195" t="str">
        <f t="shared" si="1288"/>
        <v/>
      </c>
      <c r="Z4186" s="196" t="str">
        <f t="shared" si="1289"/>
        <v/>
      </c>
      <c r="AA4186" s="22"/>
      <c r="AB4186" s="197" t="str">
        <f t="shared" si="1294"/>
        <v/>
      </c>
      <c r="AC4186" s="198" t="str">
        <f t="shared" si="1295"/>
        <v/>
      </c>
      <c r="AD4186" s="162"/>
      <c r="AE4186" s="199" t="str">
        <f t="shared" si="1296"/>
        <v/>
      </c>
      <c r="AF4186" s="199" t="str">
        <f>IF(AND(COUNTIFS($J$18:J4186,J4186)=1,AE4186=1),1,"")</f>
        <v/>
      </c>
      <c r="AG4186" s="199" t="str">
        <f>IF(C4186="","",IF(AND(COUNTIFS($J$18:J4186,J4186)=1,C4186&lt;&gt;""),1,""))</f>
        <v/>
      </c>
      <c r="AH4186" s="199" t="str">
        <f>IF(G4186="","",IF(AND(COUNTIFS($J$18:J4186,J4186)=1,G4186&lt;&gt;""),1,""))</f>
        <v/>
      </c>
      <c r="AI4186" s="200">
        <f t="shared" si="1297"/>
        <v>0</v>
      </c>
      <c r="AJ4186" s="200">
        <f t="shared" si="1298"/>
        <v>0</v>
      </c>
      <c r="AK4186" s="201" t="str">
        <f t="shared" si="1299"/>
        <v/>
      </c>
      <c r="AL4186" s="24"/>
      <c r="AM4186" s="24"/>
      <c r="AN4186" s="24"/>
      <c r="AO4186" s="24"/>
      <c r="AP4186" s="165" t="str">
        <f t="shared" si="1300"/>
        <v/>
      </c>
      <c r="AQ4186" s="203" t="str">
        <f t="shared" si="1301"/>
        <v/>
      </c>
      <c r="AR4186" s="206">
        <f t="shared" si="1302"/>
        <v>0</v>
      </c>
      <c r="AS4186" s="22" t="str">
        <f t="shared" si="1303"/>
        <v/>
      </c>
      <c r="AT4186" s="24" t="str">
        <f t="shared" si="1304"/>
        <v/>
      </c>
      <c r="AU4186" s="22" t="s">
        <v>3240</v>
      </c>
    </row>
    <row r="4187" spans="1:47">
      <c r="A4187" s="246" t="str">
        <f t="shared" si="1292"/>
        <v/>
      </c>
      <c r="B4187" s="23"/>
      <c r="C4187" s="23"/>
      <c r="D4187" s="202" t="str">
        <f t="shared" si="1293"/>
        <v/>
      </c>
      <c r="E4187" s="33" t="str">
        <f t="shared" si="1305"/>
        <v/>
      </c>
      <c r="F4187" s="23"/>
      <c r="G4187" s="23"/>
      <c r="H4187" s="29"/>
      <c r="I4187" s="204" t="str">
        <f t="shared" si="1290"/>
        <v/>
      </c>
      <c r="J4187" s="188"/>
      <c r="K4187" s="29"/>
      <c r="L4187" s="24"/>
      <c r="M4187" s="22"/>
      <c r="N4187" s="22"/>
      <c r="O4187" s="22"/>
      <c r="P4187" s="202" t="str">
        <f t="shared" si="1291"/>
        <v/>
      </c>
      <c r="Q4187" s="22"/>
      <c r="R4187" s="22"/>
      <c r="S4187" s="22"/>
      <c r="T4187" s="22"/>
      <c r="U4187" s="22"/>
      <c r="V4187" s="22"/>
      <c r="W4187" s="22"/>
      <c r="X4187" s="104"/>
      <c r="Y4187" s="195" t="str">
        <f t="shared" ref="Y4187:Y4250" si="1306">IF(W4187="","",IF(W4187="RMB","1.13", "1"))</f>
        <v/>
      </c>
      <c r="Z4187" s="196" t="str">
        <f t="shared" ref="Z4187:Z4250" si="1307">IF(X4187="","",X4187*MAX(O4187,N4187))</f>
        <v/>
      </c>
      <c r="AA4187" s="22"/>
      <c r="AB4187" s="197" t="str">
        <f t="shared" si="1294"/>
        <v/>
      </c>
      <c r="AC4187" s="198" t="str">
        <f t="shared" si="1295"/>
        <v/>
      </c>
      <c r="AD4187" s="162"/>
      <c r="AE4187" s="199" t="str">
        <f t="shared" si="1296"/>
        <v/>
      </c>
      <c r="AF4187" s="199" t="str">
        <f>IF(AND(COUNTIFS($J$18:J4187,J4187)=1,AE4187=1),1,"")</f>
        <v/>
      </c>
      <c r="AG4187" s="199" t="str">
        <f>IF(C4187="","",IF(AND(COUNTIFS($J$18:J4187,J4187)=1,C4187&lt;&gt;""),1,""))</f>
        <v/>
      </c>
      <c r="AH4187" s="199" t="str">
        <f>IF(G4187="","",IF(AND(COUNTIFS($J$18:J4187,J4187)=1,G4187&lt;&gt;""),1,""))</f>
        <v/>
      </c>
      <c r="AI4187" s="200">
        <f t="shared" si="1297"/>
        <v>0</v>
      </c>
      <c r="AJ4187" s="200">
        <f t="shared" si="1298"/>
        <v>0</v>
      </c>
      <c r="AK4187" s="201" t="str">
        <f t="shared" si="1299"/>
        <v/>
      </c>
      <c r="AL4187" s="24"/>
      <c r="AM4187" s="24"/>
      <c r="AN4187" s="24"/>
      <c r="AO4187" s="24"/>
      <c r="AP4187" s="165" t="str">
        <f t="shared" si="1300"/>
        <v/>
      </c>
      <c r="AQ4187" s="203" t="str">
        <f t="shared" si="1301"/>
        <v/>
      </c>
      <c r="AR4187" s="206">
        <f t="shared" si="1302"/>
        <v>0</v>
      </c>
      <c r="AS4187" s="22" t="str">
        <f t="shared" si="1303"/>
        <v/>
      </c>
      <c r="AT4187" s="24" t="str">
        <f t="shared" si="1304"/>
        <v/>
      </c>
      <c r="AU4187" s="22" t="s">
        <v>3240</v>
      </c>
    </row>
    <row r="4188" spans="1:47">
      <c r="A4188" s="246" t="str">
        <f t="shared" si="1292"/>
        <v/>
      </c>
      <c r="B4188" s="23"/>
      <c r="C4188" s="23"/>
      <c r="D4188" s="202" t="str">
        <f t="shared" si="1293"/>
        <v/>
      </c>
      <c r="E4188" s="33" t="str">
        <f t="shared" si="1305"/>
        <v/>
      </c>
      <c r="F4188" s="23"/>
      <c r="G4188" s="23"/>
      <c r="H4188" s="29"/>
      <c r="I4188" s="204" t="str">
        <f t="shared" si="1290"/>
        <v/>
      </c>
      <c r="J4188" s="188"/>
      <c r="K4188" s="29"/>
      <c r="L4188" s="24"/>
      <c r="M4188" s="22"/>
      <c r="N4188" s="22"/>
      <c r="O4188" s="22"/>
      <c r="P4188" s="202" t="str">
        <f t="shared" si="1291"/>
        <v/>
      </c>
      <c r="Q4188" s="22"/>
      <c r="R4188" s="22"/>
      <c r="S4188" s="22"/>
      <c r="T4188" s="22"/>
      <c r="U4188" s="22"/>
      <c r="V4188" s="22"/>
      <c r="W4188" s="22"/>
      <c r="X4188" s="104"/>
      <c r="Y4188" s="195" t="str">
        <f t="shared" si="1306"/>
        <v/>
      </c>
      <c r="Z4188" s="196" t="str">
        <f t="shared" si="1307"/>
        <v/>
      </c>
      <c r="AA4188" s="22"/>
      <c r="AB4188" s="197" t="str">
        <f t="shared" si="1294"/>
        <v/>
      </c>
      <c r="AC4188" s="198" t="str">
        <f t="shared" si="1295"/>
        <v/>
      </c>
      <c r="AD4188" s="162"/>
      <c r="AE4188" s="199" t="str">
        <f t="shared" si="1296"/>
        <v/>
      </c>
      <c r="AF4188" s="199" t="str">
        <f>IF(AND(COUNTIFS($J$18:J4188,J4188)=1,AE4188=1),1,"")</f>
        <v/>
      </c>
      <c r="AG4188" s="199" t="str">
        <f>IF(C4188="","",IF(AND(COUNTIFS($J$18:J4188,J4188)=1,C4188&lt;&gt;""),1,""))</f>
        <v/>
      </c>
      <c r="AH4188" s="199" t="str">
        <f>IF(G4188="","",IF(AND(COUNTIFS($J$18:J4188,J4188)=1,G4188&lt;&gt;""),1,""))</f>
        <v/>
      </c>
      <c r="AI4188" s="200">
        <f t="shared" si="1297"/>
        <v>0</v>
      </c>
      <c r="AJ4188" s="200">
        <f t="shared" si="1298"/>
        <v>0</v>
      </c>
      <c r="AK4188" s="201" t="str">
        <f t="shared" si="1299"/>
        <v/>
      </c>
      <c r="AL4188" s="24"/>
      <c r="AM4188" s="24"/>
      <c r="AN4188" s="24"/>
      <c r="AO4188" s="24"/>
      <c r="AP4188" s="165" t="str">
        <f t="shared" si="1300"/>
        <v/>
      </c>
      <c r="AQ4188" s="203" t="str">
        <f t="shared" si="1301"/>
        <v/>
      </c>
      <c r="AR4188" s="206">
        <f t="shared" si="1302"/>
        <v>0</v>
      </c>
      <c r="AS4188" s="22" t="str">
        <f t="shared" si="1303"/>
        <v/>
      </c>
      <c r="AT4188" s="24" t="str">
        <f t="shared" si="1304"/>
        <v/>
      </c>
      <c r="AU4188" s="22" t="s">
        <v>3240</v>
      </c>
    </row>
    <row r="4189" spans="1:47">
      <c r="A4189" s="246" t="str">
        <f t="shared" si="1292"/>
        <v/>
      </c>
      <c r="B4189" s="23"/>
      <c r="C4189" s="23"/>
      <c r="D4189" s="202" t="str">
        <f t="shared" si="1293"/>
        <v/>
      </c>
      <c r="E4189" s="33" t="str">
        <f t="shared" si="1305"/>
        <v/>
      </c>
      <c r="F4189" s="23"/>
      <c r="G4189" s="23"/>
      <c r="H4189" s="29"/>
      <c r="I4189" s="204" t="str">
        <f t="shared" si="1290"/>
        <v/>
      </c>
      <c r="J4189" s="188"/>
      <c r="K4189" s="29"/>
      <c r="L4189" s="24"/>
      <c r="M4189" s="22"/>
      <c r="N4189" s="22"/>
      <c r="O4189" s="22"/>
      <c r="P4189" s="202" t="str">
        <f t="shared" si="1291"/>
        <v/>
      </c>
      <c r="Q4189" s="22"/>
      <c r="R4189" s="22"/>
      <c r="S4189" s="22"/>
      <c r="T4189" s="22"/>
      <c r="U4189" s="22"/>
      <c r="V4189" s="22"/>
      <c r="W4189" s="22"/>
      <c r="X4189" s="104"/>
      <c r="Y4189" s="195" t="str">
        <f t="shared" si="1306"/>
        <v/>
      </c>
      <c r="Z4189" s="196" t="str">
        <f t="shared" si="1307"/>
        <v/>
      </c>
      <c r="AA4189" s="22"/>
      <c r="AB4189" s="197" t="str">
        <f t="shared" si="1294"/>
        <v/>
      </c>
      <c r="AC4189" s="198" t="str">
        <f t="shared" si="1295"/>
        <v/>
      </c>
      <c r="AD4189" s="162"/>
      <c r="AE4189" s="199" t="str">
        <f t="shared" si="1296"/>
        <v/>
      </c>
      <c r="AF4189" s="199" t="str">
        <f>IF(AND(COUNTIFS($J$18:J4189,J4189)=1,AE4189=1),1,"")</f>
        <v/>
      </c>
      <c r="AG4189" s="199" t="str">
        <f>IF(C4189="","",IF(AND(COUNTIFS($J$18:J4189,J4189)=1,C4189&lt;&gt;""),1,""))</f>
        <v/>
      </c>
      <c r="AH4189" s="199" t="str">
        <f>IF(G4189="","",IF(AND(COUNTIFS($J$18:J4189,J4189)=1,G4189&lt;&gt;""),1,""))</f>
        <v/>
      </c>
      <c r="AI4189" s="200">
        <f t="shared" si="1297"/>
        <v>0</v>
      </c>
      <c r="AJ4189" s="200">
        <f t="shared" si="1298"/>
        <v>0</v>
      </c>
      <c r="AK4189" s="201" t="str">
        <f t="shared" si="1299"/>
        <v/>
      </c>
      <c r="AL4189" s="24"/>
      <c r="AM4189" s="24"/>
      <c r="AN4189" s="24"/>
      <c r="AO4189" s="24"/>
      <c r="AP4189" s="165" t="str">
        <f t="shared" si="1300"/>
        <v/>
      </c>
      <c r="AQ4189" s="203" t="str">
        <f t="shared" si="1301"/>
        <v/>
      </c>
      <c r="AR4189" s="206">
        <f t="shared" si="1302"/>
        <v>0</v>
      </c>
      <c r="AS4189" s="22" t="str">
        <f t="shared" si="1303"/>
        <v/>
      </c>
      <c r="AT4189" s="24" t="str">
        <f t="shared" si="1304"/>
        <v/>
      </c>
      <c r="AU4189" s="22" t="s">
        <v>3240</v>
      </c>
    </row>
    <row r="4190" spans="1:47">
      <c r="A4190" s="246" t="str">
        <f t="shared" si="1292"/>
        <v/>
      </c>
      <c r="B4190" s="23"/>
      <c r="C4190" s="23"/>
      <c r="D4190" s="202" t="str">
        <f t="shared" si="1293"/>
        <v/>
      </c>
      <c r="E4190" s="33" t="str">
        <f t="shared" si="1305"/>
        <v/>
      </c>
      <c r="F4190" s="23"/>
      <c r="G4190" s="23"/>
      <c r="H4190" s="29"/>
      <c r="I4190" s="204" t="str">
        <f t="shared" si="1290"/>
        <v/>
      </c>
      <c r="J4190" s="188"/>
      <c r="K4190" s="29"/>
      <c r="L4190" s="24"/>
      <c r="M4190" s="22"/>
      <c r="N4190" s="22"/>
      <c r="O4190" s="22"/>
      <c r="P4190" s="202" t="str">
        <f t="shared" si="1291"/>
        <v/>
      </c>
      <c r="Q4190" s="22"/>
      <c r="R4190" s="22"/>
      <c r="S4190" s="22"/>
      <c r="T4190" s="22"/>
      <c r="U4190" s="22"/>
      <c r="V4190" s="22"/>
      <c r="W4190" s="22"/>
      <c r="X4190" s="104"/>
      <c r="Y4190" s="195" t="str">
        <f t="shared" si="1306"/>
        <v/>
      </c>
      <c r="Z4190" s="196" t="str">
        <f t="shared" si="1307"/>
        <v/>
      </c>
      <c r="AA4190" s="22"/>
      <c r="AB4190" s="197" t="str">
        <f t="shared" si="1294"/>
        <v/>
      </c>
      <c r="AC4190" s="198" t="str">
        <f t="shared" si="1295"/>
        <v/>
      </c>
      <c r="AD4190" s="162"/>
      <c r="AE4190" s="199" t="str">
        <f t="shared" si="1296"/>
        <v/>
      </c>
      <c r="AF4190" s="199" t="str">
        <f>IF(AND(COUNTIFS($J$18:J4190,J4190)=1,AE4190=1),1,"")</f>
        <v/>
      </c>
      <c r="AG4190" s="199" t="str">
        <f>IF(C4190="","",IF(AND(COUNTIFS($J$18:J4190,J4190)=1,C4190&lt;&gt;""),1,""))</f>
        <v/>
      </c>
      <c r="AH4190" s="199" t="str">
        <f>IF(G4190="","",IF(AND(COUNTIFS($J$18:J4190,J4190)=1,G4190&lt;&gt;""),1,""))</f>
        <v/>
      </c>
      <c r="AI4190" s="200">
        <f t="shared" si="1297"/>
        <v>0</v>
      </c>
      <c r="AJ4190" s="200">
        <f t="shared" si="1298"/>
        <v>0</v>
      </c>
      <c r="AK4190" s="201" t="str">
        <f t="shared" si="1299"/>
        <v/>
      </c>
      <c r="AL4190" s="24"/>
      <c r="AM4190" s="24"/>
      <c r="AN4190" s="24"/>
      <c r="AO4190" s="24"/>
      <c r="AP4190" s="165" t="str">
        <f t="shared" si="1300"/>
        <v/>
      </c>
      <c r="AQ4190" s="203" t="str">
        <f t="shared" si="1301"/>
        <v/>
      </c>
      <c r="AR4190" s="206">
        <f t="shared" si="1302"/>
        <v>0</v>
      </c>
      <c r="AS4190" s="22" t="str">
        <f t="shared" si="1303"/>
        <v/>
      </c>
      <c r="AT4190" s="24" t="str">
        <f t="shared" si="1304"/>
        <v/>
      </c>
      <c r="AU4190" s="22" t="s">
        <v>3240</v>
      </c>
    </row>
    <row r="4191" spans="1:47">
      <c r="A4191" s="246" t="str">
        <f t="shared" si="1292"/>
        <v/>
      </c>
      <c r="B4191" s="23"/>
      <c r="C4191" s="23"/>
      <c r="D4191" s="202" t="str">
        <f t="shared" si="1293"/>
        <v/>
      </c>
      <c r="E4191" s="33" t="str">
        <f t="shared" si="1305"/>
        <v/>
      </c>
      <c r="F4191" s="23"/>
      <c r="G4191" s="23"/>
      <c r="H4191" s="29"/>
      <c r="I4191" s="204" t="str">
        <f t="shared" si="1290"/>
        <v/>
      </c>
      <c r="J4191" s="188"/>
      <c r="K4191" s="29"/>
      <c r="L4191" s="24"/>
      <c r="M4191" s="22"/>
      <c r="N4191" s="22"/>
      <c r="O4191" s="22"/>
      <c r="P4191" s="202" t="str">
        <f t="shared" si="1291"/>
        <v/>
      </c>
      <c r="Q4191" s="22"/>
      <c r="R4191" s="22"/>
      <c r="S4191" s="22"/>
      <c r="T4191" s="22"/>
      <c r="U4191" s="22"/>
      <c r="V4191" s="22"/>
      <c r="W4191" s="22"/>
      <c r="X4191" s="104"/>
      <c r="Y4191" s="195" t="str">
        <f t="shared" si="1306"/>
        <v/>
      </c>
      <c r="Z4191" s="196" t="str">
        <f t="shared" si="1307"/>
        <v/>
      </c>
      <c r="AA4191" s="22"/>
      <c r="AB4191" s="197" t="str">
        <f t="shared" si="1294"/>
        <v/>
      </c>
      <c r="AC4191" s="198" t="str">
        <f t="shared" si="1295"/>
        <v/>
      </c>
      <c r="AD4191" s="162"/>
      <c r="AE4191" s="199" t="str">
        <f t="shared" si="1296"/>
        <v/>
      </c>
      <c r="AF4191" s="199" t="str">
        <f>IF(AND(COUNTIFS($J$18:J4191,J4191)=1,AE4191=1),1,"")</f>
        <v/>
      </c>
      <c r="AG4191" s="199" t="str">
        <f>IF(C4191="","",IF(AND(COUNTIFS($J$18:J4191,J4191)=1,C4191&lt;&gt;""),1,""))</f>
        <v/>
      </c>
      <c r="AH4191" s="199" t="str">
        <f>IF(G4191="","",IF(AND(COUNTIFS($J$18:J4191,J4191)=1,G4191&lt;&gt;""),1,""))</f>
        <v/>
      </c>
      <c r="AI4191" s="200">
        <f t="shared" si="1297"/>
        <v>0</v>
      </c>
      <c r="AJ4191" s="200">
        <f t="shared" si="1298"/>
        <v>0</v>
      </c>
      <c r="AK4191" s="201" t="str">
        <f t="shared" si="1299"/>
        <v/>
      </c>
      <c r="AL4191" s="24"/>
      <c r="AM4191" s="24"/>
      <c r="AN4191" s="24"/>
      <c r="AO4191" s="24"/>
      <c r="AP4191" s="165" t="str">
        <f t="shared" si="1300"/>
        <v/>
      </c>
      <c r="AQ4191" s="203" t="str">
        <f t="shared" si="1301"/>
        <v/>
      </c>
      <c r="AR4191" s="206">
        <f t="shared" si="1302"/>
        <v>0</v>
      </c>
      <c r="AS4191" s="22" t="str">
        <f t="shared" si="1303"/>
        <v/>
      </c>
      <c r="AT4191" s="24" t="str">
        <f t="shared" si="1304"/>
        <v/>
      </c>
      <c r="AU4191" s="22" t="s">
        <v>3240</v>
      </c>
    </row>
    <row r="4192" spans="1:47">
      <c r="A4192" s="246" t="str">
        <f t="shared" si="1292"/>
        <v/>
      </c>
      <c r="B4192" s="23"/>
      <c r="C4192" s="23"/>
      <c r="D4192" s="202" t="str">
        <f t="shared" si="1293"/>
        <v/>
      </c>
      <c r="E4192" s="33" t="str">
        <f t="shared" si="1305"/>
        <v/>
      </c>
      <c r="F4192" s="23"/>
      <c r="G4192" s="23"/>
      <c r="H4192" s="29"/>
      <c r="I4192" s="204" t="str">
        <f t="shared" ref="I4192:I4255" si="1308">IFERROR(IF(F4192="","",IF(F4192="TBA","TBA",IF(F4192="Cancel","Cancel",IF(AND(G4192&gt;=10,G4192&lt;=12),"Q3",IF(AND(G4192&gt;=1,G4192&lt;=3),"Q4",IF(AND(G4192&gt;=7,G4192&lt;=9),"Q2",IF(AND(G4192&gt;=4,G4192&lt;=6),"Q1"))))))),"")</f>
        <v/>
      </c>
      <c r="J4192" s="188"/>
      <c r="K4192" s="29"/>
      <c r="L4192" s="24"/>
      <c r="M4192" s="22"/>
      <c r="N4192" s="22"/>
      <c r="O4192" s="22"/>
      <c r="P4192" s="202" t="str">
        <f t="shared" si="1291"/>
        <v/>
      </c>
      <c r="Q4192" s="22"/>
      <c r="R4192" s="22"/>
      <c r="S4192" s="22"/>
      <c r="T4192" s="22"/>
      <c r="U4192" s="22"/>
      <c r="V4192" s="22"/>
      <c r="W4192" s="22"/>
      <c r="X4192" s="104"/>
      <c r="Y4192" s="195" t="str">
        <f t="shared" si="1306"/>
        <v/>
      </c>
      <c r="Z4192" s="196" t="str">
        <f t="shared" si="1307"/>
        <v/>
      </c>
      <c r="AA4192" s="22"/>
      <c r="AB4192" s="197" t="str">
        <f t="shared" si="1294"/>
        <v/>
      </c>
      <c r="AC4192" s="198" t="str">
        <f t="shared" si="1295"/>
        <v/>
      </c>
      <c r="AD4192" s="162"/>
      <c r="AE4192" s="199" t="str">
        <f t="shared" si="1296"/>
        <v/>
      </c>
      <c r="AF4192" s="199" t="str">
        <f>IF(AND(COUNTIFS($J$18:J4192,J4192)=1,AE4192=1),1,"")</f>
        <v/>
      </c>
      <c r="AG4192" s="199" t="str">
        <f>IF(C4192="","",IF(AND(COUNTIFS($J$18:J4192,J4192)=1,C4192&lt;&gt;""),1,""))</f>
        <v/>
      </c>
      <c r="AH4192" s="199" t="str">
        <f>IF(G4192="","",IF(AND(COUNTIFS($J$18:J4192,J4192)=1,G4192&lt;&gt;""),1,""))</f>
        <v/>
      </c>
      <c r="AI4192" s="200">
        <f t="shared" si="1297"/>
        <v>0</v>
      </c>
      <c r="AJ4192" s="200">
        <f t="shared" si="1298"/>
        <v>0</v>
      </c>
      <c r="AK4192" s="201" t="str">
        <f t="shared" si="1299"/>
        <v/>
      </c>
      <c r="AL4192" s="24"/>
      <c r="AM4192" s="24"/>
      <c r="AN4192" s="24"/>
      <c r="AO4192" s="24"/>
      <c r="AP4192" s="165" t="str">
        <f t="shared" si="1300"/>
        <v/>
      </c>
      <c r="AQ4192" s="203" t="str">
        <f t="shared" si="1301"/>
        <v/>
      </c>
      <c r="AR4192" s="206">
        <f t="shared" si="1302"/>
        <v>0</v>
      </c>
      <c r="AS4192" s="22" t="str">
        <f t="shared" si="1303"/>
        <v/>
      </c>
      <c r="AT4192" s="24" t="str">
        <f t="shared" si="1304"/>
        <v/>
      </c>
      <c r="AU4192" s="22" t="s">
        <v>3240</v>
      </c>
    </row>
    <row r="4193" spans="1:47">
      <c r="A4193" s="246" t="str">
        <f t="shared" si="1292"/>
        <v/>
      </c>
      <c r="B4193" s="23"/>
      <c r="C4193" s="23"/>
      <c r="D4193" s="202" t="str">
        <f t="shared" si="1293"/>
        <v/>
      </c>
      <c r="E4193" s="33" t="str">
        <f t="shared" si="1305"/>
        <v/>
      </c>
      <c r="F4193" s="23"/>
      <c r="G4193" s="23"/>
      <c r="H4193" s="29"/>
      <c r="I4193" s="204" t="str">
        <f t="shared" si="1308"/>
        <v/>
      </c>
      <c r="J4193" s="188"/>
      <c r="K4193" s="29"/>
      <c r="L4193" s="24"/>
      <c r="M4193" s="22"/>
      <c r="N4193" s="22"/>
      <c r="O4193" s="22"/>
      <c r="P4193" s="202" t="str">
        <f t="shared" ref="P4193:P4256" si="1309">IF(M4193="","",IF(AND(N4193&gt;0,L4193&lt;&gt;""),"MAIN UNIT",IF(AND(O4193&gt;0,L4193&lt;&gt;""),"SERVICE/ PARTS","C66 SERVICE/OTHERS")))</f>
        <v/>
      </c>
      <c r="Q4193" s="22"/>
      <c r="R4193" s="22"/>
      <c r="S4193" s="22"/>
      <c r="T4193" s="22"/>
      <c r="U4193" s="22"/>
      <c r="V4193" s="22"/>
      <c r="W4193" s="22"/>
      <c r="X4193" s="104"/>
      <c r="Y4193" s="195" t="str">
        <f t="shared" si="1306"/>
        <v/>
      </c>
      <c r="Z4193" s="196" t="str">
        <f t="shared" si="1307"/>
        <v/>
      </c>
      <c r="AA4193" s="22"/>
      <c r="AB4193" s="197" t="str">
        <f t="shared" si="1294"/>
        <v/>
      </c>
      <c r="AC4193" s="198" t="str">
        <f t="shared" si="1295"/>
        <v/>
      </c>
      <c r="AD4193" s="162"/>
      <c r="AE4193" s="199" t="str">
        <f t="shared" si="1296"/>
        <v/>
      </c>
      <c r="AF4193" s="199" t="str">
        <f>IF(AND(COUNTIFS($J$18:J4193,J4193)=1,AE4193=1),1,"")</f>
        <v/>
      </c>
      <c r="AG4193" s="199" t="str">
        <f>IF(C4193="","",IF(AND(COUNTIFS($J$18:J4193,J4193)=1,C4193&lt;&gt;""),1,""))</f>
        <v/>
      </c>
      <c r="AH4193" s="199" t="str">
        <f>IF(G4193="","",IF(AND(COUNTIFS($J$18:J4193,J4193)=1,G4193&lt;&gt;""),1,""))</f>
        <v/>
      </c>
      <c r="AI4193" s="200">
        <f t="shared" si="1297"/>
        <v>0</v>
      </c>
      <c r="AJ4193" s="200">
        <f t="shared" si="1298"/>
        <v>0</v>
      </c>
      <c r="AK4193" s="201" t="str">
        <f t="shared" si="1299"/>
        <v/>
      </c>
      <c r="AL4193" s="24"/>
      <c r="AM4193" s="24"/>
      <c r="AN4193" s="24"/>
      <c r="AO4193" s="24"/>
      <c r="AP4193" s="165" t="str">
        <f t="shared" si="1300"/>
        <v/>
      </c>
      <c r="AQ4193" s="203" t="str">
        <f t="shared" si="1301"/>
        <v/>
      </c>
      <c r="AR4193" s="206">
        <f t="shared" si="1302"/>
        <v>0</v>
      </c>
      <c r="AS4193" s="22" t="str">
        <f t="shared" si="1303"/>
        <v/>
      </c>
      <c r="AT4193" s="24" t="str">
        <f t="shared" si="1304"/>
        <v/>
      </c>
      <c r="AU4193" s="22" t="s">
        <v>3240</v>
      </c>
    </row>
    <row r="4194" spans="1:47">
      <c r="A4194" s="246" t="str">
        <f t="shared" ref="A4194:A4257" si="1310">IF(C4194="cancel","cancel",IFERROR(IF(D4194="Q4","FY "&amp;RIGHT(B4194,2)-1&amp;"/"&amp;RIGHT(B4194,2),"FY "&amp;RIGHT(B4194,2)&amp;"/"&amp;RIGHT(B4194,2)+1),""))</f>
        <v/>
      </c>
      <c r="B4194" s="23"/>
      <c r="C4194" s="23"/>
      <c r="D4194" s="202" t="str">
        <f t="shared" ref="D4194:D4257" si="1311">IF(B4194="","",IF(AND(C4194&gt;=10,C4194&lt;=12),"Q3",IF(AND(C4194&gt;=1,C4194&lt;=3),"Q4",IF(AND(C4194&gt;=7,C4194&lt;=9),"Q2",IF(AND(C4194&gt;=4,C4194&lt;=6),"Q1")))))</f>
        <v/>
      </c>
      <c r="E4194" s="33" t="str">
        <f t="shared" si="1305"/>
        <v/>
      </c>
      <c r="F4194" s="23"/>
      <c r="G4194" s="23"/>
      <c r="H4194" s="29"/>
      <c r="I4194" s="204" t="str">
        <f t="shared" si="1308"/>
        <v/>
      </c>
      <c r="J4194" s="188"/>
      <c r="K4194" s="29"/>
      <c r="L4194" s="24"/>
      <c r="M4194" s="22"/>
      <c r="N4194" s="22"/>
      <c r="O4194" s="22"/>
      <c r="P4194" s="202" t="str">
        <f t="shared" si="1309"/>
        <v/>
      </c>
      <c r="Q4194" s="22"/>
      <c r="R4194" s="22"/>
      <c r="S4194" s="22"/>
      <c r="T4194" s="22"/>
      <c r="U4194" s="22"/>
      <c r="V4194" s="22"/>
      <c r="W4194" s="22"/>
      <c r="X4194" s="104"/>
      <c r="Y4194" s="195" t="str">
        <f t="shared" si="1306"/>
        <v/>
      </c>
      <c r="Z4194" s="196" t="str">
        <f t="shared" si="1307"/>
        <v/>
      </c>
      <c r="AA4194" s="22"/>
      <c r="AB4194" s="197" t="str">
        <f t="shared" ref="AB4194:AB4257" si="1312">IF(AND(R4194&lt;&gt;"C66",R4194&lt;&gt;""),Z4194/Y4194*AA4194,"")</f>
        <v/>
      </c>
      <c r="AC4194" s="198" t="str">
        <f t="shared" ref="AC4194:AC4257" si="1313">IF(R4194&lt;&gt;"",AB4194*AD4194,"")</f>
        <v/>
      </c>
      <c r="AD4194" s="162"/>
      <c r="AE4194" s="199" t="str">
        <f t="shared" ref="AE4194:AE4257" si="1314">IF(Q4194="","",IF(Q4194="Yes",1,0))</f>
        <v/>
      </c>
      <c r="AF4194" s="199" t="str">
        <f>IF(AND(COUNTIFS($J$18:J4194,J4194)=1,AE4194=1),1,"")</f>
        <v/>
      </c>
      <c r="AG4194" s="199" t="str">
        <f>IF(C4194="","",IF(AND(COUNTIFS($J$18:J4194,J4194)=1,C4194&lt;&gt;""),1,""))</f>
        <v/>
      </c>
      <c r="AH4194" s="199" t="str">
        <f>IF(G4194="","",IF(AND(COUNTIFS($J$18:J4194,J4194)=1,G4194&lt;&gt;""),1,""))</f>
        <v/>
      </c>
      <c r="AI4194" s="200">
        <f t="shared" ref="AI4194:AI4257" si="1315">IF(P4194="C66 SERVICE","",SUMIFS(AB:AB,F:F,F4194,G:G,G4194,E:E,E4194))</f>
        <v>0</v>
      </c>
      <c r="AJ4194" s="200">
        <f t="shared" ref="AJ4194:AJ4257" si="1316">IF(P4194="C66 SERVICE","",SUMIFS(AC:AC,F:F,F4194,G:G,G4194,E:E,E4194))</f>
        <v>0</v>
      </c>
      <c r="AK4194" s="201" t="str">
        <f t="shared" ref="AK4194:AK4257" si="1317">IF(AJ4194&gt;0,AJ4194/AI4194,"")</f>
        <v/>
      </c>
      <c r="AL4194" s="24"/>
      <c r="AM4194" s="24"/>
      <c r="AN4194" s="24"/>
      <c r="AO4194" s="24"/>
      <c r="AP4194" s="165" t="str">
        <f t="shared" ref="AP4194:AP4257" si="1318">IF(F4194="","",F4194&amp;G4194)</f>
        <v/>
      </c>
      <c r="AQ4194" s="203" t="str">
        <f t="shared" ref="AQ4194:AQ4257" si="1319">IF(W4194="","",F4194&amp;G4194&amp;W4194)</f>
        <v/>
      </c>
      <c r="AR4194" s="206">
        <f t="shared" ref="AR4194:AR4257" si="1320">IFERROR(IF(AND(M4194="YAMAHA", R4194="C28"), "YAMAHA_Non_Mounter", IF(AND(M4194="YAMAHA", R4194="C49"), "YAMAHA_Mounter", M4194)),"")</f>
        <v>0</v>
      </c>
      <c r="AS4194" s="22" t="str">
        <f t="shared" ref="AS4194:AS4257" si="1321">IFERROR(IF(OR(G4194="TBA", G4194=""), "", DATEDIF(DATE(B4194, C4194, 1), DATE(F4194, G4194, 1), "M")),"")</f>
        <v/>
      </c>
      <c r="AT4194" s="24" t="str">
        <f t="shared" ref="AT4194:AT4257" si="1322">IF(ISNUMBER(AS4194), IF(AS4194&gt;=0, IF(AS4194&lt;=3, "0-3 months", IF(AS4194&lt;=6, "4-6 months", "&gt; 6 months"))), "")</f>
        <v/>
      </c>
      <c r="AU4194" s="22" t="s">
        <v>3240</v>
      </c>
    </row>
    <row r="4195" spans="1:47">
      <c r="A4195" s="246" t="str">
        <f t="shared" si="1310"/>
        <v/>
      </c>
      <c r="B4195" s="23"/>
      <c r="C4195" s="23"/>
      <c r="D4195" s="202" t="str">
        <f t="shared" si="1311"/>
        <v/>
      </c>
      <c r="E4195" s="33" t="str">
        <f t="shared" si="1305"/>
        <v/>
      </c>
      <c r="F4195" s="23"/>
      <c r="G4195" s="23"/>
      <c r="H4195" s="29"/>
      <c r="I4195" s="204" t="str">
        <f t="shared" si="1308"/>
        <v/>
      </c>
      <c r="J4195" s="188"/>
      <c r="K4195" s="29"/>
      <c r="L4195" s="24"/>
      <c r="M4195" s="22"/>
      <c r="N4195" s="22"/>
      <c r="O4195" s="22"/>
      <c r="P4195" s="202" t="str">
        <f t="shared" si="1309"/>
        <v/>
      </c>
      <c r="Q4195" s="22"/>
      <c r="R4195" s="22"/>
      <c r="S4195" s="22"/>
      <c r="T4195" s="22"/>
      <c r="U4195" s="22"/>
      <c r="V4195" s="22"/>
      <c r="W4195" s="22"/>
      <c r="X4195" s="104"/>
      <c r="Y4195" s="195" t="str">
        <f t="shared" si="1306"/>
        <v/>
      </c>
      <c r="Z4195" s="196" t="str">
        <f t="shared" si="1307"/>
        <v/>
      </c>
      <c r="AA4195" s="22"/>
      <c r="AB4195" s="197" t="str">
        <f t="shared" si="1312"/>
        <v/>
      </c>
      <c r="AC4195" s="198" t="str">
        <f t="shared" si="1313"/>
        <v/>
      </c>
      <c r="AD4195" s="162"/>
      <c r="AE4195" s="199" t="str">
        <f t="shared" si="1314"/>
        <v/>
      </c>
      <c r="AF4195" s="199" t="str">
        <f>IF(AND(COUNTIFS($J$18:J4195,J4195)=1,AE4195=1),1,"")</f>
        <v/>
      </c>
      <c r="AG4195" s="199" t="str">
        <f>IF(C4195="","",IF(AND(COUNTIFS($J$18:J4195,J4195)=1,C4195&lt;&gt;""),1,""))</f>
        <v/>
      </c>
      <c r="AH4195" s="199" t="str">
        <f>IF(G4195="","",IF(AND(COUNTIFS($J$18:J4195,J4195)=1,G4195&lt;&gt;""),1,""))</f>
        <v/>
      </c>
      <c r="AI4195" s="200">
        <f t="shared" si="1315"/>
        <v>0</v>
      </c>
      <c r="AJ4195" s="200">
        <f t="shared" si="1316"/>
        <v>0</v>
      </c>
      <c r="AK4195" s="201" t="str">
        <f t="shared" si="1317"/>
        <v/>
      </c>
      <c r="AL4195" s="24"/>
      <c r="AM4195" s="24"/>
      <c r="AN4195" s="24"/>
      <c r="AO4195" s="24"/>
      <c r="AP4195" s="165" t="str">
        <f t="shared" si="1318"/>
        <v/>
      </c>
      <c r="AQ4195" s="203" t="str">
        <f t="shared" si="1319"/>
        <v/>
      </c>
      <c r="AR4195" s="206">
        <f t="shared" si="1320"/>
        <v>0</v>
      </c>
      <c r="AS4195" s="22" t="str">
        <f t="shared" si="1321"/>
        <v/>
      </c>
      <c r="AT4195" s="24" t="str">
        <f t="shared" si="1322"/>
        <v/>
      </c>
      <c r="AU4195" s="22" t="s">
        <v>3240</v>
      </c>
    </row>
    <row r="4196" spans="1:47">
      <c r="A4196" s="246" t="str">
        <f t="shared" si="1310"/>
        <v/>
      </c>
      <c r="B4196" s="23"/>
      <c r="C4196" s="23"/>
      <c r="D4196" s="202" t="str">
        <f t="shared" si="1311"/>
        <v/>
      </c>
      <c r="E4196" s="33" t="str">
        <f t="shared" si="1305"/>
        <v/>
      </c>
      <c r="F4196" s="23"/>
      <c r="G4196" s="23"/>
      <c r="H4196" s="29"/>
      <c r="I4196" s="204" t="str">
        <f t="shared" si="1308"/>
        <v/>
      </c>
      <c r="J4196" s="188"/>
      <c r="K4196" s="29"/>
      <c r="L4196" s="24"/>
      <c r="M4196" s="22"/>
      <c r="N4196" s="22"/>
      <c r="O4196" s="22"/>
      <c r="P4196" s="202" t="str">
        <f t="shared" si="1309"/>
        <v/>
      </c>
      <c r="Q4196" s="22"/>
      <c r="R4196" s="22"/>
      <c r="S4196" s="22"/>
      <c r="T4196" s="22"/>
      <c r="U4196" s="22"/>
      <c r="V4196" s="22"/>
      <c r="W4196" s="22"/>
      <c r="X4196" s="104"/>
      <c r="Y4196" s="195" t="str">
        <f t="shared" si="1306"/>
        <v/>
      </c>
      <c r="Z4196" s="196" t="str">
        <f t="shared" si="1307"/>
        <v/>
      </c>
      <c r="AA4196" s="22"/>
      <c r="AB4196" s="197" t="str">
        <f t="shared" si="1312"/>
        <v/>
      </c>
      <c r="AC4196" s="198" t="str">
        <f t="shared" si="1313"/>
        <v/>
      </c>
      <c r="AD4196" s="162"/>
      <c r="AE4196" s="199" t="str">
        <f t="shared" si="1314"/>
        <v/>
      </c>
      <c r="AF4196" s="199" t="str">
        <f>IF(AND(COUNTIFS($J$18:J4196,J4196)=1,AE4196=1),1,"")</f>
        <v/>
      </c>
      <c r="AG4196" s="199" t="str">
        <f>IF(C4196="","",IF(AND(COUNTIFS($J$18:J4196,J4196)=1,C4196&lt;&gt;""),1,""))</f>
        <v/>
      </c>
      <c r="AH4196" s="199" t="str">
        <f>IF(G4196="","",IF(AND(COUNTIFS($J$18:J4196,J4196)=1,G4196&lt;&gt;""),1,""))</f>
        <v/>
      </c>
      <c r="AI4196" s="200">
        <f t="shared" si="1315"/>
        <v>0</v>
      </c>
      <c r="AJ4196" s="200">
        <f t="shared" si="1316"/>
        <v>0</v>
      </c>
      <c r="AK4196" s="201" t="str">
        <f t="shared" si="1317"/>
        <v/>
      </c>
      <c r="AL4196" s="24"/>
      <c r="AM4196" s="24"/>
      <c r="AN4196" s="24"/>
      <c r="AO4196" s="24"/>
      <c r="AP4196" s="165" t="str">
        <f t="shared" si="1318"/>
        <v/>
      </c>
      <c r="AQ4196" s="203" t="str">
        <f t="shared" si="1319"/>
        <v/>
      </c>
      <c r="AR4196" s="206">
        <f t="shared" si="1320"/>
        <v>0</v>
      </c>
      <c r="AS4196" s="22" t="str">
        <f t="shared" si="1321"/>
        <v/>
      </c>
      <c r="AT4196" s="24" t="str">
        <f t="shared" si="1322"/>
        <v/>
      </c>
      <c r="AU4196" s="22" t="s">
        <v>3240</v>
      </c>
    </row>
    <row r="4197" spans="1:47">
      <c r="A4197" s="246" t="str">
        <f t="shared" si="1310"/>
        <v/>
      </c>
      <c r="B4197" s="23"/>
      <c r="C4197" s="23"/>
      <c r="D4197" s="202" t="str">
        <f t="shared" si="1311"/>
        <v/>
      </c>
      <c r="E4197" s="33" t="str">
        <f t="shared" si="1305"/>
        <v/>
      </c>
      <c r="F4197" s="23"/>
      <c r="G4197" s="23"/>
      <c r="H4197" s="29"/>
      <c r="I4197" s="204" t="str">
        <f t="shared" si="1308"/>
        <v/>
      </c>
      <c r="J4197" s="188"/>
      <c r="K4197" s="29"/>
      <c r="L4197" s="24"/>
      <c r="M4197" s="22"/>
      <c r="N4197" s="22"/>
      <c r="O4197" s="22"/>
      <c r="P4197" s="202" t="str">
        <f t="shared" si="1309"/>
        <v/>
      </c>
      <c r="Q4197" s="22"/>
      <c r="R4197" s="22"/>
      <c r="S4197" s="22"/>
      <c r="T4197" s="22"/>
      <c r="U4197" s="22"/>
      <c r="V4197" s="22"/>
      <c r="W4197" s="22"/>
      <c r="X4197" s="104"/>
      <c r="Y4197" s="195" t="str">
        <f t="shared" si="1306"/>
        <v/>
      </c>
      <c r="Z4197" s="196" t="str">
        <f t="shared" si="1307"/>
        <v/>
      </c>
      <c r="AA4197" s="22"/>
      <c r="AB4197" s="197" t="str">
        <f t="shared" si="1312"/>
        <v/>
      </c>
      <c r="AC4197" s="198" t="str">
        <f t="shared" si="1313"/>
        <v/>
      </c>
      <c r="AD4197" s="162"/>
      <c r="AE4197" s="199" t="str">
        <f t="shared" si="1314"/>
        <v/>
      </c>
      <c r="AF4197" s="199" t="str">
        <f>IF(AND(COUNTIFS($J$18:J4197,J4197)=1,AE4197=1),1,"")</f>
        <v/>
      </c>
      <c r="AG4197" s="199" t="str">
        <f>IF(C4197="","",IF(AND(COUNTIFS($J$18:J4197,J4197)=1,C4197&lt;&gt;""),1,""))</f>
        <v/>
      </c>
      <c r="AH4197" s="199" t="str">
        <f>IF(G4197="","",IF(AND(COUNTIFS($J$18:J4197,J4197)=1,G4197&lt;&gt;""),1,""))</f>
        <v/>
      </c>
      <c r="AI4197" s="200">
        <f t="shared" si="1315"/>
        <v>0</v>
      </c>
      <c r="AJ4197" s="200">
        <f t="shared" si="1316"/>
        <v>0</v>
      </c>
      <c r="AK4197" s="201" t="str">
        <f t="shared" si="1317"/>
        <v/>
      </c>
      <c r="AL4197" s="24"/>
      <c r="AM4197" s="24"/>
      <c r="AN4197" s="24"/>
      <c r="AO4197" s="24"/>
      <c r="AP4197" s="165" t="str">
        <f t="shared" si="1318"/>
        <v/>
      </c>
      <c r="AQ4197" s="203" t="str">
        <f t="shared" si="1319"/>
        <v/>
      </c>
      <c r="AR4197" s="206">
        <f t="shared" si="1320"/>
        <v>0</v>
      </c>
      <c r="AS4197" s="22" t="str">
        <f t="shared" si="1321"/>
        <v/>
      </c>
      <c r="AT4197" s="24" t="str">
        <f t="shared" si="1322"/>
        <v/>
      </c>
      <c r="AU4197" s="22" t="s">
        <v>3240</v>
      </c>
    </row>
    <row r="4198" spans="1:47">
      <c r="A4198" s="246" t="str">
        <f t="shared" si="1310"/>
        <v/>
      </c>
      <c r="B4198" s="23"/>
      <c r="C4198" s="23"/>
      <c r="D4198" s="202" t="str">
        <f t="shared" si="1311"/>
        <v/>
      </c>
      <c r="E4198" s="33" t="str">
        <f t="shared" si="1305"/>
        <v/>
      </c>
      <c r="F4198" s="23"/>
      <c r="G4198" s="23"/>
      <c r="H4198" s="29"/>
      <c r="I4198" s="204" t="str">
        <f t="shared" si="1308"/>
        <v/>
      </c>
      <c r="J4198" s="188"/>
      <c r="K4198" s="29"/>
      <c r="L4198" s="24"/>
      <c r="M4198" s="22"/>
      <c r="N4198" s="22"/>
      <c r="O4198" s="22"/>
      <c r="P4198" s="202" t="str">
        <f t="shared" si="1309"/>
        <v/>
      </c>
      <c r="Q4198" s="22"/>
      <c r="R4198" s="22"/>
      <c r="S4198" s="22"/>
      <c r="T4198" s="22"/>
      <c r="U4198" s="22"/>
      <c r="V4198" s="22"/>
      <c r="W4198" s="22"/>
      <c r="X4198" s="104"/>
      <c r="Y4198" s="195" t="str">
        <f t="shared" si="1306"/>
        <v/>
      </c>
      <c r="Z4198" s="196" t="str">
        <f t="shared" si="1307"/>
        <v/>
      </c>
      <c r="AA4198" s="22"/>
      <c r="AB4198" s="197" t="str">
        <f t="shared" si="1312"/>
        <v/>
      </c>
      <c r="AC4198" s="198" t="str">
        <f t="shared" si="1313"/>
        <v/>
      </c>
      <c r="AD4198" s="162"/>
      <c r="AE4198" s="199" t="str">
        <f t="shared" si="1314"/>
        <v/>
      </c>
      <c r="AF4198" s="199" t="str">
        <f>IF(AND(COUNTIFS($J$18:J4198,J4198)=1,AE4198=1),1,"")</f>
        <v/>
      </c>
      <c r="AG4198" s="199" t="str">
        <f>IF(C4198="","",IF(AND(COUNTIFS($J$18:J4198,J4198)=1,C4198&lt;&gt;""),1,""))</f>
        <v/>
      </c>
      <c r="AH4198" s="199" t="str">
        <f>IF(G4198="","",IF(AND(COUNTIFS($J$18:J4198,J4198)=1,G4198&lt;&gt;""),1,""))</f>
        <v/>
      </c>
      <c r="AI4198" s="200">
        <f t="shared" si="1315"/>
        <v>0</v>
      </c>
      <c r="AJ4198" s="200">
        <f t="shared" si="1316"/>
        <v>0</v>
      </c>
      <c r="AK4198" s="201" t="str">
        <f t="shared" si="1317"/>
        <v/>
      </c>
      <c r="AL4198" s="24"/>
      <c r="AM4198" s="24"/>
      <c r="AN4198" s="24"/>
      <c r="AO4198" s="24"/>
      <c r="AP4198" s="165" t="str">
        <f t="shared" si="1318"/>
        <v/>
      </c>
      <c r="AQ4198" s="203" t="str">
        <f t="shared" si="1319"/>
        <v/>
      </c>
      <c r="AR4198" s="206">
        <f t="shared" si="1320"/>
        <v>0</v>
      </c>
      <c r="AS4198" s="22" t="str">
        <f t="shared" si="1321"/>
        <v/>
      </c>
      <c r="AT4198" s="24" t="str">
        <f t="shared" si="1322"/>
        <v/>
      </c>
      <c r="AU4198" s="22" t="s">
        <v>3240</v>
      </c>
    </row>
    <row r="4199" spans="1:47">
      <c r="A4199" s="246" t="str">
        <f t="shared" si="1310"/>
        <v/>
      </c>
      <c r="B4199" s="23"/>
      <c r="C4199" s="23"/>
      <c r="D4199" s="202" t="str">
        <f t="shared" si="1311"/>
        <v/>
      </c>
      <c r="E4199" s="33" t="str">
        <f t="shared" si="1305"/>
        <v/>
      </c>
      <c r="F4199" s="23"/>
      <c r="G4199" s="23"/>
      <c r="H4199" s="29"/>
      <c r="I4199" s="204" t="str">
        <f t="shared" si="1308"/>
        <v/>
      </c>
      <c r="J4199" s="188"/>
      <c r="K4199" s="29"/>
      <c r="L4199" s="24"/>
      <c r="M4199" s="22"/>
      <c r="N4199" s="22"/>
      <c r="O4199" s="22"/>
      <c r="P4199" s="202" t="str">
        <f t="shared" si="1309"/>
        <v/>
      </c>
      <c r="Q4199" s="22"/>
      <c r="R4199" s="22"/>
      <c r="S4199" s="22"/>
      <c r="T4199" s="22"/>
      <c r="U4199" s="22"/>
      <c r="V4199" s="22"/>
      <c r="W4199" s="22"/>
      <c r="X4199" s="104"/>
      <c r="Y4199" s="195" t="str">
        <f t="shared" si="1306"/>
        <v/>
      </c>
      <c r="Z4199" s="196" t="str">
        <f t="shared" si="1307"/>
        <v/>
      </c>
      <c r="AA4199" s="22"/>
      <c r="AB4199" s="197" t="str">
        <f t="shared" si="1312"/>
        <v/>
      </c>
      <c r="AC4199" s="198" t="str">
        <f t="shared" si="1313"/>
        <v/>
      </c>
      <c r="AD4199" s="162"/>
      <c r="AE4199" s="199" t="str">
        <f t="shared" si="1314"/>
        <v/>
      </c>
      <c r="AF4199" s="199" t="str">
        <f>IF(AND(COUNTIFS($J$18:J4199,J4199)=1,AE4199=1),1,"")</f>
        <v/>
      </c>
      <c r="AG4199" s="199" t="str">
        <f>IF(C4199="","",IF(AND(COUNTIFS($J$18:J4199,J4199)=1,C4199&lt;&gt;""),1,""))</f>
        <v/>
      </c>
      <c r="AH4199" s="199" t="str">
        <f>IF(G4199="","",IF(AND(COUNTIFS($J$18:J4199,J4199)=1,G4199&lt;&gt;""),1,""))</f>
        <v/>
      </c>
      <c r="AI4199" s="200">
        <f t="shared" si="1315"/>
        <v>0</v>
      </c>
      <c r="AJ4199" s="200">
        <f t="shared" si="1316"/>
        <v>0</v>
      </c>
      <c r="AK4199" s="201" t="str">
        <f t="shared" si="1317"/>
        <v/>
      </c>
      <c r="AL4199" s="24"/>
      <c r="AM4199" s="24"/>
      <c r="AN4199" s="24"/>
      <c r="AO4199" s="24"/>
      <c r="AP4199" s="165" t="str">
        <f t="shared" si="1318"/>
        <v/>
      </c>
      <c r="AQ4199" s="203" t="str">
        <f t="shared" si="1319"/>
        <v/>
      </c>
      <c r="AR4199" s="206">
        <f t="shared" si="1320"/>
        <v>0</v>
      </c>
      <c r="AS4199" s="22" t="str">
        <f t="shared" si="1321"/>
        <v/>
      </c>
      <c r="AT4199" s="24" t="str">
        <f t="shared" si="1322"/>
        <v/>
      </c>
      <c r="AU4199" s="22" t="s">
        <v>3240</v>
      </c>
    </row>
    <row r="4200" spans="1:47">
      <c r="A4200" s="246" t="str">
        <f t="shared" si="1310"/>
        <v/>
      </c>
      <c r="B4200" s="23"/>
      <c r="C4200" s="23"/>
      <c r="D4200" s="202" t="str">
        <f t="shared" si="1311"/>
        <v/>
      </c>
      <c r="E4200" s="33" t="str">
        <f t="shared" si="1305"/>
        <v/>
      </c>
      <c r="F4200" s="23"/>
      <c r="G4200" s="23"/>
      <c r="H4200" s="29"/>
      <c r="I4200" s="204" t="str">
        <f t="shared" si="1308"/>
        <v/>
      </c>
      <c r="J4200" s="188"/>
      <c r="K4200" s="29"/>
      <c r="L4200" s="24"/>
      <c r="M4200" s="22"/>
      <c r="N4200" s="22"/>
      <c r="O4200" s="22"/>
      <c r="P4200" s="202" t="str">
        <f t="shared" si="1309"/>
        <v/>
      </c>
      <c r="Q4200" s="22"/>
      <c r="R4200" s="22"/>
      <c r="S4200" s="22"/>
      <c r="T4200" s="22"/>
      <c r="U4200" s="22"/>
      <c r="V4200" s="22"/>
      <c r="W4200" s="22"/>
      <c r="X4200" s="104"/>
      <c r="Y4200" s="195" t="str">
        <f t="shared" si="1306"/>
        <v/>
      </c>
      <c r="Z4200" s="196" t="str">
        <f t="shared" si="1307"/>
        <v/>
      </c>
      <c r="AA4200" s="22"/>
      <c r="AB4200" s="197" t="str">
        <f t="shared" si="1312"/>
        <v/>
      </c>
      <c r="AC4200" s="198" t="str">
        <f t="shared" si="1313"/>
        <v/>
      </c>
      <c r="AD4200" s="162"/>
      <c r="AE4200" s="199" t="str">
        <f t="shared" si="1314"/>
        <v/>
      </c>
      <c r="AF4200" s="199" t="str">
        <f>IF(AND(COUNTIFS($J$18:J4200,J4200)=1,AE4200=1),1,"")</f>
        <v/>
      </c>
      <c r="AG4200" s="199" t="str">
        <f>IF(C4200="","",IF(AND(COUNTIFS($J$18:J4200,J4200)=1,C4200&lt;&gt;""),1,""))</f>
        <v/>
      </c>
      <c r="AH4200" s="199" t="str">
        <f>IF(G4200="","",IF(AND(COUNTIFS($J$18:J4200,J4200)=1,G4200&lt;&gt;""),1,""))</f>
        <v/>
      </c>
      <c r="AI4200" s="200">
        <f t="shared" si="1315"/>
        <v>0</v>
      </c>
      <c r="AJ4200" s="200">
        <f t="shared" si="1316"/>
        <v>0</v>
      </c>
      <c r="AK4200" s="201" t="str">
        <f t="shared" si="1317"/>
        <v/>
      </c>
      <c r="AL4200" s="24"/>
      <c r="AM4200" s="24"/>
      <c r="AN4200" s="24"/>
      <c r="AO4200" s="24"/>
      <c r="AP4200" s="165" t="str">
        <f t="shared" si="1318"/>
        <v/>
      </c>
      <c r="AQ4200" s="203" t="str">
        <f t="shared" si="1319"/>
        <v/>
      </c>
      <c r="AR4200" s="206">
        <f t="shared" si="1320"/>
        <v>0</v>
      </c>
      <c r="AS4200" s="22" t="str">
        <f t="shared" si="1321"/>
        <v/>
      </c>
      <c r="AT4200" s="24" t="str">
        <f t="shared" si="1322"/>
        <v/>
      </c>
      <c r="AU4200" s="22" t="s">
        <v>3240</v>
      </c>
    </row>
    <row r="4201" spans="1:47">
      <c r="A4201" s="246" t="str">
        <f t="shared" si="1310"/>
        <v/>
      </c>
      <c r="B4201" s="23"/>
      <c r="C4201" s="23"/>
      <c r="D4201" s="202" t="str">
        <f t="shared" si="1311"/>
        <v/>
      </c>
      <c r="E4201" s="33" t="str">
        <f t="shared" si="1305"/>
        <v/>
      </c>
      <c r="F4201" s="23"/>
      <c r="G4201" s="23"/>
      <c r="H4201" s="29"/>
      <c r="I4201" s="204" t="str">
        <f t="shared" si="1308"/>
        <v/>
      </c>
      <c r="J4201" s="188"/>
      <c r="K4201" s="29"/>
      <c r="L4201" s="24"/>
      <c r="M4201" s="22"/>
      <c r="N4201" s="22"/>
      <c r="O4201" s="22"/>
      <c r="P4201" s="202" t="str">
        <f t="shared" si="1309"/>
        <v/>
      </c>
      <c r="Q4201" s="22"/>
      <c r="R4201" s="22"/>
      <c r="S4201" s="22"/>
      <c r="T4201" s="22"/>
      <c r="U4201" s="22"/>
      <c r="V4201" s="22"/>
      <c r="W4201" s="22"/>
      <c r="X4201" s="104"/>
      <c r="Y4201" s="195" t="str">
        <f t="shared" si="1306"/>
        <v/>
      </c>
      <c r="Z4201" s="196" t="str">
        <f t="shared" si="1307"/>
        <v/>
      </c>
      <c r="AA4201" s="22"/>
      <c r="AB4201" s="197" t="str">
        <f t="shared" si="1312"/>
        <v/>
      </c>
      <c r="AC4201" s="198" t="str">
        <f t="shared" si="1313"/>
        <v/>
      </c>
      <c r="AD4201" s="162"/>
      <c r="AE4201" s="199" t="str">
        <f t="shared" si="1314"/>
        <v/>
      </c>
      <c r="AF4201" s="199" t="str">
        <f>IF(AND(COUNTIFS($J$18:J4201,J4201)=1,AE4201=1),1,"")</f>
        <v/>
      </c>
      <c r="AG4201" s="199" t="str">
        <f>IF(C4201="","",IF(AND(COUNTIFS($J$18:J4201,J4201)=1,C4201&lt;&gt;""),1,""))</f>
        <v/>
      </c>
      <c r="AH4201" s="199" t="str">
        <f>IF(G4201="","",IF(AND(COUNTIFS($J$18:J4201,J4201)=1,G4201&lt;&gt;""),1,""))</f>
        <v/>
      </c>
      <c r="AI4201" s="200">
        <f t="shared" si="1315"/>
        <v>0</v>
      </c>
      <c r="AJ4201" s="200">
        <f t="shared" si="1316"/>
        <v>0</v>
      </c>
      <c r="AK4201" s="201" t="str">
        <f t="shared" si="1317"/>
        <v/>
      </c>
      <c r="AL4201" s="24"/>
      <c r="AM4201" s="24"/>
      <c r="AN4201" s="24"/>
      <c r="AO4201" s="24"/>
      <c r="AP4201" s="165" t="str">
        <f t="shared" si="1318"/>
        <v/>
      </c>
      <c r="AQ4201" s="203" t="str">
        <f t="shared" si="1319"/>
        <v/>
      </c>
      <c r="AR4201" s="206">
        <f t="shared" si="1320"/>
        <v>0</v>
      </c>
      <c r="AS4201" s="22" t="str">
        <f t="shared" si="1321"/>
        <v/>
      </c>
      <c r="AT4201" s="24" t="str">
        <f t="shared" si="1322"/>
        <v/>
      </c>
      <c r="AU4201" s="22" t="s">
        <v>3240</v>
      </c>
    </row>
    <row r="4202" spans="1:47">
      <c r="A4202" s="246" t="str">
        <f t="shared" si="1310"/>
        <v/>
      </c>
      <c r="B4202" s="23"/>
      <c r="C4202" s="23"/>
      <c r="D4202" s="202" t="str">
        <f t="shared" si="1311"/>
        <v/>
      </c>
      <c r="E4202" s="33" t="str">
        <f t="shared" si="1305"/>
        <v/>
      </c>
      <c r="F4202" s="23"/>
      <c r="G4202" s="23"/>
      <c r="H4202" s="29"/>
      <c r="I4202" s="204" t="str">
        <f t="shared" si="1308"/>
        <v/>
      </c>
      <c r="J4202" s="188"/>
      <c r="K4202" s="29"/>
      <c r="L4202" s="24"/>
      <c r="M4202" s="22"/>
      <c r="N4202" s="22"/>
      <c r="O4202" s="22"/>
      <c r="P4202" s="202" t="str">
        <f t="shared" si="1309"/>
        <v/>
      </c>
      <c r="Q4202" s="22"/>
      <c r="R4202" s="22"/>
      <c r="S4202" s="22"/>
      <c r="T4202" s="22"/>
      <c r="U4202" s="22"/>
      <c r="V4202" s="22"/>
      <c r="W4202" s="22"/>
      <c r="X4202" s="104"/>
      <c r="Y4202" s="195" t="str">
        <f t="shared" si="1306"/>
        <v/>
      </c>
      <c r="Z4202" s="196" t="str">
        <f t="shared" si="1307"/>
        <v/>
      </c>
      <c r="AA4202" s="22"/>
      <c r="AB4202" s="197" t="str">
        <f t="shared" si="1312"/>
        <v/>
      </c>
      <c r="AC4202" s="198" t="str">
        <f t="shared" si="1313"/>
        <v/>
      </c>
      <c r="AD4202" s="162"/>
      <c r="AE4202" s="199" t="str">
        <f t="shared" si="1314"/>
        <v/>
      </c>
      <c r="AF4202" s="199" t="str">
        <f>IF(AND(COUNTIFS($J$18:J4202,J4202)=1,AE4202=1),1,"")</f>
        <v/>
      </c>
      <c r="AG4202" s="199" t="str">
        <f>IF(C4202="","",IF(AND(COUNTIFS($J$18:J4202,J4202)=1,C4202&lt;&gt;""),1,""))</f>
        <v/>
      </c>
      <c r="AH4202" s="199" t="str">
        <f>IF(G4202="","",IF(AND(COUNTIFS($J$18:J4202,J4202)=1,G4202&lt;&gt;""),1,""))</f>
        <v/>
      </c>
      <c r="AI4202" s="200">
        <f t="shared" si="1315"/>
        <v>0</v>
      </c>
      <c r="AJ4202" s="200">
        <f t="shared" si="1316"/>
        <v>0</v>
      </c>
      <c r="AK4202" s="201" t="str">
        <f t="shared" si="1317"/>
        <v/>
      </c>
      <c r="AL4202" s="24"/>
      <c r="AM4202" s="24"/>
      <c r="AN4202" s="24"/>
      <c r="AO4202" s="24"/>
      <c r="AP4202" s="165" t="str">
        <f t="shared" si="1318"/>
        <v/>
      </c>
      <c r="AQ4202" s="203" t="str">
        <f t="shared" si="1319"/>
        <v/>
      </c>
      <c r="AR4202" s="206">
        <f t="shared" si="1320"/>
        <v>0</v>
      </c>
      <c r="AS4202" s="22" t="str">
        <f t="shared" si="1321"/>
        <v/>
      </c>
      <c r="AT4202" s="24" t="str">
        <f t="shared" si="1322"/>
        <v/>
      </c>
      <c r="AU4202" s="22" t="s">
        <v>3240</v>
      </c>
    </row>
    <row r="4203" spans="1:47">
      <c r="A4203" s="246" t="str">
        <f t="shared" si="1310"/>
        <v/>
      </c>
      <c r="B4203" s="23"/>
      <c r="C4203" s="23"/>
      <c r="D4203" s="202" t="str">
        <f t="shared" si="1311"/>
        <v/>
      </c>
      <c r="E4203" s="33" t="str">
        <f t="shared" si="1305"/>
        <v/>
      </c>
      <c r="F4203" s="23"/>
      <c r="G4203" s="23"/>
      <c r="H4203" s="29"/>
      <c r="I4203" s="204" t="str">
        <f t="shared" si="1308"/>
        <v/>
      </c>
      <c r="J4203" s="188"/>
      <c r="K4203" s="29"/>
      <c r="L4203" s="24"/>
      <c r="M4203" s="22"/>
      <c r="N4203" s="22"/>
      <c r="O4203" s="22"/>
      <c r="P4203" s="202" t="str">
        <f t="shared" si="1309"/>
        <v/>
      </c>
      <c r="Q4203" s="22"/>
      <c r="R4203" s="22"/>
      <c r="S4203" s="22"/>
      <c r="T4203" s="22"/>
      <c r="U4203" s="22"/>
      <c r="V4203" s="22"/>
      <c r="W4203" s="22"/>
      <c r="X4203" s="104"/>
      <c r="Y4203" s="195" t="str">
        <f t="shared" si="1306"/>
        <v/>
      </c>
      <c r="Z4203" s="196" t="str">
        <f t="shared" si="1307"/>
        <v/>
      </c>
      <c r="AA4203" s="22"/>
      <c r="AB4203" s="197" t="str">
        <f t="shared" si="1312"/>
        <v/>
      </c>
      <c r="AC4203" s="198" t="str">
        <f t="shared" si="1313"/>
        <v/>
      </c>
      <c r="AD4203" s="162"/>
      <c r="AE4203" s="199" t="str">
        <f t="shared" si="1314"/>
        <v/>
      </c>
      <c r="AF4203" s="199" t="str">
        <f>IF(AND(COUNTIFS($J$18:J4203,J4203)=1,AE4203=1),1,"")</f>
        <v/>
      </c>
      <c r="AG4203" s="199" t="str">
        <f>IF(C4203="","",IF(AND(COUNTIFS($J$18:J4203,J4203)=1,C4203&lt;&gt;""),1,""))</f>
        <v/>
      </c>
      <c r="AH4203" s="199" t="str">
        <f>IF(G4203="","",IF(AND(COUNTIFS($J$18:J4203,J4203)=1,G4203&lt;&gt;""),1,""))</f>
        <v/>
      </c>
      <c r="AI4203" s="200">
        <f t="shared" si="1315"/>
        <v>0</v>
      </c>
      <c r="AJ4203" s="200">
        <f t="shared" si="1316"/>
        <v>0</v>
      </c>
      <c r="AK4203" s="201" t="str">
        <f t="shared" si="1317"/>
        <v/>
      </c>
      <c r="AL4203" s="24"/>
      <c r="AM4203" s="24"/>
      <c r="AN4203" s="24"/>
      <c r="AO4203" s="24"/>
      <c r="AP4203" s="165" t="str">
        <f t="shared" si="1318"/>
        <v/>
      </c>
      <c r="AQ4203" s="203" t="str">
        <f t="shared" si="1319"/>
        <v/>
      </c>
      <c r="AR4203" s="206">
        <f t="shared" si="1320"/>
        <v>0</v>
      </c>
      <c r="AS4203" s="22" t="str">
        <f t="shared" si="1321"/>
        <v/>
      </c>
      <c r="AT4203" s="24" t="str">
        <f t="shared" si="1322"/>
        <v/>
      </c>
      <c r="AU4203" s="22" t="s">
        <v>3240</v>
      </c>
    </row>
    <row r="4204" spans="1:47">
      <c r="A4204" s="246" t="str">
        <f t="shared" si="1310"/>
        <v/>
      </c>
      <c r="B4204" s="23"/>
      <c r="C4204" s="23"/>
      <c r="D4204" s="202" t="str">
        <f t="shared" si="1311"/>
        <v/>
      </c>
      <c r="E4204" s="33" t="str">
        <f t="shared" si="1305"/>
        <v/>
      </c>
      <c r="F4204" s="23"/>
      <c r="G4204" s="23"/>
      <c r="H4204" s="29"/>
      <c r="I4204" s="204" t="str">
        <f t="shared" si="1308"/>
        <v/>
      </c>
      <c r="J4204" s="188"/>
      <c r="K4204" s="29"/>
      <c r="L4204" s="24"/>
      <c r="M4204" s="22"/>
      <c r="N4204" s="22"/>
      <c r="O4204" s="22"/>
      <c r="P4204" s="202" t="str">
        <f t="shared" si="1309"/>
        <v/>
      </c>
      <c r="Q4204" s="22"/>
      <c r="R4204" s="22"/>
      <c r="S4204" s="22"/>
      <c r="T4204" s="22"/>
      <c r="U4204" s="22"/>
      <c r="V4204" s="22"/>
      <c r="W4204" s="22"/>
      <c r="X4204" s="104"/>
      <c r="Y4204" s="195" t="str">
        <f t="shared" si="1306"/>
        <v/>
      </c>
      <c r="Z4204" s="196" t="str">
        <f t="shared" si="1307"/>
        <v/>
      </c>
      <c r="AA4204" s="22"/>
      <c r="AB4204" s="197" t="str">
        <f t="shared" si="1312"/>
        <v/>
      </c>
      <c r="AC4204" s="198" t="str">
        <f t="shared" si="1313"/>
        <v/>
      </c>
      <c r="AD4204" s="162"/>
      <c r="AE4204" s="199" t="str">
        <f t="shared" si="1314"/>
        <v/>
      </c>
      <c r="AF4204" s="199" t="str">
        <f>IF(AND(COUNTIFS($J$18:J4204,J4204)=1,AE4204=1),1,"")</f>
        <v/>
      </c>
      <c r="AG4204" s="199" t="str">
        <f>IF(C4204="","",IF(AND(COUNTIFS($J$18:J4204,J4204)=1,C4204&lt;&gt;""),1,""))</f>
        <v/>
      </c>
      <c r="AH4204" s="199" t="str">
        <f>IF(G4204="","",IF(AND(COUNTIFS($J$18:J4204,J4204)=1,G4204&lt;&gt;""),1,""))</f>
        <v/>
      </c>
      <c r="AI4204" s="200">
        <f t="shared" si="1315"/>
        <v>0</v>
      </c>
      <c r="AJ4204" s="200">
        <f t="shared" si="1316"/>
        <v>0</v>
      </c>
      <c r="AK4204" s="201" t="str">
        <f t="shared" si="1317"/>
        <v/>
      </c>
      <c r="AL4204" s="24"/>
      <c r="AM4204" s="24"/>
      <c r="AN4204" s="24"/>
      <c r="AO4204" s="24"/>
      <c r="AP4204" s="165" t="str">
        <f t="shared" si="1318"/>
        <v/>
      </c>
      <c r="AQ4204" s="203" t="str">
        <f t="shared" si="1319"/>
        <v/>
      </c>
      <c r="AR4204" s="206">
        <f t="shared" si="1320"/>
        <v>0</v>
      </c>
      <c r="AS4204" s="22" t="str">
        <f t="shared" si="1321"/>
        <v/>
      </c>
      <c r="AT4204" s="24" t="str">
        <f t="shared" si="1322"/>
        <v/>
      </c>
      <c r="AU4204" s="22" t="s">
        <v>3240</v>
      </c>
    </row>
    <row r="4205" spans="1:47">
      <c r="A4205" s="246" t="str">
        <f t="shared" si="1310"/>
        <v/>
      </c>
      <c r="B4205" s="23"/>
      <c r="C4205" s="23"/>
      <c r="D4205" s="202" t="str">
        <f t="shared" si="1311"/>
        <v/>
      </c>
      <c r="E4205" s="33" t="str">
        <f t="shared" si="1305"/>
        <v/>
      </c>
      <c r="F4205" s="23"/>
      <c r="G4205" s="23"/>
      <c r="H4205" s="29"/>
      <c r="I4205" s="204" t="str">
        <f t="shared" si="1308"/>
        <v/>
      </c>
      <c r="J4205" s="188"/>
      <c r="K4205" s="29"/>
      <c r="L4205" s="24"/>
      <c r="M4205" s="22"/>
      <c r="N4205" s="22"/>
      <c r="O4205" s="22"/>
      <c r="P4205" s="202" t="str">
        <f t="shared" si="1309"/>
        <v/>
      </c>
      <c r="Q4205" s="22"/>
      <c r="R4205" s="22"/>
      <c r="S4205" s="22"/>
      <c r="T4205" s="22"/>
      <c r="U4205" s="22"/>
      <c r="V4205" s="22"/>
      <c r="W4205" s="22"/>
      <c r="X4205" s="104"/>
      <c r="Y4205" s="195" t="str">
        <f t="shared" si="1306"/>
        <v/>
      </c>
      <c r="Z4205" s="196" t="str">
        <f t="shared" si="1307"/>
        <v/>
      </c>
      <c r="AA4205" s="22"/>
      <c r="AB4205" s="197" t="str">
        <f t="shared" si="1312"/>
        <v/>
      </c>
      <c r="AC4205" s="198" t="str">
        <f t="shared" si="1313"/>
        <v/>
      </c>
      <c r="AD4205" s="162"/>
      <c r="AE4205" s="199" t="str">
        <f t="shared" si="1314"/>
        <v/>
      </c>
      <c r="AF4205" s="199" t="str">
        <f>IF(AND(COUNTIFS($J$18:J4205,J4205)=1,AE4205=1),1,"")</f>
        <v/>
      </c>
      <c r="AG4205" s="199" t="str">
        <f>IF(C4205="","",IF(AND(COUNTIFS($J$18:J4205,J4205)=1,C4205&lt;&gt;""),1,""))</f>
        <v/>
      </c>
      <c r="AH4205" s="199" t="str">
        <f>IF(G4205="","",IF(AND(COUNTIFS($J$18:J4205,J4205)=1,G4205&lt;&gt;""),1,""))</f>
        <v/>
      </c>
      <c r="AI4205" s="200">
        <f t="shared" si="1315"/>
        <v>0</v>
      </c>
      <c r="AJ4205" s="200">
        <f t="shared" si="1316"/>
        <v>0</v>
      </c>
      <c r="AK4205" s="201" t="str">
        <f t="shared" si="1317"/>
        <v/>
      </c>
      <c r="AL4205" s="24"/>
      <c r="AM4205" s="24"/>
      <c r="AN4205" s="24"/>
      <c r="AO4205" s="24"/>
      <c r="AP4205" s="165" t="str">
        <f t="shared" si="1318"/>
        <v/>
      </c>
      <c r="AQ4205" s="203" t="str">
        <f t="shared" si="1319"/>
        <v/>
      </c>
      <c r="AR4205" s="206">
        <f t="shared" si="1320"/>
        <v>0</v>
      </c>
      <c r="AS4205" s="22" t="str">
        <f t="shared" si="1321"/>
        <v/>
      </c>
      <c r="AT4205" s="24" t="str">
        <f t="shared" si="1322"/>
        <v/>
      </c>
      <c r="AU4205" s="22" t="s">
        <v>3240</v>
      </c>
    </row>
    <row r="4206" spans="1:47">
      <c r="A4206" s="246" t="str">
        <f t="shared" si="1310"/>
        <v/>
      </c>
      <c r="B4206" s="23"/>
      <c r="C4206" s="23"/>
      <c r="D4206" s="202" t="str">
        <f t="shared" si="1311"/>
        <v/>
      </c>
      <c r="E4206" s="33" t="str">
        <f t="shared" si="1305"/>
        <v/>
      </c>
      <c r="F4206" s="23"/>
      <c r="G4206" s="23"/>
      <c r="H4206" s="29"/>
      <c r="I4206" s="204" t="str">
        <f t="shared" si="1308"/>
        <v/>
      </c>
      <c r="J4206" s="188"/>
      <c r="K4206" s="29"/>
      <c r="L4206" s="24"/>
      <c r="M4206" s="22"/>
      <c r="N4206" s="22"/>
      <c r="O4206" s="22"/>
      <c r="P4206" s="202" t="str">
        <f t="shared" si="1309"/>
        <v/>
      </c>
      <c r="Q4206" s="22"/>
      <c r="R4206" s="22"/>
      <c r="S4206" s="22"/>
      <c r="T4206" s="22"/>
      <c r="U4206" s="22"/>
      <c r="V4206" s="22"/>
      <c r="W4206" s="22"/>
      <c r="X4206" s="104"/>
      <c r="Y4206" s="195" t="str">
        <f t="shared" si="1306"/>
        <v/>
      </c>
      <c r="Z4206" s="196" t="str">
        <f t="shared" si="1307"/>
        <v/>
      </c>
      <c r="AA4206" s="22"/>
      <c r="AB4206" s="197" t="str">
        <f t="shared" si="1312"/>
        <v/>
      </c>
      <c r="AC4206" s="198" t="str">
        <f t="shared" si="1313"/>
        <v/>
      </c>
      <c r="AD4206" s="162"/>
      <c r="AE4206" s="199" t="str">
        <f t="shared" si="1314"/>
        <v/>
      </c>
      <c r="AF4206" s="199" t="str">
        <f>IF(AND(COUNTIFS($J$18:J4206,J4206)=1,AE4206=1),1,"")</f>
        <v/>
      </c>
      <c r="AG4206" s="199" t="str">
        <f>IF(C4206="","",IF(AND(COUNTIFS($J$18:J4206,J4206)=1,C4206&lt;&gt;""),1,""))</f>
        <v/>
      </c>
      <c r="AH4206" s="199" t="str">
        <f>IF(G4206="","",IF(AND(COUNTIFS($J$18:J4206,J4206)=1,G4206&lt;&gt;""),1,""))</f>
        <v/>
      </c>
      <c r="AI4206" s="200">
        <f t="shared" si="1315"/>
        <v>0</v>
      </c>
      <c r="AJ4206" s="200">
        <f t="shared" si="1316"/>
        <v>0</v>
      </c>
      <c r="AK4206" s="201" t="str">
        <f t="shared" si="1317"/>
        <v/>
      </c>
      <c r="AL4206" s="24"/>
      <c r="AM4206" s="24"/>
      <c r="AN4206" s="24"/>
      <c r="AO4206" s="24"/>
      <c r="AP4206" s="165" t="str">
        <f t="shared" si="1318"/>
        <v/>
      </c>
      <c r="AQ4206" s="203" t="str">
        <f t="shared" si="1319"/>
        <v/>
      </c>
      <c r="AR4206" s="206">
        <f t="shared" si="1320"/>
        <v>0</v>
      </c>
      <c r="AS4206" s="22" t="str">
        <f t="shared" si="1321"/>
        <v/>
      </c>
      <c r="AT4206" s="24" t="str">
        <f t="shared" si="1322"/>
        <v/>
      </c>
      <c r="AU4206" s="22" t="s">
        <v>3240</v>
      </c>
    </row>
    <row r="4207" spans="1:47">
      <c r="A4207" s="246" t="str">
        <f t="shared" si="1310"/>
        <v/>
      </c>
      <c r="B4207" s="23"/>
      <c r="C4207" s="23"/>
      <c r="D4207" s="202" t="str">
        <f t="shared" si="1311"/>
        <v/>
      </c>
      <c r="E4207" s="33" t="str">
        <f t="shared" si="1305"/>
        <v/>
      </c>
      <c r="F4207" s="23"/>
      <c r="G4207" s="23"/>
      <c r="H4207" s="29"/>
      <c r="I4207" s="204" t="str">
        <f t="shared" si="1308"/>
        <v/>
      </c>
      <c r="J4207" s="188"/>
      <c r="K4207" s="29"/>
      <c r="L4207" s="24"/>
      <c r="M4207" s="22"/>
      <c r="N4207" s="22"/>
      <c r="O4207" s="22"/>
      <c r="P4207" s="202" t="str">
        <f t="shared" si="1309"/>
        <v/>
      </c>
      <c r="Q4207" s="22"/>
      <c r="R4207" s="22"/>
      <c r="S4207" s="22"/>
      <c r="T4207" s="22"/>
      <c r="U4207" s="22"/>
      <c r="V4207" s="22"/>
      <c r="W4207" s="22"/>
      <c r="X4207" s="104"/>
      <c r="Y4207" s="195" t="str">
        <f t="shared" si="1306"/>
        <v/>
      </c>
      <c r="Z4207" s="196" t="str">
        <f t="shared" si="1307"/>
        <v/>
      </c>
      <c r="AA4207" s="22"/>
      <c r="AB4207" s="197" t="str">
        <f t="shared" si="1312"/>
        <v/>
      </c>
      <c r="AC4207" s="198" t="str">
        <f t="shared" si="1313"/>
        <v/>
      </c>
      <c r="AD4207" s="162"/>
      <c r="AE4207" s="199" t="str">
        <f t="shared" si="1314"/>
        <v/>
      </c>
      <c r="AF4207" s="199" t="str">
        <f>IF(AND(COUNTIFS($J$18:J4207,J4207)=1,AE4207=1),1,"")</f>
        <v/>
      </c>
      <c r="AG4207" s="199" t="str">
        <f>IF(C4207="","",IF(AND(COUNTIFS($J$18:J4207,J4207)=1,C4207&lt;&gt;""),1,""))</f>
        <v/>
      </c>
      <c r="AH4207" s="199" t="str">
        <f>IF(G4207="","",IF(AND(COUNTIFS($J$18:J4207,J4207)=1,G4207&lt;&gt;""),1,""))</f>
        <v/>
      </c>
      <c r="AI4207" s="200">
        <f t="shared" si="1315"/>
        <v>0</v>
      </c>
      <c r="AJ4207" s="200">
        <f t="shared" si="1316"/>
        <v>0</v>
      </c>
      <c r="AK4207" s="201" t="str">
        <f t="shared" si="1317"/>
        <v/>
      </c>
      <c r="AL4207" s="24"/>
      <c r="AM4207" s="24"/>
      <c r="AN4207" s="24"/>
      <c r="AO4207" s="24"/>
      <c r="AP4207" s="165" t="str">
        <f t="shared" si="1318"/>
        <v/>
      </c>
      <c r="AQ4207" s="203" t="str">
        <f t="shared" si="1319"/>
        <v/>
      </c>
      <c r="AR4207" s="206">
        <f t="shared" si="1320"/>
        <v>0</v>
      </c>
      <c r="AS4207" s="22" t="str">
        <f t="shared" si="1321"/>
        <v/>
      </c>
      <c r="AT4207" s="24" t="str">
        <f t="shared" si="1322"/>
        <v/>
      </c>
      <c r="AU4207" s="22" t="s">
        <v>3240</v>
      </c>
    </row>
    <row r="4208" spans="1:47">
      <c r="A4208" s="246" t="str">
        <f t="shared" si="1310"/>
        <v/>
      </c>
      <c r="B4208" s="23"/>
      <c r="C4208" s="23"/>
      <c r="D4208" s="202" t="str">
        <f t="shared" si="1311"/>
        <v/>
      </c>
      <c r="E4208" s="33" t="str">
        <f t="shared" si="1305"/>
        <v/>
      </c>
      <c r="F4208" s="23"/>
      <c r="G4208" s="23"/>
      <c r="H4208" s="29"/>
      <c r="I4208" s="204" t="str">
        <f t="shared" si="1308"/>
        <v/>
      </c>
      <c r="J4208" s="188"/>
      <c r="K4208" s="29"/>
      <c r="L4208" s="24"/>
      <c r="M4208" s="22"/>
      <c r="N4208" s="22"/>
      <c r="O4208" s="22"/>
      <c r="P4208" s="202" t="str">
        <f t="shared" si="1309"/>
        <v/>
      </c>
      <c r="Q4208" s="22"/>
      <c r="R4208" s="22"/>
      <c r="S4208" s="22"/>
      <c r="T4208" s="22"/>
      <c r="U4208" s="22"/>
      <c r="V4208" s="22"/>
      <c r="W4208" s="22"/>
      <c r="X4208" s="104"/>
      <c r="Y4208" s="195" t="str">
        <f t="shared" si="1306"/>
        <v/>
      </c>
      <c r="Z4208" s="196" t="str">
        <f t="shared" si="1307"/>
        <v/>
      </c>
      <c r="AA4208" s="22"/>
      <c r="AB4208" s="197" t="str">
        <f t="shared" si="1312"/>
        <v/>
      </c>
      <c r="AC4208" s="198" t="str">
        <f t="shared" si="1313"/>
        <v/>
      </c>
      <c r="AD4208" s="162"/>
      <c r="AE4208" s="199" t="str">
        <f t="shared" si="1314"/>
        <v/>
      </c>
      <c r="AF4208" s="199" t="str">
        <f>IF(AND(COUNTIFS($J$18:J4208,J4208)=1,AE4208=1),1,"")</f>
        <v/>
      </c>
      <c r="AG4208" s="199" t="str">
        <f>IF(C4208="","",IF(AND(COUNTIFS($J$18:J4208,J4208)=1,C4208&lt;&gt;""),1,""))</f>
        <v/>
      </c>
      <c r="AH4208" s="199" t="str">
        <f>IF(G4208="","",IF(AND(COUNTIFS($J$18:J4208,J4208)=1,G4208&lt;&gt;""),1,""))</f>
        <v/>
      </c>
      <c r="AI4208" s="200">
        <f t="shared" si="1315"/>
        <v>0</v>
      </c>
      <c r="AJ4208" s="200">
        <f t="shared" si="1316"/>
        <v>0</v>
      </c>
      <c r="AK4208" s="201" t="str">
        <f t="shared" si="1317"/>
        <v/>
      </c>
      <c r="AL4208" s="24"/>
      <c r="AM4208" s="24"/>
      <c r="AN4208" s="24"/>
      <c r="AO4208" s="24"/>
      <c r="AP4208" s="165" t="str">
        <f t="shared" si="1318"/>
        <v/>
      </c>
      <c r="AQ4208" s="203" t="str">
        <f t="shared" si="1319"/>
        <v/>
      </c>
      <c r="AR4208" s="206">
        <f t="shared" si="1320"/>
        <v>0</v>
      </c>
      <c r="AS4208" s="22" t="str">
        <f t="shared" si="1321"/>
        <v/>
      </c>
      <c r="AT4208" s="24" t="str">
        <f t="shared" si="1322"/>
        <v/>
      </c>
      <c r="AU4208" s="22" t="s">
        <v>3240</v>
      </c>
    </row>
    <row r="4209" spans="1:47">
      <c r="A4209" s="246" t="str">
        <f t="shared" si="1310"/>
        <v/>
      </c>
      <c r="B4209" s="23"/>
      <c r="C4209" s="23"/>
      <c r="D4209" s="202" t="str">
        <f t="shared" si="1311"/>
        <v/>
      </c>
      <c r="E4209" s="33" t="str">
        <f t="shared" si="1305"/>
        <v/>
      </c>
      <c r="F4209" s="23"/>
      <c r="G4209" s="23"/>
      <c r="H4209" s="29"/>
      <c r="I4209" s="204" t="str">
        <f t="shared" si="1308"/>
        <v/>
      </c>
      <c r="J4209" s="188"/>
      <c r="K4209" s="29"/>
      <c r="L4209" s="24"/>
      <c r="M4209" s="22"/>
      <c r="N4209" s="22"/>
      <c r="O4209" s="22"/>
      <c r="P4209" s="202" t="str">
        <f t="shared" si="1309"/>
        <v/>
      </c>
      <c r="Q4209" s="22"/>
      <c r="R4209" s="22"/>
      <c r="S4209" s="22"/>
      <c r="T4209" s="22"/>
      <c r="U4209" s="22"/>
      <c r="V4209" s="22"/>
      <c r="W4209" s="22"/>
      <c r="X4209" s="104"/>
      <c r="Y4209" s="195" t="str">
        <f t="shared" si="1306"/>
        <v/>
      </c>
      <c r="Z4209" s="196" t="str">
        <f t="shared" si="1307"/>
        <v/>
      </c>
      <c r="AA4209" s="22"/>
      <c r="AB4209" s="197" t="str">
        <f t="shared" si="1312"/>
        <v/>
      </c>
      <c r="AC4209" s="198" t="str">
        <f t="shared" si="1313"/>
        <v/>
      </c>
      <c r="AD4209" s="162"/>
      <c r="AE4209" s="199" t="str">
        <f t="shared" si="1314"/>
        <v/>
      </c>
      <c r="AF4209" s="199" t="str">
        <f>IF(AND(COUNTIFS($J$18:J4209,J4209)=1,AE4209=1),1,"")</f>
        <v/>
      </c>
      <c r="AG4209" s="199" t="str">
        <f>IF(C4209="","",IF(AND(COUNTIFS($J$18:J4209,J4209)=1,C4209&lt;&gt;""),1,""))</f>
        <v/>
      </c>
      <c r="AH4209" s="199" t="str">
        <f>IF(G4209="","",IF(AND(COUNTIFS($J$18:J4209,J4209)=1,G4209&lt;&gt;""),1,""))</f>
        <v/>
      </c>
      <c r="AI4209" s="200">
        <f t="shared" si="1315"/>
        <v>0</v>
      </c>
      <c r="AJ4209" s="200">
        <f t="shared" si="1316"/>
        <v>0</v>
      </c>
      <c r="AK4209" s="201" t="str">
        <f t="shared" si="1317"/>
        <v/>
      </c>
      <c r="AL4209" s="24"/>
      <c r="AM4209" s="24"/>
      <c r="AN4209" s="24"/>
      <c r="AO4209" s="24"/>
      <c r="AP4209" s="165" t="str">
        <f t="shared" si="1318"/>
        <v/>
      </c>
      <c r="AQ4209" s="203" t="str">
        <f t="shared" si="1319"/>
        <v/>
      </c>
      <c r="AR4209" s="206">
        <f t="shared" si="1320"/>
        <v>0</v>
      </c>
      <c r="AS4209" s="22" t="str">
        <f t="shared" si="1321"/>
        <v/>
      </c>
      <c r="AT4209" s="24" t="str">
        <f t="shared" si="1322"/>
        <v/>
      </c>
      <c r="AU4209" s="22" t="s">
        <v>3240</v>
      </c>
    </row>
    <row r="4210" spans="1:47">
      <c r="A4210" s="246" t="str">
        <f t="shared" si="1310"/>
        <v/>
      </c>
      <c r="B4210" s="23"/>
      <c r="C4210" s="23"/>
      <c r="D4210" s="202" t="str">
        <f t="shared" si="1311"/>
        <v/>
      </c>
      <c r="E4210" s="33" t="str">
        <f t="shared" si="1305"/>
        <v/>
      </c>
      <c r="F4210" s="23"/>
      <c r="G4210" s="23"/>
      <c r="H4210" s="29"/>
      <c r="I4210" s="204" t="str">
        <f t="shared" si="1308"/>
        <v/>
      </c>
      <c r="J4210" s="188"/>
      <c r="K4210" s="29"/>
      <c r="L4210" s="24"/>
      <c r="M4210" s="22"/>
      <c r="N4210" s="22"/>
      <c r="O4210" s="22"/>
      <c r="P4210" s="202" t="str">
        <f t="shared" si="1309"/>
        <v/>
      </c>
      <c r="Q4210" s="22"/>
      <c r="R4210" s="22"/>
      <c r="S4210" s="22"/>
      <c r="T4210" s="22"/>
      <c r="U4210" s="22"/>
      <c r="V4210" s="22"/>
      <c r="W4210" s="22"/>
      <c r="X4210" s="104"/>
      <c r="Y4210" s="195" t="str">
        <f t="shared" si="1306"/>
        <v/>
      </c>
      <c r="Z4210" s="196" t="str">
        <f t="shared" si="1307"/>
        <v/>
      </c>
      <c r="AA4210" s="22"/>
      <c r="AB4210" s="197" t="str">
        <f t="shared" si="1312"/>
        <v/>
      </c>
      <c r="AC4210" s="198" t="str">
        <f t="shared" si="1313"/>
        <v/>
      </c>
      <c r="AD4210" s="162"/>
      <c r="AE4210" s="199" t="str">
        <f t="shared" si="1314"/>
        <v/>
      </c>
      <c r="AF4210" s="199" t="str">
        <f>IF(AND(COUNTIFS($J$18:J4210,J4210)=1,AE4210=1),1,"")</f>
        <v/>
      </c>
      <c r="AG4210" s="199" t="str">
        <f>IF(C4210="","",IF(AND(COUNTIFS($J$18:J4210,J4210)=1,C4210&lt;&gt;""),1,""))</f>
        <v/>
      </c>
      <c r="AH4210" s="199" t="str">
        <f>IF(G4210="","",IF(AND(COUNTIFS($J$18:J4210,J4210)=1,G4210&lt;&gt;""),1,""))</f>
        <v/>
      </c>
      <c r="AI4210" s="200">
        <f t="shared" si="1315"/>
        <v>0</v>
      </c>
      <c r="AJ4210" s="200">
        <f t="shared" si="1316"/>
        <v>0</v>
      </c>
      <c r="AK4210" s="201" t="str">
        <f t="shared" si="1317"/>
        <v/>
      </c>
      <c r="AL4210" s="24"/>
      <c r="AM4210" s="24"/>
      <c r="AN4210" s="24"/>
      <c r="AO4210" s="24"/>
      <c r="AP4210" s="165" t="str">
        <f t="shared" si="1318"/>
        <v/>
      </c>
      <c r="AQ4210" s="203" t="str">
        <f t="shared" si="1319"/>
        <v/>
      </c>
      <c r="AR4210" s="206">
        <f t="shared" si="1320"/>
        <v>0</v>
      </c>
      <c r="AS4210" s="22" t="str">
        <f t="shared" si="1321"/>
        <v/>
      </c>
      <c r="AT4210" s="24" t="str">
        <f t="shared" si="1322"/>
        <v/>
      </c>
      <c r="AU4210" s="22" t="s">
        <v>3240</v>
      </c>
    </row>
    <row r="4211" spans="1:47">
      <c r="A4211" s="246" t="str">
        <f t="shared" si="1310"/>
        <v/>
      </c>
      <c r="B4211" s="23"/>
      <c r="C4211" s="23"/>
      <c r="D4211" s="202" t="str">
        <f t="shared" si="1311"/>
        <v/>
      </c>
      <c r="E4211" s="33" t="str">
        <f t="shared" si="1305"/>
        <v/>
      </c>
      <c r="F4211" s="23"/>
      <c r="G4211" s="23"/>
      <c r="H4211" s="29"/>
      <c r="I4211" s="204" t="str">
        <f t="shared" si="1308"/>
        <v/>
      </c>
      <c r="J4211" s="188"/>
      <c r="K4211" s="29"/>
      <c r="L4211" s="24"/>
      <c r="M4211" s="22"/>
      <c r="N4211" s="22"/>
      <c r="O4211" s="22"/>
      <c r="P4211" s="202" t="str">
        <f t="shared" si="1309"/>
        <v/>
      </c>
      <c r="Q4211" s="22"/>
      <c r="R4211" s="22"/>
      <c r="S4211" s="22"/>
      <c r="T4211" s="22"/>
      <c r="U4211" s="22"/>
      <c r="V4211" s="22"/>
      <c r="W4211" s="22"/>
      <c r="X4211" s="104"/>
      <c r="Y4211" s="195" t="str">
        <f t="shared" si="1306"/>
        <v/>
      </c>
      <c r="Z4211" s="196" t="str">
        <f t="shared" si="1307"/>
        <v/>
      </c>
      <c r="AA4211" s="22"/>
      <c r="AB4211" s="197" t="str">
        <f t="shared" si="1312"/>
        <v/>
      </c>
      <c r="AC4211" s="198" t="str">
        <f t="shared" si="1313"/>
        <v/>
      </c>
      <c r="AD4211" s="162"/>
      <c r="AE4211" s="199" t="str">
        <f t="shared" si="1314"/>
        <v/>
      </c>
      <c r="AF4211" s="199" t="str">
        <f>IF(AND(COUNTIFS($J$18:J4211,J4211)=1,AE4211=1),1,"")</f>
        <v/>
      </c>
      <c r="AG4211" s="199" t="str">
        <f>IF(C4211="","",IF(AND(COUNTIFS($J$18:J4211,J4211)=1,C4211&lt;&gt;""),1,""))</f>
        <v/>
      </c>
      <c r="AH4211" s="199" t="str">
        <f>IF(G4211="","",IF(AND(COUNTIFS($J$18:J4211,J4211)=1,G4211&lt;&gt;""),1,""))</f>
        <v/>
      </c>
      <c r="AI4211" s="200">
        <f t="shared" si="1315"/>
        <v>0</v>
      </c>
      <c r="AJ4211" s="200">
        <f t="shared" si="1316"/>
        <v>0</v>
      </c>
      <c r="AK4211" s="201" t="str">
        <f t="shared" si="1317"/>
        <v/>
      </c>
      <c r="AL4211" s="24"/>
      <c r="AM4211" s="24"/>
      <c r="AN4211" s="24"/>
      <c r="AO4211" s="24"/>
      <c r="AP4211" s="165" t="str">
        <f t="shared" si="1318"/>
        <v/>
      </c>
      <c r="AQ4211" s="203" t="str">
        <f t="shared" si="1319"/>
        <v/>
      </c>
      <c r="AR4211" s="206">
        <f t="shared" si="1320"/>
        <v>0</v>
      </c>
      <c r="AS4211" s="22" t="str">
        <f t="shared" si="1321"/>
        <v/>
      </c>
      <c r="AT4211" s="24" t="str">
        <f t="shared" si="1322"/>
        <v/>
      </c>
      <c r="AU4211" s="22" t="s">
        <v>3240</v>
      </c>
    </row>
    <row r="4212" spans="1:47">
      <c r="A4212" s="246" t="str">
        <f t="shared" si="1310"/>
        <v/>
      </c>
      <c r="B4212" s="23"/>
      <c r="C4212" s="23"/>
      <c r="D4212" s="202" t="str">
        <f t="shared" si="1311"/>
        <v/>
      </c>
      <c r="E4212" s="33" t="str">
        <f t="shared" si="1305"/>
        <v/>
      </c>
      <c r="F4212" s="23"/>
      <c r="G4212" s="23"/>
      <c r="H4212" s="29"/>
      <c r="I4212" s="204" t="str">
        <f t="shared" si="1308"/>
        <v/>
      </c>
      <c r="J4212" s="188"/>
      <c r="K4212" s="29"/>
      <c r="L4212" s="24"/>
      <c r="M4212" s="22"/>
      <c r="N4212" s="22"/>
      <c r="O4212" s="22"/>
      <c r="P4212" s="202" t="str">
        <f t="shared" si="1309"/>
        <v/>
      </c>
      <c r="Q4212" s="22"/>
      <c r="R4212" s="22"/>
      <c r="S4212" s="22"/>
      <c r="T4212" s="22"/>
      <c r="U4212" s="22"/>
      <c r="V4212" s="22"/>
      <c r="W4212" s="22"/>
      <c r="X4212" s="104"/>
      <c r="Y4212" s="195" t="str">
        <f t="shared" si="1306"/>
        <v/>
      </c>
      <c r="Z4212" s="196" t="str">
        <f t="shared" si="1307"/>
        <v/>
      </c>
      <c r="AA4212" s="22"/>
      <c r="AB4212" s="197" t="str">
        <f t="shared" si="1312"/>
        <v/>
      </c>
      <c r="AC4212" s="198" t="str">
        <f t="shared" si="1313"/>
        <v/>
      </c>
      <c r="AD4212" s="162"/>
      <c r="AE4212" s="199" t="str">
        <f t="shared" si="1314"/>
        <v/>
      </c>
      <c r="AF4212" s="199" t="str">
        <f>IF(AND(COUNTIFS($J$18:J4212,J4212)=1,AE4212=1),1,"")</f>
        <v/>
      </c>
      <c r="AG4212" s="199" t="str">
        <f>IF(C4212="","",IF(AND(COUNTIFS($J$18:J4212,J4212)=1,C4212&lt;&gt;""),1,""))</f>
        <v/>
      </c>
      <c r="AH4212" s="199" t="str">
        <f>IF(G4212="","",IF(AND(COUNTIFS($J$18:J4212,J4212)=1,G4212&lt;&gt;""),1,""))</f>
        <v/>
      </c>
      <c r="AI4212" s="200">
        <f t="shared" si="1315"/>
        <v>0</v>
      </c>
      <c r="AJ4212" s="200">
        <f t="shared" si="1316"/>
        <v>0</v>
      </c>
      <c r="AK4212" s="201" t="str">
        <f t="shared" si="1317"/>
        <v/>
      </c>
      <c r="AL4212" s="24"/>
      <c r="AM4212" s="24"/>
      <c r="AN4212" s="24"/>
      <c r="AO4212" s="24"/>
      <c r="AP4212" s="165" t="str">
        <f t="shared" si="1318"/>
        <v/>
      </c>
      <c r="AQ4212" s="203" t="str">
        <f t="shared" si="1319"/>
        <v/>
      </c>
      <c r="AR4212" s="206">
        <f t="shared" si="1320"/>
        <v>0</v>
      </c>
      <c r="AS4212" s="22" t="str">
        <f t="shared" si="1321"/>
        <v/>
      </c>
      <c r="AT4212" s="24" t="str">
        <f t="shared" si="1322"/>
        <v/>
      </c>
      <c r="AU4212" s="22" t="s">
        <v>3240</v>
      </c>
    </row>
    <row r="4213" spans="1:47">
      <c r="A4213" s="246" t="str">
        <f t="shared" si="1310"/>
        <v/>
      </c>
      <c r="B4213" s="23"/>
      <c r="C4213" s="23"/>
      <c r="D4213" s="202" t="str">
        <f t="shared" si="1311"/>
        <v/>
      </c>
      <c r="E4213" s="33" t="str">
        <f t="shared" si="1305"/>
        <v/>
      </c>
      <c r="F4213" s="23"/>
      <c r="G4213" s="23"/>
      <c r="H4213" s="29"/>
      <c r="I4213" s="204" t="str">
        <f t="shared" si="1308"/>
        <v/>
      </c>
      <c r="J4213" s="188"/>
      <c r="K4213" s="29"/>
      <c r="L4213" s="24"/>
      <c r="M4213" s="22"/>
      <c r="N4213" s="22"/>
      <c r="O4213" s="22"/>
      <c r="P4213" s="202" t="str">
        <f t="shared" si="1309"/>
        <v/>
      </c>
      <c r="Q4213" s="22"/>
      <c r="R4213" s="22"/>
      <c r="S4213" s="22"/>
      <c r="T4213" s="22"/>
      <c r="U4213" s="22"/>
      <c r="V4213" s="22"/>
      <c r="W4213" s="22"/>
      <c r="X4213" s="104"/>
      <c r="Y4213" s="195" t="str">
        <f t="shared" si="1306"/>
        <v/>
      </c>
      <c r="Z4213" s="196" t="str">
        <f t="shared" si="1307"/>
        <v/>
      </c>
      <c r="AA4213" s="22"/>
      <c r="AB4213" s="197" t="str">
        <f t="shared" si="1312"/>
        <v/>
      </c>
      <c r="AC4213" s="198" t="str">
        <f t="shared" si="1313"/>
        <v/>
      </c>
      <c r="AD4213" s="162"/>
      <c r="AE4213" s="199" t="str">
        <f t="shared" si="1314"/>
        <v/>
      </c>
      <c r="AF4213" s="199" t="str">
        <f>IF(AND(COUNTIFS($J$18:J4213,J4213)=1,AE4213=1),1,"")</f>
        <v/>
      </c>
      <c r="AG4213" s="199" t="str">
        <f>IF(C4213="","",IF(AND(COUNTIFS($J$18:J4213,J4213)=1,C4213&lt;&gt;""),1,""))</f>
        <v/>
      </c>
      <c r="AH4213" s="199" t="str">
        <f>IF(G4213="","",IF(AND(COUNTIFS($J$18:J4213,J4213)=1,G4213&lt;&gt;""),1,""))</f>
        <v/>
      </c>
      <c r="AI4213" s="200">
        <f t="shared" si="1315"/>
        <v>0</v>
      </c>
      <c r="AJ4213" s="200">
        <f t="shared" si="1316"/>
        <v>0</v>
      </c>
      <c r="AK4213" s="201" t="str">
        <f t="shared" si="1317"/>
        <v/>
      </c>
      <c r="AL4213" s="24"/>
      <c r="AM4213" s="24"/>
      <c r="AN4213" s="24"/>
      <c r="AO4213" s="24"/>
      <c r="AP4213" s="165" t="str">
        <f t="shared" si="1318"/>
        <v/>
      </c>
      <c r="AQ4213" s="203" t="str">
        <f t="shared" si="1319"/>
        <v/>
      </c>
      <c r="AR4213" s="206">
        <f t="shared" si="1320"/>
        <v>0</v>
      </c>
      <c r="AS4213" s="22" t="str">
        <f t="shared" si="1321"/>
        <v/>
      </c>
      <c r="AT4213" s="24" t="str">
        <f t="shared" si="1322"/>
        <v/>
      </c>
      <c r="AU4213" s="22" t="s">
        <v>3240</v>
      </c>
    </row>
    <row r="4214" spans="1:47">
      <c r="A4214" s="246" t="str">
        <f t="shared" si="1310"/>
        <v/>
      </c>
      <c r="B4214" s="23"/>
      <c r="C4214" s="23"/>
      <c r="D4214" s="202" t="str">
        <f t="shared" si="1311"/>
        <v/>
      </c>
      <c r="E4214" s="33" t="str">
        <f t="shared" si="1305"/>
        <v/>
      </c>
      <c r="F4214" s="23"/>
      <c r="G4214" s="23"/>
      <c r="H4214" s="29"/>
      <c r="I4214" s="204" t="str">
        <f t="shared" si="1308"/>
        <v/>
      </c>
      <c r="J4214" s="188"/>
      <c r="K4214" s="29"/>
      <c r="L4214" s="24"/>
      <c r="M4214" s="22"/>
      <c r="N4214" s="22"/>
      <c r="O4214" s="22"/>
      <c r="P4214" s="202" t="str">
        <f t="shared" si="1309"/>
        <v/>
      </c>
      <c r="Q4214" s="22"/>
      <c r="R4214" s="22"/>
      <c r="S4214" s="22"/>
      <c r="T4214" s="22"/>
      <c r="U4214" s="22"/>
      <c r="V4214" s="22"/>
      <c r="W4214" s="22"/>
      <c r="X4214" s="104"/>
      <c r="Y4214" s="195" t="str">
        <f t="shared" si="1306"/>
        <v/>
      </c>
      <c r="Z4214" s="196" t="str">
        <f t="shared" si="1307"/>
        <v/>
      </c>
      <c r="AA4214" s="22"/>
      <c r="AB4214" s="197" t="str">
        <f t="shared" si="1312"/>
        <v/>
      </c>
      <c r="AC4214" s="198" t="str">
        <f t="shared" si="1313"/>
        <v/>
      </c>
      <c r="AD4214" s="162"/>
      <c r="AE4214" s="199" t="str">
        <f t="shared" si="1314"/>
        <v/>
      </c>
      <c r="AF4214" s="199" t="str">
        <f>IF(AND(COUNTIFS($J$18:J4214,J4214)=1,AE4214=1),1,"")</f>
        <v/>
      </c>
      <c r="AG4214" s="199" t="str">
        <f>IF(C4214="","",IF(AND(COUNTIFS($J$18:J4214,J4214)=1,C4214&lt;&gt;""),1,""))</f>
        <v/>
      </c>
      <c r="AH4214" s="199" t="str">
        <f>IF(G4214="","",IF(AND(COUNTIFS($J$18:J4214,J4214)=1,G4214&lt;&gt;""),1,""))</f>
        <v/>
      </c>
      <c r="AI4214" s="200">
        <f t="shared" si="1315"/>
        <v>0</v>
      </c>
      <c r="AJ4214" s="200">
        <f t="shared" si="1316"/>
        <v>0</v>
      </c>
      <c r="AK4214" s="201" t="str">
        <f t="shared" si="1317"/>
        <v/>
      </c>
      <c r="AL4214" s="24"/>
      <c r="AM4214" s="24"/>
      <c r="AN4214" s="24"/>
      <c r="AO4214" s="24"/>
      <c r="AP4214" s="165" t="str">
        <f t="shared" si="1318"/>
        <v/>
      </c>
      <c r="AQ4214" s="203" t="str">
        <f t="shared" si="1319"/>
        <v/>
      </c>
      <c r="AR4214" s="206">
        <f t="shared" si="1320"/>
        <v>0</v>
      </c>
      <c r="AS4214" s="22" t="str">
        <f t="shared" si="1321"/>
        <v/>
      </c>
      <c r="AT4214" s="24" t="str">
        <f t="shared" si="1322"/>
        <v/>
      </c>
      <c r="AU4214" s="22" t="s">
        <v>3240</v>
      </c>
    </row>
    <row r="4215" spans="1:47">
      <c r="A4215" s="246" t="str">
        <f t="shared" si="1310"/>
        <v/>
      </c>
      <c r="B4215" s="23"/>
      <c r="C4215" s="23"/>
      <c r="D4215" s="202" t="str">
        <f t="shared" si="1311"/>
        <v/>
      </c>
      <c r="E4215" s="33" t="str">
        <f t="shared" si="1305"/>
        <v/>
      </c>
      <c r="F4215" s="23"/>
      <c r="G4215" s="23"/>
      <c r="H4215" s="29"/>
      <c r="I4215" s="204" t="str">
        <f t="shared" si="1308"/>
        <v/>
      </c>
      <c r="J4215" s="188"/>
      <c r="K4215" s="29"/>
      <c r="L4215" s="24"/>
      <c r="M4215" s="22"/>
      <c r="N4215" s="22"/>
      <c r="O4215" s="22"/>
      <c r="P4215" s="202" t="str">
        <f t="shared" si="1309"/>
        <v/>
      </c>
      <c r="Q4215" s="22"/>
      <c r="R4215" s="22"/>
      <c r="S4215" s="22"/>
      <c r="T4215" s="22"/>
      <c r="U4215" s="22"/>
      <c r="V4215" s="22"/>
      <c r="W4215" s="22"/>
      <c r="X4215" s="104"/>
      <c r="Y4215" s="195" t="str">
        <f t="shared" si="1306"/>
        <v/>
      </c>
      <c r="Z4215" s="196" t="str">
        <f t="shared" si="1307"/>
        <v/>
      </c>
      <c r="AA4215" s="22"/>
      <c r="AB4215" s="197" t="str">
        <f t="shared" si="1312"/>
        <v/>
      </c>
      <c r="AC4215" s="198" t="str">
        <f t="shared" si="1313"/>
        <v/>
      </c>
      <c r="AD4215" s="162"/>
      <c r="AE4215" s="199" t="str">
        <f t="shared" si="1314"/>
        <v/>
      </c>
      <c r="AF4215" s="199" t="str">
        <f>IF(AND(COUNTIFS($J$18:J4215,J4215)=1,AE4215=1),1,"")</f>
        <v/>
      </c>
      <c r="AG4215" s="199" t="str">
        <f>IF(C4215="","",IF(AND(COUNTIFS($J$18:J4215,J4215)=1,C4215&lt;&gt;""),1,""))</f>
        <v/>
      </c>
      <c r="AH4215" s="199" t="str">
        <f>IF(G4215="","",IF(AND(COUNTIFS($J$18:J4215,J4215)=1,G4215&lt;&gt;""),1,""))</f>
        <v/>
      </c>
      <c r="AI4215" s="200">
        <f t="shared" si="1315"/>
        <v>0</v>
      </c>
      <c r="AJ4215" s="200">
        <f t="shared" si="1316"/>
        <v>0</v>
      </c>
      <c r="AK4215" s="201" t="str">
        <f t="shared" si="1317"/>
        <v/>
      </c>
      <c r="AL4215" s="24"/>
      <c r="AM4215" s="24"/>
      <c r="AN4215" s="24"/>
      <c r="AO4215" s="24"/>
      <c r="AP4215" s="165" t="str">
        <f t="shared" si="1318"/>
        <v/>
      </c>
      <c r="AQ4215" s="203" t="str">
        <f t="shared" si="1319"/>
        <v/>
      </c>
      <c r="AR4215" s="206">
        <f t="shared" si="1320"/>
        <v>0</v>
      </c>
      <c r="AS4215" s="22" t="str">
        <f t="shared" si="1321"/>
        <v/>
      </c>
      <c r="AT4215" s="24" t="str">
        <f t="shared" si="1322"/>
        <v/>
      </c>
      <c r="AU4215" s="22" t="s">
        <v>3240</v>
      </c>
    </row>
    <row r="4216" spans="1:47">
      <c r="A4216" s="246" t="str">
        <f t="shared" si="1310"/>
        <v/>
      </c>
      <c r="B4216" s="23"/>
      <c r="C4216" s="23"/>
      <c r="D4216" s="202" t="str">
        <f t="shared" si="1311"/>
        <v/>
      </c>
      <c r="E4216" s="33" t="str">
        <f t="shared" si="1305"/>
        <v/>
      </c>
      <c r="F4216" s="23"/>
      <c r="G4216" s="23"/>
      <c r="H4216" s="29"/>
      <c r="I4216" s="204" t="str">
        <f t="shared" si="1308"/>
        <v/>
      </c>
      <c r="J4216" s="188"/>
      <c r="K4216" s="29"/>
      <c r="L4216" s="24"/>
      <c r="M4216" s="22"/>
      <c r="N4216" s="22"/>
      <c r="O4216" s="22"/>
      <c r="P4216" s="202" t="str">
        <f t="shared" si="1309"/>
        <v/>
      </c>
      <c r="Q4216" s="22"/>
      <c r="R4216" s="22"/>
      <c r="S4216" s="22"/>
      <c r="T4216" s="22"/>
      <c r="U4216" s="22"/>
      <c r="V4216" s="22"/>
      <c r="W4216" s="22"/>
      <c r="X4216" s="104"/>
      <c r="Y4216" s="195" t="str">
        <f t="shared" si="1306"/>
        <v/>
      </c>
      <c r="Z4216" s="196" t="str">
        <f t="shared" si="1307"/>
        <v/>
      </c>
      <c r="AA4216" s="22"/>
      <c r="AB4216" s="197" t="str">
        <f t="shared" si="1312"/>
        <v/>
      </c>
      <c r="AC4216" s="198" t="str">
        <f t="shared" si="1313"/>
        <v/>
      </c>
      <c r="AD4216" s="162"/>
      <c r="AE4216" s="199" t="str">
        <f t="shared" si="1314"/>
        <v/>
      </c>
      <c r="AF4216" s="199" t="str">
        <f>IF(AND(COUNTIFS($J$18:J4216,J4216)=1,AE4216=1),1,"")</f>
        <v/>
      </c>
      <c r="AG4216" s="199" t="str">
        <f>IF(C4216="","",IF(AND(COUNTIFS($J$18:J4216,J4216)=1,C4216&lt;&gt;""),1,""))</f>
        <v/>
      </c>
      <c r="AH4216" s="199" t="str">
        <f>IF(G4216="","",IF(AND(COUNTIFS($J$18:J4216,J4216)=1,G4216&lt;&gt;""),1,""))</f>
        <v/>
      </c>
      <c r="AI4216" s="200">
        <f t="shared" si="1315"/>
        <v>0</v>
      </c>
      <c r="AJ4216" s="200">
        <f t="shared" si="1316"/>
        <v>0</v>
      </c>
      <c r="AK4216" s="201" t="str">
        <f t="shared" si="1317"/>
        <v/>
      </c>
      <c r="AL4216" s="24"/>
      <c r="AM4216" s="24"/>
      <c r="AN4216" s="24"/>
      <c r="AO4216" s="24"/>
      <c r="AP4216" s="165" t="str">
        <f t="shared" si="1318"/>
        <v/>
      </c>
      <c r="AQ4216" s="203" t="str">
        <f t="shared" si="1319"/>
        <v/>
      </c>
      <c r="AR4216" s="206">
        <f t="shared" si="1320"/>
        <v>0</v>
      </c>
      <c r="AS4216" s="22" t="str">
        <f t="shared" si="1321"/>
        <v/>
      </c>
      <c r="AT4216" s="24" t="str">
        <f t="shared" si="1322"/>
        <v/>
      </c>
      <c r="AU4216" s="22" t="s">
        <v>3240</v>
      </c>
    </row>
    <row r="4217" spans="1:47">
      <c r="A4217" s="246" t="str">
        <f t="shared" si="1310"/>
        <v/>
      </c>
      <c r="B4217" s="23"/>
      <c r="C4217" s="23"/>
      <c r="D4217" s="202" t="str">
        <f t="shared" si="1311"/>
        <v/>
      </c>
      <c r="E4217" s="33" t="str">
        <f t="shared" si="1305"/>
        <v/>
      </c>
      <c r="F4217" s="23"/>
      <c r="G4217" s="23"/>
      <c r="H4217" s="29"/>
      <c r="I4217" s="204" t="str">
        <f t="shared" si="1308"/>
        <v/>
      </c>
      <c r="J4217" s="188"/>
      <c r="K4217" s="29"/>
      <c r="L4217" s="24"/>
      <c r="M4217" s="22"/>
      <c r="N4217" s="22"/>
      <c r="O4217" s="22"/>
      <c r="P4217" s="202" t="str">
        <f t="shared" si="1309"/>
        <v/>
      </c>
      <c r="Q4217" s="22"/>
      <c r="R4217" s="22"/>
      <c r="S4217" s="22"/>
      <c r="T4217" s="22"/>
      <c r="U4217" s="22"/>
      <c r="V4217" s="22"/>
      <c r="W4217" s="22"/>
      <c r="X4217" s="104"/>
      <c r="Y4217" s="195" t="str">
        <f t="shared" si="1306"/>
        <v/>
      </c>
      <c r="Z4217" s="196" t="str">
        <f t="shared" si="1307"/>
        <v/>
      </c>
      <c r="AA4217" s="22"/>
      <c r="AB4217" s="197" t="str">
        <f t="shared" si="1312"/>
        <v/>
      </c>
      <c r="AC4217" s="198" t="str">
        <f t="shared" si="1313"/>
        <v/>
      </c>
      <c r="AD4217" s="162"/>
      <c r="AE4217" s="199" t="str">
        <f t="shared" si="1314"/>
        <v/>
      </c>
      <c r="AF4217" s="199" t="str">
        <f>IF(AND(COUNTIFS($J$18:J4217,J4217)=1,AE4217=1),1,"")</f>
        <v/>
      </c>
      <c r="AG4217" s="199" t="str">
        <f>IF(C4217="","",IF(AND(COUNTIFS($J$18:J4217,J4217)=1,C4217&lt;&gt;""),1,""))</f>
        <v/>
      </c>
      <c r="AH4217" s="199" t="str">
        <f>IF(G4217="","",IF(AND(COUNTIFS($J$18:J4217,J4217)=1,G4217&lt;&gt;""),1,""))</f>
        <v/>
      </c>
      <c r="AI4217" s="200">
        <f t="shared" si="1315"/>
        <v>0</v>
      </c>
      <c r="AJ4217" s="200">
        <f t="shared" si="1316"/>
        <v>0</v>
      </c>
      <c r="AK4217" s="201" t="str">
        <f t="shared" si="1317"/>
        <v/>
      </c>
      <c r="AL4217" s="24"/>
      <c r="AM4217" s="24"/>
      <c r="AN4217" s="24"/>
      <c r="AO4217" s="24"/>
      <c r="AP4217" s="165" t="str">
        <f t="shared" si="1318"/>
        <v/>
      </c>
      <c r="AQ4217" s="203" t="str">
        <f t="shared" si="1319"/>
        <v/>
      </c>
      <c r="AR4217" s="206">
        <f t="shared" si="1320"/>
        <v>0</v>
      </c>
      <c r="AS4217" s="22" t="str">
        <f t="shared" si="1321"/>
        <v/>
      </c>
      <c r="AT4217" s="24" t="str">
        <f t="shared" si="1322"/>
        <v/>
      </c>
      <c r="AU4217" s="22" t="s">
        <v>3240</v>
      </c>
    </row>
    <row r="4218" spans="1:47">
      <c r="A4218" s="246" t="str">
        <f t="shared" si="1310"/>
        <v/>
      </c>
      <c r="B4218" s="23"/>
      <c r="C4218" s="23"/>
      <c r="D4218" s="202" t="str">
        <f t="shared" si="1311"/>
        <v/>
      </c>
      <c r="E4218" s="33" t="str">
        <f t="shared" si="1305"/>
        <v/>
      </c>
      <c r="F4218" s="23"/>
      <c r="G4218" s="23"/>
      <c r="H4218" s="29"/>
      <c r="I4218" s="204" t="str">
        <f t="shared" si="1308"/>
        <v/>
      </c>
      <c r="J4218" s="188"/>
      <c r="K4218" s="29"/>
      <c r="L4218" s="24"/>
      <c r="M4218" s="22"/>
      <c r="N4218" s="22"/>
      <c r="O4218" s="22"/>
      <c r="P4218" s="202" t="str">
        <f t="shared" si="1309"/>
        <v/>
      </c>
      <c r="Q4218" s="22"/>
      <c r="R4218" s="22"/>
      <c r="S4218" s="22"/>
      <c r="T4218" s="22"/>
      <c r="U4218" s="22"/>
      <c r="V4218" s="22"/>
      <c r="W4218" s="22"/>
      <c r="X4218" s="104"/>
      <c r="Y4218" s="195" t="str">
        <f t="shared" si="1306"/>
        <v/>
      </c>
      <c r="Z4218" s="196" t="str">
        <f t="shared" si="1307"/>
        <v/>
      </c>
      <c r="AA4218" s="22"/>
      <c r="AB4218" s="197" t="str">
        <f t="shared" si="1312"/>
        <v/>
      </c>
      <c r="AC4218" s="198" t="str">
        <f t="shared" si="1313"/>
        <v/>
      </c>
      <c r="AD4218" s="162"/>
      <c r="AE4218" s="199" t="str">
        <f t="shared" si="1314"/>
        <v/>
      </c>
      <c r="AF4218" s="199" t="str">
        <f>IF(AND(COUNTIFS($J$18:J4218,J4218)=1,AE4218=1),1,"")</f>
        <v/>
      </c>
      <c r="AG4218" s="199" t="str">
        <f>IF(C4218="","",IF(AND(COUNTIFS($J$18:J4218,J4218)=1,C4218&lt;&gt;""),1,""))</f>
        <v/>
      </c>
      <c r="AH4218" s="199" t="str">
        <f>IF(G4218="","",IF(AND(COUNTIFS($J$18:J4218,J4218)=1,G4218&lt;&gt;""),1,""))</f>
        <v/>
      </c>
      <c r="AI4218" s="200">
        <f t="shared" si="1315"/>
        <v>0</v>
      </c>
      <c r="AJ4218" s="200">
        <f t="shared" si="1316"/>
        <v>0</v>
      </c>
      <c r="AK4218" s="201" t="str">
        <f t="shared" si="1317"/>
        <v/>
      </c>
      <c r="AL4218" s="24"/>
      <c r="AM4218" s="24"/>
      <c r="AN4218" s="24"/>
      <c r="AO4218" s="24"/>
      <c r="AP4218" s="165" t="str">
        <f t="shared" si="1318"/>
        <v/>
      </c>
      <c r="AQ4218" s="203" t="str">
        <f t="shared" si="1319"/>
        <v/>
      </c>
      <c r="AR4218" s="206">
        <f t="shared" si="1320"/>
        <v>0</v>
      </c>
      <c r="AS4218" s="22" t="str">
        <f t="shared" si="1321"/>
        <v/>
      </c>
      <c r="AT4218" s="24" t="str">
        <f t="shared" si="1322"/>
        <v/>
      </c>
      <c r="AU4218" s="22" t="s">
        <v>3240</v>
      </c>
    </row>
    <row r="4219" spans="1:47">
      <c r="A4219" s="246" t="str">
        <f t="shared" si="1310"/>
        <v/>
      </c>
      <c r="B4219" s="23"/>
      <c r="C4219" s="23"/>
      <c r="D4219" s="202" t="str">
        <f t="shared" si="1311"/>
        <v/>
      </c>
      <c r="E4219" s="33" t="str">
        <f t="shared" si="1305"/>
        <v/>
      </c>
      <c r="F4219" s="23"/>
      <c r="G4219" s="23"/>
      <c r="H4219" s="29"/>
      <c r="I4219" s="204" t="str">
        <f t="shared" si="1308"/>
        <v/>
      </c>
      <c r="J4219" s="188"/>
      <c r="K4219" s="29"/>
      <c r="L4219" s="24"/>
      <c r="M4219" s="22"/>
      <c r="N4219" s="22"/>
      <c r="O4219" s="22"/>
      <c r="P4219" s="202" t="str">
        <f t="shared" si="1309"/>
        <v/>
      </c>
      <c r="Q4219" s="22"/>
      <c r="R4219" s="22"/>
      <c r="S4219" s="22"/>
      <c r="T4219" s="22"/>
      <c r="U4219" s="22"/>
      <c r="V4219" s="22"/>
      <c r="W4219" s="22"/>
      <c r="X4219" s="104"/>
      <c r="Y4219" s="195" t="str">
        <f t="shared" si="1306"/>
        <v/>
      </c>
      <c r="Z4219" s="196" t="str">
        <f t="shared" si="1307"/>
        <v/>
      </c>
      <c r="AA4219" s="22"/>
      <c r="AB4219" s="197" t="str">
        <f t="shared" si="1312"/>
        <v/>
      </c>
      <c r="AC4219" s="198" t="str">
        <f t="shared" si="1313"/>
        <v/>
      </c>
      <c r="AD4219" s="162"/>
      <c r="AE4219" s="199" t="str">
        <f t="shared" si="1314"/>
        <v/>
      </c>
      <c r="AF4219" s="199" t="str">
        <f>IF(AND(COUNTIFS($J$18:J4219,J4219)=1,AE4219=1),1,"")</f>
        <v/>
      </c>
      <c r="AG4219" s="199" t="str">
        <f>IF(C4219="","",IF(AND(COUNTIFS($J$18:J4219,J4219)=1,C4219&lt;&gt;""),1,""))</f>
        <v/>
      </c>
      <c r="AH4219" s="199" t="str">
        <f>IF(G4219="","",IF(AND(COUNTIFS($J$18:J4219,J4219)=1,G4219&lt;&gt;""),1,""))</f>
        <v/>
      </c>
      <c r="AI4219" s="200">
        <f t="shared" si="1315"/>
        <v>0</v>
      </c>
      <c r="AJ4219" s="200">
        <f t="shared" si="1316"/>
        <v>0</v>
      </c>
      <c r="AK4219" s="201" t="str">
        <f t="shared" si="1317"/>
        <v/>
      </c>
      <c r="AL4219" s="24"/>
      <c r="AM4219" s="24"/>
      <c r="AN4219" s="24"/>
      <c r="AO4219" s="24"/>
      <c r="AP4219" s="165" t="str">
        <f t="shared" si="1318"/>
        <v/>
      </c>
      <c r="AQ4219" s="203" t="str">
        <f t="shared" si="1319"/>
        <v/>
      </c>
      <c r="AR4219" s="206">
        <f t="shared" si="1320"/>
        <v>0</v>
      </c>
      <c r="AS4219" s="22" t="str">
        <f t="shared" si="1321"/>
        <v/>
      </c>
      <c r="AT4219" s="24" t="str">
        <f t="shared" si="1322"/>
        <v/>
      </c>
      <c r="AU4219" s="22" t="s">
        <v>3240</v>
      </c>
    </row>
    <row r="4220" spans="1:47">
      <c r="A4220" s="246" t="str">
        <f t="shared" si="1310"/>
        <v/>
      </c>
      <c r="B4220" s="23"/>
      <c r="C4220" s="23"/>
      <c r="D4220" s="202" t="str">
        <f t="shared" si="1311"/>
        <v/>
      </c>
      <c r="E4220" s="33" t="str">
        <f t="shared" si="1305"/>
        <v/>
      </c>
      <c r="F4220" s="23"/>
      <c r="G4220" s="23"/>
      <c r="H4220" s="29"/>
      <c r="I4220" s="204" t="str">
        <f t="shared" si="1308"/>
        <v/>
      </c>
      <c r="J4220" s="188"/>
      <c r="K4220" s="29"/>
      <c r="L4220" s="24"/>
      <c r="M4220" s="22"/>
      <c r="N4220" s="22"/>
      <c r="O4220" s="22"/>
      <c r="P4220" s="202" t="str">
        <f t="shared" si="1309"/>
        <v/>
      </c>
      <c r="Q4220" s="22"/>
      <c r="R4220" s="22"/>
      <c r="S4220" s="22"/>
      <c r="T4220" s="22"/>
      <c r="U4220" s="22"/>
      <c r="V4220" s="22"/>
      <c r="W4220" s="22"/>
      <c r="X4220" s="104"/>
      <c r="Y4220" s="195" t="str">
        <f t="shared" si="1306"/>
        <v/>
      </c>
      <c r="Z4220" s="196" t="str">
        <f t="shared" si="1307"/>
        <v/>
      </c>
      <c r="AA4220" s="22"/>
      <c r="AB4220" s="197" t="str">
        <f t="shared" si="1312"/>
        <v/>
      </c>
      <c r="AC4220" s="198" t="str">
        <f t="shared" si="1313"/>
        <v/>
      </c>
      <c r="AD4220" s="162"/>
      <c r="AE4220" s="199" t="str">
        <f t="shared" si="1314"/>
        <v/>
      </c>
      <c r="AF4220" s="199" t="str">
        <f>IF(AND(COUNTIFS($J$18:J4220,J4220)=1,AE4220=1),1,"")</f>
        <v/>
      </c>
      <c r="AG4220" s="199" t="str">
        <f>IF(C4220="","",IF(AND(COUNTIFS($J$18:J4220,J4220)=1,C4220&lt;&gt;""),1,""))</f>
        <v/>
      </c>
      <c r="AH4220" s="199" t="str">
        <f>IF(G4220="","",IF(AND(COUNTIFS($J$18:J4220,J4220)=1,G4220&lt;&gt;""),1,""))</f>
        <v/>
      </c>
      <c r="AI4220" s="200">
        <f t="shared" si="1315"/>
        <v>0</v>
      </c>
      <c r="AJ4220" s="200">
        <f t="shared" si="1316"/>
        <v>0</v>
      </c>
      <c r="AK4220" s="201" t="str">
        <f t="shared" si="1317"/>
        <v/>
      </c>
      <c r="AL4220" s="24"/>
      <c r="AM4220" s="24"/>
      <c r="AN4220" s="24"/>
      <c r="AO4220" s="24"/>
      <c r="AP4220" s="165" t="str">
        <f t="shared" si="1318"/>
        <v/>
      </c>
      <c r="AQ4220" s="203" t="str">
        <f t="shared" si="1319"/>
        <v/>
      </c>
      <c r="AR4220" s="206">
        <f t="shared" si="1320"/>
        <v>0</v>
      </c>
      <c r="AS4220" s="22" t="str">
        <f t="shared" si="1321"/>
        <v/>
      </c>
      <c r="AT4220" s="24" t="str">
        <f t="shared" si="1322"/>
        <v/>
      </c>
      <c r="AU4220" s="22" t="s">
        <v>3240</v>
      </c>
    </row>
    <row r="4221" spans="1:47">
      <c r="A4221" s="246" t="str">
        <f t="shared" si="1310"/>
        <v/>
      </c>
      <c r="B4221" s="23"/>
      <c r="C4221" s="23"/>
      <c r="D4221" s="202" t="str">
        <f t="shared" si="1311"/>
        <v/>
      </c>
      <c r="E4221" s="33" t="str">
        <f t="shared" si="1305"/>
        <v/>
      </c>
      <c r="F4221" s="23"/>
      <c r="G4221" s="23"/>
      <c r="H4221" s="29"/>
      <c r="I4221" s="204" t="str">
        <f t="shared" si="1308"/>
        <v/>
      </c>
      <c r="J4221" s="188"/>
      <c r="K4221" s="29"/>
      <c r="L4221" s="24"/>
      <c r="M4221" s="22"/>
      <c r="N4221" s="22"/>
      <c r="O4221" s="22"/>
      <c r="P4221" s="202" t="str">
        <f t="shared" si="1309"/>
        <v/>
      </c>
      <c r="Q4221" s="22"/>
      <c r="R4221" s="22"/>
      <c r="S4221" s="22"/>
      <c r="T4221" s="22"/>
      <c r="U4221" s="22"/>
      <c r="V4221" s="22"/>
      <c r="W4221" s="22"/>
      <c r="X4221" s="104"/>
      <c r="Y4221" s="195" t="str">
        <f t="shared" si="1306"/>
        <v/>
      </c>
      <c r="Z4221" s="196" t="str">
        <f t="shared" si="1307"/>
        <v/>
      </c>
      <c r="AA4221" s="22"/>
      <c r="AB4221" s="197" t="str">
        <f t="shared" si="1312"/>
        <v/>
      </c>
      <c r="AC4221" s="198" t="str">
        <f t="shared" si="1313"/>
        <v/>
      </c>
      <c r="AD4221" s="162"/>
      <c r="AE4221" s="199" t="str">
        <f t="shared" si="1314"/>
        <v/>
      </c>
      <c r="AF4221" s="199" t="str">
        <f>IF(AND(COUNTIFS($J$18:J4221,J4221)=1,AE4221=1),1,"")</f>
        <v/>
      </c>
      <c r="AG4221" s="199" t="str">
        <f>IF(C4221="","",IF(AND(COUNTIFS($J$18:J4221,J4221)=1,C4221&lt;&gt;""),1,""))</f>
        <v/>
      </c>
      <c r="AH4221" s="199" t="str">
        <f>IF(G4221="","",IF(AND(COUNTIFS($J$18:J4221,J4221)=1,G4221&lt;&gt;""),1,""))</f>
        <v/>
      </c>
      <c r="AI4221" s="200">
        <f t="shared" si="1315"/>
        <v>0</v>
      </c>
      <c r="AJ4221" s="200">
        <f t="shared" si="1316"/>
        <v>0</v>
      </c>
      <c r="AK4221" s="201" t="str">
        <f t="shared" si="1317"/>
        <v/>
      </c>
      <c r="AL4221" s="24"/>
      <c r="AM4221" s="24"/>
      <c r="AN4221" s="24"/>
      <c r="AO4221" s="24"/>
      <c r="AP4221" s="165" t="str">
        <f t="shared" si="1318"/>
        <v/>
      </c>
      <c r="AQ4221" s="203" t="str">
        <f t="shared" si="1319"/>
        <v/>
      </c>
      <c r="AR4221" s="206">
        <f t="shared" si="1320"/>
        <v>0</v>
      </c>
      <c r="AS4221" s="22" t="str">
        <f t="shared" si="1321"/>
        <v/>
      </c>
      <c r="AT4221" s="24" t="str">
        <f t="shared" si="1322"/>
        <v/>
      </c>
      <c r="AU4221" s="22" t="s">
        <v>3240</v>
      </c>
    </row>
    <row r="4222" spans="1:47">
      <c r="A4222" s="246" t="str">
        <f t="shared" si="1310"/>
        <v/>
      </c>
      <c r="B4222" s="23"/>
      <c r="C4222" s="23"/>
      <c r="D4222" s="202" t="str">
        <f t="shared" si="1311"/>
        <v/>
      </c>
      <c r="E4222" s="33" t="str">
        <f t="shared" si="1305"/>
        <v/>
      </c>
      <c r="F4222" s="23"/>
      <c r="G4222" s="23"/>
      <c r="H4222" s="29"/>
      <c r="I4222" s="204" t="str">
        <f t="shared" si="1308"/>
        <v/>
      </c>
      <c r="J4222" s="188"/>
      <c r="K4222" s="29"/>
      <c r="L4222" s="24"/>
      <c r="M4222" s="22"/>
      <c r="N4222" s="22"/>
      <c r="O4222" s="22"/>
      <c r="P4222" s="202" t="str">
        <f t="shared" si="1309"/>
        <v/>
      </c>
      <c r="Q4222" s="22"/>
      <c r="R4222" s="22"/>
      <c r="S4222" s="22"/>
      <c r="T4222" s="22"/>
      <c r="U4222" s="22"/>
      <c r="V4222" s="22"/>
      <c r="W4222" s="22"/>
      <c r="X4222" s="104"/>
      <c r="Y4222" s="195" t="str">
        <f t="shared" si="1306"/>
        <v/>
      </c>
      <c r="Z4222" s="196" t="str">
        <f t="shared" si="1307"/>
        <v/>
      </c>
      <c r="AA4222" s="22"/>
      <c r="AB4222" s="197" t="str">
        <f t="shared" si="1312"/>
        <v/>
      </c>
      <c r="AC4222" s="198" t="str">
        <f t="shared" si="1313"/>
        <v/>
      </c>
      <c r="AD4222" s="162"/>
      <c r="AE4222" s="199" t="str">
        <f t="shared" si="1314"/>
        <v/>
      </c>
      <c r="AF4222" s="199" t="str">
        <f>IF(AND(COUNTIFS($J$18:J4222,J4222)=1,AE4222=1),1,"")</f>
        <v/>
      </c>
      <c r="AG4222" s="199" t="str">
        <f>IF(C4222="","",IF(AND(COUNTIFS($J$18:J4222,J4222)=1,C4222&lt;&gt;""),1,""))</f>
        <v/>
      </c>
      <c r="AH4222" s="199" t="str">
        <f>IF(G4222="","",IF(AND(COUNTIFS($J$18:J4222,J4222)=1,G4222&lt;&gt;""),1,""))</f>
        <v/>
      </c>
      <c r="AI4222" s="200">
        <f t="shared" si="1315"/>
        <v>0</v>
      </c>
      <c r="AJ4222" s="200">
        <f t="shared" si="1316"/>
        <v>0</v>
      </c>
      <c r="AK4222" s="201" t="str">
        <f t="shared" si="1317"/>
        <v/>
      </c>
      <c r="AL4222" s="24"/>
      <c r="AM4222" s="24"/>
      <c r="AN4222" s="24"/>
      <c r="AO4222" s="24"/>
      <c r="AP4222" s="165" t="str">
        <f t="shared" si="1318"/>
        <v/>
      </c>
      <c r="AQ4222" s="203" t="str">
        <f t="shared" si="1319"/>
        <v/>
      </c>
      <c r="AR4222" s="206">
        <f t="shared" si="1320"/>
        <v>0</v>
      </c>
      <c r="AS4222" s="22" t="str">
        <f t="shared" si="1321"/>
        <v/>
      </c>
      <c r="AT4222" s="24" t="str">
        <f t="shared" si="1322"/>
        <v/>
      </c>
      <c r="AU4222" s="22" t="s">
        <v>3240</v>
      </c>
    </row>
    <row r="4223" spans="1:47">
      <c r="A4223" s="246" t="str">
        <f t="shared" si="1310"/>
        <v/>
      </c>
      <c r="B4223" s="23"/>
      <c r="C4223" s="23"/>
      <c r="D4223" s="202" t="str">
        <f t="shared" si="1311"/>
        <v/>
      </c>
      <c r="E4223" s="33" t="str">
        <f t="shared" si="1305"/>
        <v/>
      </c>
      <c r="F4223" s="23"/>
      <c r="G4223" s="23"/>
      <c r="H4223" s="29"/>
      <c r="I4223" s="204" t="str">
        <f t="shared" si="1308"/>
        <v/>
      </c>
      <c r="J4223" s="188"/>
      <c r="K4223" s="29"/>
      <c r="L4223" s="24"/>
      <c r="M4223" s="22"/>
      <c r="N4223" s="22"/>
      <c r="O4223" s="22"/>
      <c r="P4223" s="202" t="str">
        <f t="shared" si="1309"/>
        <v/>
      </c>
      <c r="Q4223" s="22"/>
      <c r="R4223" s="22"/>
      <c r="S4223" s="22"/>
      <c r="T4223" s="22"/>
      <c r="U4223" s="22"/>
      <c r="V4223" s="22"/>
      <c r="W4223" s="22"/>
      <c r="X4223" s="104"/>
      <c r="Y4223" s="195" t="str">
        <f t="shared" si="1306"/>
        <v/>
      </c>
      <c r="Z4223" s="196" t="str">
        <f t="shared" si="1307"/>
        <v/>
      </c>
      <c r="AA4223" s="22"/>
      <c r="AB4223" s="197" t="str">
        <f t="shared" si="1312"/>
        <v/>
      </c>
      <c r="AC4223" s="198" t="str">
        <f t="shared" si="1313"/>
        <v/>
      </c>
      <c r="AD4223" s="162"/>
      <c r="AE4223" s="199" t="str">
        <f t="shared" si="1314"/>
        <v/>
      </c>
      <c r="AF4223" s="199" t="str">
        <f>IF(AND(COUNTIFS($J$18:J4223,J4223)=1,AE4223=1),1,"")</f>
        <v/>
      </c>
      <c r="AG4223" s="199" t="str">
        <f>IF(C4223="","",IF(AND(COUNTIFS($J$18:J4223,J4223)=1,C4223&lt;&gt;""),1,""))</f>
        <v/>
      </c>
      <c r="AH4223" s="199" t="str">
        <f>IF(G4223="","",IF(AND(COUNTIFS($J$18:J4223,J4223)=1,G4223&lt;&gt;""),1,""))</f>
        <v/>
      </c>
      <c r="AI4223" s="200">
        <f t="shared" si="1315"/>
        <v>0</v>
      </c>
      <c r="AJ4223" s="200">
        <f t="shared" si="1316"/>
        <v>0</v>
      </c>
      <c r="AK4223" s="201" t="str">
        <f t="shared" si="1317"/>
        <v/>
      </c>
      <c r="AL4223" s="24"/>
      <c r="AM4223" s="24"/>
      <c r="AN4223" s="24"/>
      <c r="AO4223" s="24"/>
      <c r="AP4223" s="165" t="str">
        <f t="shared" si="1318"/>
        <v/>
      </c>
      <c r="AQ4223" s="203" t="str">
        <f t="shared" si="1319"/>
        <v/>
      </c>
      <c r="AR4223" s="206">
        <f t="shared" si="1320"/>
        <v>0</v>
      </c>
      <c r="AS4223" s="22" t="str">
        <f t="shared" si="1321"/>
        <v/>
      </c>
      <c r="AT4223" s="24" t="str">
        <f t="shared" si="1322"/>
        <v/>
      </c>
      <c r="AU4223" s="22" t="s">
        <v>3240</v>
      </c>
    </row>
    <row r="4224" spans="1:47">
      <c r="A4224" s="246" t="str">
        <f t="shared" si="1310"/>
        <v/>
      </c>
      <c r="B4224" s="23"/>
      <c r="C4224" s="23"/>
      <c r="D4224" s="202" t="str">
        <f t="shared" si="1311"/>
        <v/>
      </c>
      <c r="E4224" s="33" t="str">
        <f t="shared" si="1305"/>
        <v/>
      </c>
      <c r="F4224" s="23"/>
      <c r="G4224" s="23"/>
      <c r="H4224" s="29"/>
      <c r="I4224" s="204" t="str">
        <f t="shared" si="1308"/>
        <v/>
      </c>
      <c r="J4224" s="188"/>
      <c r="K4224" s="29"/>
      <c r="L4224" s="24"/>
      <c r="M4224" s="22"/>
      <c r="N4224" s="22"/>
      <c r="O4224" s="22"/>
      <c r="P4224" s="202" t="str">
        <f t="shared" si="1309"/>
        <v/>
      </c>
      <c r="Q4224" s="22"/>
      <c r="R4224" s="22"/>
      <c r="S4224" s="22"/>
      <c r="T4224" s="22"/>
      <c r="U4224" s="22"/>
      <c r="V4224" s="22"/>
      <c r="W4224" s="22"/>
      <c r="X4224" s="104"/>
      <c r="Y4224" s="195" t="str">
        <f t="shared" si="1306"/>
        <v/>
      </c>
      <c r="Z4224" s="196" t="str">
        <f t="shared" si="1307"/>
        <v/>
      </c>
      <c r="AA4224" s="22"/>
      <c r="AB4224" s="197" t="str">
        <f t="shared" si="1312"/>
        <v/>
      </c>
      <c r="AC4224" s="198" t="str">
        <f t="shared" si="1313"/>
        <v/>
      </c>
      <c r="AD4224" s="162"/>
      <c r="AE4224" s="199" t="str">
        <f t="shared" si="1314"/>
        <v/>
      </c>
      <c r="AF4224" s="199" t="str">
        <f>IF(AND(COUNTIFS($J$18:J4224,J4224)=1,AE4224=1),1,"")</f>
        <v/>
      </c>
      <c r="AG4224" s="199" t="str">
        <f>IF(C4224="","",IF(AND(COUNTIFS($J$18:J4224,J4224)=1,C4224&lt;&gt;""),1,""))</f>
        <v/>
      </c>
      <c r="AH4224" s="199" t="str">
        <f>IF(G4224="","",IF(AND(COUNTIFS($J$18:J4224,J4224)=1,G4224&lt;&gt;""),1,""))</f>
        <v/>
      </c>
      <c r="AI4224" s="200">
        <f t="shared" si="1315"/>
        <v>0</v>
      </c>
      <c r="AJ4224" s="200">
        <f t="shared" si="1316"/>
        <v>0</v>
      </c>
      <c r="AK4224" s="201" t="str">
        <f t="shared" si="1317"/>
        <v/>
      </c>
      <c r="AL4224" s="24"/>
      <c r="AM4224" s="24"/>
      <c r="AN4224" s="24"/>
      <c r="AO4224" s="24"/>
      <c r="AP4224" s="165" t="str">
        <f t="shared" si="1318"/>
        <v/>
      </c>
      <c r="AQ4224" s="203" t="str">
        <f t="shared" si="1319"/>
        <v/>
      </c>
      <c r="AR4224" s="206">
        <f t="shared" si="1320"/>
        <v>0</v>
      </c>
      <c r="AS4224" s="22" t="str">
        <f t="shared" si="1321"/>
        <v/>
      </c>
      <c r="AT4224" s="24" t="str">
        <f t="shared" si="1322"/>
        <v/>
      </c>
      <c r="AU4224" s="22" t="s">
        <v>3240</v>
      </c>
    </row>
    <row r="4225" spans="1:47">
      <c r="A4225" s="246" t="str">
        <f t="shared" si="1310"/>
        <v/>
      </c>
      <c r="B4225" s="23"/>
      <c r="C4225" s="23"/>
      <c r="D4225" s="202" t="str">
        <f t="shared" si="1311"/>
        <v/>
      </c>
      <c r="E4225" s="33" t="str">
        <f t="shared" si="1305"/>
        <v/>
      </c>
      <c r="F4225" s="23"/>
      <c r="G4225" s="23"/>
      <c r="H4225" s="29"/>
      <c r="I4225" s="204" t="str">
        <f t="shared" si="1308"/>
        <v/>
      </c>
      <c r="J4225" s="188"/>
      <c r="K4225" s="29"/>
      <c r="L4225" s="24"/>
      <c r="M4225" s="22"/>
      <c r="N4225" s="22"/>
      <c r="O4225" s="22"/>
      <c r="P4225" s="202" t="str">
        <f t="shared" si="1309"/>
        <v/>
      </c>
      <c r="Q4225" s="22"/>
      <c r="R4225" s="22"/>
      <c r="S4225" s="22"/>
      <c r="T4225" s="22"/>
      <c r="U4225" s="22"/>
      <c r="V4225" s="22"/>
      <c r="W4225" s="22"/>
      <c r="X4225" s="104"/>
      <c r="Y4225" s="195" t="str">
        <f t="shared" si="1306"/>
        <v/>
      </c>
      <c r="Z4225" s="196" t="str">
        <f t="shared" si="1307"/>
        <v/>
      </c>
      <c r="AA4225" s="22"/>
      <c r="AB4225" s="197" t="str">
        <f t="shared" si="1312"/>
        <v/>
      </c>
      <c r="AC4225" s="198" t="str">
        <f t="shared" si="1313"/>
        <v/>
      </c>
      <c r="AD4225" s="162"/>
      <c r="AE4225" s="199" t="str">
        <f t="shared" si="1314"/>
        <v/>
      </c>
      <c r="AF4225" s="199" t="str">
        <f>IF(AND(COUNTIFS($J$18:J4225,J4225)=1,AE4225=1),1,"")</f>
        <v/>
      </c>
      <c r="AG4225" s="199" t="str">
        <f>IF(C4225="","",IF(AND(COUNTIFS($J$18:J4225,J4225)=1,C4225&lt;&gt;""),1,""))</f>
        <v/>
      </c>
      <c r="AH4225" s="199" t="str">
        <f>IF(G4225="","",IF(AND(COUNTIFS($J$18:J4225,J4225)=1,G4225&lt;&gt;""),1,""))</f>
        <v/>
      </c>
      <c r="AI4225" s="200">
        <f t="shared" si="1315"/>
        <v>0</v>
      </c>
      <c r="AJ4225" s="200">
        <f t="shared" si="1316"/>
        <v>0</v>
      </c>
      <c r="AK4225" s="201" t="str">
        <f t="shared" si="1317"/>
        <v/>
      </c>
      <c r="AL4225" s="24"/>
      <c r="AM4225" s="24"/>
      <c r="AN4225" s="24"/>
      <c r="AO4225" s="24"/>
      <c r="AP4225" s="165" t="str">
        <f t="shared" si="1318"/>
        <v/>
      </c>
      <c r="AQ4225" s="203" t="str">
        <f t="shared" si="1319"/>
        <v/>
      </c>
      <c r="AR4225" s="206">
        <f t="shared" si="1320"/>
        <v>0</v>
      </c>
      <c r="AS4225" s="22" t="str">
        <f t="shared" si="1321"/>
        <v/>
      </c>
      <c r="AT4225" s="24" t="str">
        <f t="shared" si="1322"/>
        <v/>
      </c>
      <c r="AU4225" s="22" t="s">
        <v>3240</v>
      </c>
    </row>
    <row r="4226" spans="1:47">
      <c r="A4226" s="246" t="str">
        <f t="shared" si="1310"/>
        <v/>
      </c>
      <c r="B4226" s="23"/>
      <c r="C4226" s="23"/>
      <c r="D4226" s="202" t="str">
        <f t="shared" si="1311"/>
        <v/>
      </c>
      <c r="E4226" s="33" t="str">
        <f t="shared" si="1305"/>
        <v/>
      </c>
      <c r="F4226" s="23"/>
      <c r="G4226" s="23"/>
      <c r="H4226" s="29"/>
      <c r="I4226" s="204" t="str">
        <f t="shared" si="1308"/>
        <v/>
      </c>
      <c r="J4226" s="188"/>
      <c r="K4226" s="29"/>
      <c r="L4226" s="24"/>
      <c r="M4226" s="22"/>
      <c r="N4226" s="22"/>
      <c r="O4226" s="22"/>
      <c r="P4226" s="202" t="str">
        <f t="shared" si="1309"/>
        <v/>
      </c>
      <c r="Q4226" s="22"/>
      <c r="R4226" s="22"/>
      <c r="S4226" s="22"/>
      <c r="T4226" s="22"/>
      <c r="U4226" s="22"/>
      <c r="V4226" s="22"/>
      <c r="W4226" s="22"/>
      <c r="X4226" s="104"/>
      <c r="Y4226" s="195" t="str">
        <f t="shared" si="1306"/>
        <v/>
      </c>
      <c r="Z4226" s="196" t="str">
        <f t="shared" si="1307"/>
        <v/>
      </c>
      <c r="AA4226" s="22"/>
      <c r="AB4226" s="197" t="str">
        <f t="shared" si="1312"/>
        <v/>
      </c>
      <c r="AC4226" s="198" t="str">
        <f t="shared" si="1313"/>
        <v/>
      </c>
      <c r="AD4226" s="162"/>
      <c r="AE4226" s="199" t="str">
        <f t="shared" si="1314"/>
        <v/>
      </c>
      <c r="AF4226" s="199" t="str">
        <f>IF(AND(COUNTIFS($J$18:J4226,J4226)=1,AE4226=1),1,"")</f>
        <v/>
      </c>
      <c r="AG4226" s="199" t="str">
        <f>IF(C4226="","",IF(AND(COUNTIFS($J$18:J4226,J4226)=1,C4226&lt;&gt;""),1,""))</f>
        <v/>
      </c>
      <c r="AH4226" s="199" t="str">
        <f>IF(G4226="","",IF(AND(COUNTIFS($J$18:J4226,J4226)=1,G4226&lt;&gt;""),1,""))</f>
        <v/>
      </c>
      <c r="AI4226" s="200">
        <f t="shared" si="1315"/>
        <v>0</v>
      </c>
      <c r="AJ4226" s="200">
        <f t="shared" si="1316"/>
        <v>0</v>
      </c>
      <c r="AK4226" s="201" t="str">
        <f t="shared" si="1317"/>
        <v/>
      </c>
      <c r="AL4226" s="24"/>
      <c r="AM4226" s="24"/>
      <c r="AN4226" s="24"/>
      <c r="AO4226" s="24"/>
      <c r="AP4226" s="165" t="str">
        <f t="shared" si="1318"/>
        <v/>
      </c>
      <c r="AQ4226" s="203" t="str">
        <f t="shared" si="1319"/>
        <v/>
      </c>
      <c r="AR4226" s="206">
        <f t="shared" si="1320"/>
        <v>0</v>
      </c>
      <c r="AS4226" s="22" t="str">
        <f t="shared" si="1321"/>
        <v/>
      </c>
      <c r="AT4226" s="24" t="str">
        <f t="shared" si="1322"/>
        <v/>
      </c>
      <c r="AU4226" s="22" t="s">
        <v>3240</v>
      </c>
    </row>
    <row r="4227" spans="1:47">
      <c r="A4227" s="246" t="str">
        <f t="shared" si="1310"/>
        <v/>
      </c>
      <c r="B4227" s="23"/>
      <c r="C4227" s="23"/>
      <c r="D4227" s="202" t="str">
        <f t="shared" si="1311"/>
        <v/>
      </c>
      <c r="E4227" s="33" t="str">
        <f t="shared" si="1305"/>
        <v/>
      </c>
      <c r="F4227" s="23"/>
      <c r="G4227" s="23"/>
      <c r="H4227" s="29"/>
      <c r="I4227" s="204" t="str">
        <f t="shared" si="1308"/>
        <v/>
      </c>
      <c r="J4227" s="188"/>
      <c r="K4227" s="29"/>
      <c r="L4227" s="24"/>
      <c r="M4227" s="22"/>
      <c r="N4227" s="22"/>
      <c r="O4227" s="22"/>
      <c r="P4227" s="202" t="str">
        <f t="shared" si="1309"/>
        <v/>
      </c>
      <c r="Q4227" s="22"/>
      <c r="R4227" s="22"/>
      <c r="S4227" s="22"/>
      <c r="T4227" s="22"/>
      <c r="U4227" s="22"/>
      <c r="V4227" s="22"/>
      <c r="W4227" s="22"/>
      <c r="X4227" s="104"/>
      <c r="Y4227" s="195" t="str">
        <f t="shared" si="1306"/>
        <v/>
      </c>
      <c r="Z4227" s="196" t="str">
        <f t="shared" si="1307"/>
        <v/>
      </c>
      <c r="AA4227" s="22"/>
      <c r="AB4227" s="197" t="str">
        <f t="shared" si="1312"/>
        <v/>
      </c>
      <c r="AC4227" s="198" t="str">
        <f t="shared" si="1313"/>
        <v/>
      </c>
      <c r="AD4227" s="162"/>
      <c r="AE4227" s="199" t="str">
        <f t="shared" si="1314"/>
        <v/>
      </c>
      <c r="AF4227" s="199" t="str">
        <f>IF(AND(COUNTIFS($J$18:J4227,J4227)=1,AE4227=1),1,"")</f>
        <v/>
      </c>
      <c r="AG4227" s="199" t="str">
        <f>IF(C4227="","",IF(AND(COUNTIFS($J$18:J4227,J4227)=1,C4227&lt;&gt;""),1,""))</f>
        <v/>
      </c>
      <c r="AH4227" s="199" t="str">
        <f>IF(G4227="","",IF(AND(COUNTIFS($J$18:J4227,J4227)=1,G4227&lt;&gt;""),1,""))</f>
        <v/>
      </c>
      <c r="AI4227" s="200">
        <f t="shared" si="1315"/>
        <v>0</v>
      </c>
      <c r="AJ4227" s="200">
        <f t="shared" si="1316"/>
        <v>0</v>
      </c>
      <c r="AK4227" s="201" t="str">
        <f t="shared" si="1317"/>
        <v/>
      </c>
      <c r="AL4227" s="24"/>
      <c r="AM4227" s="24"/>
      <c r="AN4227" s="24"/>
      <c r="AO4227" s="24"/>
      <c r="AP4227" s="165" t="str">
        <f t="shared" si="1318"/>
        <v/>
      </c>
      <c r="AQ4227" s="203" t="str">
        <f t="shared" si="1319"/>
        <v/>
      </c>
      <c r="AR4227" s="206">
        <f t="shared" si="1320"/>
        <v>0</v>
      </c>
      <c r="AS4227" s="22" t="str">
        <f t="shared" si="1321"/>
        <v/>
      </c>
      <c r="AT4227" s="24" t="str">
        <f t="shared" si="1322"/>
        <v/>
      </c>
      <c r="AU4227" s="22" t="s">
        <v>3240</v>
      </c>
    </row>
    <row r="4228" spans="1:47">
      <c r="A4228" s="246" t="str">
        <f t="shared" si="1310"/>
        <v/>
      </c>
      <c r="B4228" s="23"/>
      <c r="C4228" s="23"/>
      <c r="D4228" s="202" t="str">
        <f t="shared" si="1311"/>
        <v/>
      </c>
      <c r="E4228" s="33" t="str">
        <f t="shared" si="1305"/>
        <v/>
      </c>
      <c r="F4228" s="23"/>
      <c r="G4228" s="23"/>
      <c r="H4228" s="29"/>
      <c r="I4228" s="204" t="str">
        <f t="shared" si="1308"/>
        <v/>
      </c>
      <c r="J4228" s="188"/>
      <c r="K4228" s="29"/>
      <c r="L4228" s="24"/>
      <c r="M4228" s="22"/>
      <c r="N4228" s="22"/>
      <c r="O4228" s="22"/>
      <c r="P4228" s="202" t="str">
        <f t="shared" si="1309"/>
        <v/>
      </c>
      <c r="Q4228" s="22"/>
      <c r="R4228" s="22"/>
      <c r="S4228" s="22"/>
      <c r="T4228" s="22"/>
      <c r="U4228" s="22"/>
      <c r="V4228" s="22"/>
      <c r="W4228" s="22"/>
      <c r="X4228" s="104"/>
      <c r="Y4228" s="195" t="str">
        <f t="shared" si="1306"/>
        <v/>
      </c>
      <c r="Z4228" s="196" t="str">
        <f t="shared" si="1307"/>
        <v/>
      </c>
      <c r="AA4228" s="22"/>
      <c r="AB4228" s="197" t="str">
        <f t="shared" si="1312"/>
        <v/>
      </c>
      <c r="AC4228" s="198" t="str">
        <f t="shared" si="1313"/>
        <v/>
      </c>
      <c r="AD4228" s="162"/>
      <c r="AE4228" s="199" t="str">
        <f t="shared" si="1314"/>
        <v/>
      </c>
      <c r="AF4228" s="199" t="str">
        <f>IF(AND(COUNTIFS($J$18:J4228,J4228)=1,AE4228=1),1,"")</f>
        <v/>
      </c>
      <c r="AG4228" s="199" t="str">
        <f>IF(C4228="","",IF(AND(COUNTIFS($J$18:J4228,J4228)=1,C4228&lt;&gt;""),1,""))</f>
        <v/>
      </c>
      <c r="AH4228" s="199" t="str">
        <f>IF(G4228="","",IF(AND(COUNTIFS($J$18:J4228,J4228)=1,G4228&lt;&gt;""),1,""))</f>
        <v/>
      </c>
      <c r="AI4228" s="200">
        <f t="shared" si="1315"/>
        <v>0</v>
      </c>
      <c r="AJ4228" s="200">
        <f t="shared" si="1316"/>
        <v>0</v>
      </c>
      <c r="AK4228" s="201" t="str">
        <f t="shared" si="1317"/>
        <v/>
      </c>
      <c r="AL4228" s="24"/>
      <c r="AM4228" s="24"/>
      <c r="AN4228" s="24"/>
      <c r="AO4228" s="24"/>
      <c r="AP4228" s="165" t="str">
        <f t="shared" si="1318"/>
        <v/>
      </c>
      <c r="AQ4228" s="203" t="str">
        <f t="shared" si="1319"/>
        <v/>
      </c>
      <c r="AR4228" s="206">
        <f t="shared" si="1320"/>
        <v>0</v>
      </c>
      <c r="AS4228" s="22" t="str">
        <f t="shared" si="1321"/>
        <v/>
      </c>
      <c r="AT4228" s="24" t="str">
        <f t="shared" si="1322"/>
        <v/>
      </c>
      <c r="AU4228" s="22" t="s">
        <v>3240</v>
      </c>
    </row>
    <row r="4229" spans="1:47">
      <c r="A4229" s="246" t="str">
        <f t="shared" si="1310"/>
        <v/>
      </c>
      <c r="B4229" s="23"/>
      <c r="C4229" s="23"/>
      <c r="D4229" s="202" t="str">
        <f t="shared" si="1311"/>
        <v/>
      </c>
      <c r="E4229" s="33" t="str">
        <f t="shared" si="1305"/>
        <v/>
      </c>
      <c r="F4229" s="23"/>
      <c r="G4229" s="23"/>
      <c r="H4229" s="29"/>
      <c r="I4229" s="204" t="str">
        <f t="shared" si="1308"/>
        <v/>
      </c>
      <c r="J4229" s="188"/>
      <c r="K4229" s="29"/>
      <c r="L4229" s="24"/>
      <c r="M4229" s="22"/>
      <c r="N4229" s="22"/>
      <c r="O4229" s="22"/>
      <c r="P4229" s="202" t="str">
        <f t="shared" si="1309"/>
        <v/>
      </c>
      <c r="Q4229" s="22"/>
      <c r="R4229" s="22"/>
      <c r="S4229" s="22"/>
      <c r="T4229" s="22"/>
      <c r="U4229" s="22"/>
      <c r="V4229" s="22"/>
      <c r="W4229" s="22"/>
      <c r="X4229" s="104"/>
      <c r="Y4229" s="195" t="str">
        <f t="shared" si="1306"/>
        <v/>
      </c>
      <c r="Z4229" s="196" t="str">
        <f t="shared" si="1307"/>
        <v/>
      </c>
      <c r="AA4229" s="22"/>
      <c r="AB4229" s="197" t="str">
        <f t="shared" si="1312"/>
        <v/>
      </c>
      <c r="AC4229" s="198" t="str">
        <f t="shared" si="1313"/>
        <v/>
      </c>
      <c r="AD4229" s="162"/>
      <c r="AE4229" s="199" t="str">
        <f t="shared" si="1314"/>
        <v/>
      </c>
      <c r="AF4229" s="199" t="str">
        <f>IF(AND(COUNTIFS($J$18:J4229,J4229)=1,AE4229=1),1,"")</f>
        <v/>
      </c>
      <c r="AG4229" s="199" t="str">
        <f>IF(C4229="","",IF(AND(COUNTIFS($J$18:J4229,J4229)=1,C4229&lt;&gt;""),1,""))</f>
        <v/>
      </c>
      <c r="AH4229" s="199" t="str">
        <f>IF(G4229="","",IF(AND(COUNTIFS($J$18:J4229,J4229)=1,G4229&lt;&gt;""),1,""))</f>
        <v/>
      </c>
      <c r="AI4229" s="200">
        <f t="shared" si="1315"/>
        <v>0</v>
      </c>
      <c r="AJ4229" s="200">
        <f t="shared" si="1316"/>
        <v>0</v>
      </c>
      <c r="AK4229" s="201" t="str">
        <f t="shared" si="1317"/>
        <v/>
      </c>
      <c r="AL4229" s="24"/>
      <c r="AM4229" s="24"/>
      <c r="AN4229" s="24"/>
      <c r="AO4229" s="24"/>
      <c r="AP4229" s="165" t="str">
        <f t="shared" si="1318"/>
        <v/>
      </c>
      <c r="AQ4229" s="203" t="str">
        <f t="shared" si="1319"/>
        <v/>
      </c>
      <c r="AR4229" s="206">
        <f t="shared" si="1320"/>
        <v>0</v>
      </c>
      <c r="AS4229" s="22" t="str">
        <f t="shared" si="1321"/>
        <v/>
      </c>
      <c r="AT4229" s="24" t="str">
        <f t="shared" si="1322"/>
        <v/>
      </c>
      <c r="AU4229" s="22" t="s">
        <v>3240</v>
      </c>
    </row>
    <row r="4230" spans="1:47">
      <c r="A4230" s="246" t="str">
        <f t="shared" si="1310"/>
        <v/>
      </c>
      <c r="B4230" s="23"/>
      <c r="C4230" s="23"/>
      <c r="D4230" s="202" t="str">
        <f t="shared" si="1311"/>
        <v/>
      </c>
      <c r="E4230" s="33" t="str">
        <f t="shared" si="1305"/>
        <v/>
      </c>
      <c r="F4230" s="23"/>
      <c r="G4230" s="23"/>
      <c r="H4230" s="29"/>
      <c r="I4230" s="204" t="str">
        <f t="shared" si="1308"/>
        <v/>
      </c>
      <c r="J4230" s="188"/>
      <c r="K4230" s="29"/>
      <c r="L4230" s="24"/>
      <c r="M4230" s="22"/>
      <c r="N4230" s="22"/>
      <c r="O4230" s="22"/>
      <c r="P4230" s="202" t="str">
        <f t="shared" si="1309"/>
        <v/>
      </c>
      <c r="Q4230" s="22"/>
      <c r="R4230" s="22"/>
      <c r="S4230" s="22"/>
      <c r="T4230" s="22"/>
      <c r="U4230" s="22"/>
      <c r="V4230" s="22"/>
      <c r="W4230" s="22"/>
      <c r="X4230" s="104"/>
      <c r="Y4230" s="195" t="str">
        <f t="shared" si="1306"/>
        <v/>
      </c>
      <c r="Z4230" s="196" t="str">
        <f t="shared" si="1307"/>
        <v/>
      </c>
      <c r="AA4230" s="22"/>
      <c r="AB4230" s="197" t="str">
        <f t="shared" si="1312"/>
        <v/>
      </c>
      <c r="AC4230" s="198" t="str">
        <f t="shared" si="1313"/>
        <v/>
      </c>
      <c r="AD4230" s="162"/>
      <c r="AE4230" s="199" t="str">
        <f t="shared" si="1314"/>
        <v/>
      </c>
      <c r="AF4230" s="199" t="str">
        <f>IF(AND(COUNTIFS($J$18:J4230,J4230)=1,AE4230=1),1,"")</f>
        <v/>
      </c>
      <c r="AG4230" s="199" t="str">
        <f>IF(C4230="","",IF(AND(COUNTIFS($J$18:J4230,J4230)=1,C4230&lt;&gt;""),1,""))</f>
        <v/>
      </c>
      <c r="AH4230" s="199" t="str">
        <f>IF(G4230="","",IF(AND(COUNTIFS($J$18:J4230,J4230)=1,G4230&lt;&gt;""),1,""))</f>
        <v/>
      </c>
      <c r="AI4230" s="200">
        <f t="shared" si="1315"/>
        <v>0</v>
      </c>
      <c r="AJ4230" s="200">
        <f t="shared" si="1316"/>
        <v>0</v>
      </c>
      <c r="AK4230" s="201" t="str">
        <f t="shared" si="1317"/>
        <v/>
      </c>
      <c r="AL4230" s="24"/>
      <c r="AM4230" s="24"/>
      <c r="AN4230" s="24"/>
      <c r="AO4230" s="24"/>
      <c r="AP4230" s="165" t="str">
        <f t="shared" si="1318"/>
        <v/>
      </c>
      <c r="AQ4230" s="203" t="str">
        <f t="shared" si="1319"/>
        <v/>
      </c>
      <c r="AR4230" s="206">
        <f t="shared" si="1320"/>
        <v>0</v>
      </c>
      <c r="AS4230" s="22" t="str">
        <f t="shared" si="1321"/>
        <v/>
      </c>
      <c r="AT4230" s="24" t="str">
        <f t="shared" si="1322"/>
        <v/>
      </c>
      <c r="AU4230" s="22" t="s">
        <v>3240</v>
      </c>
    </row>
    <row r="4231" spans="1:47">
      <c r="A4231" s="246" t="str">
        <f t="shared" si="1310"/>
        <v/>
      </c>
      <c r="B4231" s="23"/>
      <c r="C4231" s="23"/>
      <c r="D4231" s="202" t="str">
        <f t="shared" si="1311"/>
        <v/>
      </c>
      <c r="E4231" s="33" t="str">
        <f t="shared" si="1305"/>
        <v/>
      </c>
      <c r="F4231" s="23"/>
      <c r="G4231" s="23"/>
      <c r="H4231" s="29"/>
      <c r="I4231" s="204" t="str">
        <f t="shared" si="1308"/>
        <v/>
      </c>
      <c r="J4231" s="188"/>
      <c r="K4231" s="29"/>
      <c r="L4231" s="24"/>
      <c r="M4231" s="22"/>
      <c r="N4231" s="22"/>
      <c r="O4231" s="22"/>
      <c r="P4231" s="202" t="str">
        <f t="shared" si="1309"/>
        <v/>
      </c>
      <c r="Q4231" s="22"/>
      <c r="R4231" s="22"/>
      <c r="S4231" s="22"/>
      <c r="T4231" s="22"/>
      <c r="U4231" s="22"/>
      <c r="V4231" s="22"/>
      <c r="W4231" s="22"/>
      <c r="X4231" s="104"/>
      <c r="Y4231" s="195" t="str">
        <f t="shared" si="1306"/>
        <v/>
      </c>
      <c r="Z4231" s="196" t="str">
        <f t="shared" si="1307"/>
        <v/>
      </c>
      <c r="AA4231" s="22"/>
      <c r="AB4231" s="197" t="str">
        <f t="shared" si="1312"/>
        <v/>
      </c>
      <c r="AC4231" s="198" t="str">
        <f t="shared" si="1313"/>
        <v/>
      </c>
      <c r="AD4231" s="162"/>
      <c r="AE4231" s="199" t="str">
        <f t="shared" si="1314"/>
        <v/>
      </c>
      <c r="AF4231" s="199" t="str">
        <f>IF(AND(COUNTIFS($J$18:J4231,J4231)=1,AE4231=1),1,"")</f>
        <v/>
      </c>
      <c r="AG4231" s="199" t="str">
        <f>IF(C4231="","",IF(AND(COUNTIFS($J$18:J4231,J4231)=1,C4231&lt;&gt;""),1,""))</f>
        <v/>
      </c>
      <c r="AH4231" s="199" t="str">
        <f>IF(G4231="","",IF(AND(COUNTIFS($J$18:J4231,J4231)=1,G4231&lt;&gt;""),1,""))</f>
        <v/>
      </c>
      <c r="AI4231" s="200">
        <f t="shared" si="1315"/>
        <v>0</v>
      </c>
      <c r="AJ4231" s="200">
        <f t="shared" si="1316"/>
        <v>0</v>
      </c>
      <c r="AK4231" s="201" t="str">
        <f t="shared" si="1317"/>
        <v/>
      </c>
      <c r="AL4231" s="24"/>
      <c r="AM4231" s="24"/>
      <c r="AN4231" s="24"/>
      <c r="AO4231" s="24"/>
      <c r="AP4231" s="165" t="str">
        <f t="shared" si="1318"/>
        <v/>
      </c>
      <c r="AQ4231" s="203" t="str">
        <f t="shared" si="1319"/>
        <v/>
      </c>
      <c r="AR4231" s="206">
        <f t="shared" si="1320"/>
        <v>0</v>
      </c>
      <c r="AS4231" s="22" t="str">
        <f t="shared" si="1321"/>
        <v/>
      </c>
      <c r="AT4231" s="24" t="str">
        <f t="shared" si="1322"/>
        <v/>
      </c>
      <c r="AU4231" s="22" t="s">
        <v>3240</v>
      </c>
    </row>
    <row r="4232" spans="1:47">
      <c r="A4232" s="246" t="str">
        <f t="shared" si="1310"/>
        <v/>
      </c>
      <c r="B4232" s="23"/>
      <c r="C4232" s="23"/>
      <c r="D4232" s="202" t="str">
        <f t="shared" si="1311"/>
        <v/>
      </c>
      <c r="E4232" s="33" t="str">
        <f t="shared" si="1305"/>
        <v/>
      </c>
      <c r="F4232" s="23"/>
      <c r="G4232" s="23"/>
      <c r="H4232" s="29"/>
      <c r="I4232" s="204" t="str">
        <f t="shared" si="1308"/>
        <v/>
      </c>
      <c r="J4232" s="188"/>
      <c r="K4232" s="29"/>
      <c r="L4232" s="24"/>
      <c r="M4232" s="22"/>
      <c r="N4232" s="22"/>
      <c r="O4232" s="22"/>
      <c r="P4232" s="202" t="str">
        <f t="shared" si="1309"/>
        <v/>
      </c>
      <c r="Q4232" s="22"/>
      <c r="R4232" s="22"/>
      <c r="S4232" s="22"/>
      <c r="T4232" s="22"/>
      <c r="U4232" s="22"/>
      <c r="V4232" s="22"/>
      <c r="W4232" s="22"/>
      <c r="X4232" s="104"/>
      <c r="Y4232" s="195" t="str">
        <f t="shared" si="1306"/>
        <v/>
      </c>
      <c r="Z4232" s="196" t="str">
        <f t="shared" si="1307"/>
        <v/>
      </c>
      <c r="AA4232" s="22"/>
      <c r="AB4232" s="197" t="str">
        <f t="shared" si="1312"/>
        <v/>
      </c>
      <c r="AC4232" s="198" t="str">
        <f t="shared" si="1313"/>
        <v/>
      </c>
      <c r="AD4232" s="162"/>
      <c r="AE4232" s="199" t="str">
        <f t="shared" si="1314"/>
        <v/>
      </c>
      <c r="AF4232" s="199" t="str">
        <f>IF(AND(COUNTIFS($J$18:J4232,J4232)=1,AE4232=1),1,"")</f>
        <v/>
      </c>
      <c r="AG4232" s="199" t="str">
        <f>IF(C4232="","",IF(AND(COUNTIFS($J$18:J4232,J4232)=1,C4232&lt;&gt;""),1,""))</f>
        <v/>
      </c>
      <c r="AH4232" s="199" t="str">
        <f>IF(G4232="","",IF(AND(COUNTIFS($J$18:J4232,J4232)=1,G4232&lt;&gt;""),1,""))</f>
        <v/>
      </c>
      <c r="AI4232" s="200">
        <f t="shared" si="1315"/>
        <v>0</v>
      </c>
      <c r="AJ4232" s="200">
        <f t="shared" si="1316"/>
        <v>0</v>
      </c>
      <c r="AK4232" s="201" t="str">
        <f t="shared" si="1317"/>
        <v/>
      </c>
      <c r="AL4232" s="24"/>
      <c r="AM4232" s="24"/>
      <c r="AN4232" s="24"/>
      <c r="AO4232" s="24"/>
      <c r="AP4232" s="165" t="str">
        <f t="shared" si="1318"/>
        <v/>
      </c>
      <c r="AQ4232" s="203" t="str">
        <f t="shared" si="1319"/>
        <v/>
      </c>
      <c r="AR4232" s="206">
        <f t="shared" si="1320"/>
        <v>0</v>
      </c>
      <c r="AS4232" s="22" t="str">
        <f t="shared" si="1321"/>
        <v/>
      </c>
      <c r="AT4232" s="24" t="str">
        <f t="shared" si="1322"/>
        <v/>
      </c>
      <c r="AU4232" s="22" t="s">
        <v>3240</v>
      </c>
    </row>
    <row r="4233" spans="1:47">
      <c r="A4233" s="246" t="str">
        <f t="shared" si="1310"/>
        <v/>
      </c>
      <c r="B4233" s="23"/>
      <c r="C4233" s="23"/>
      <c r="D4233" s="202" t="str">
        <f t="shared" si="1311"/>
        <v/>
      </c>
      <c r="E4233" s="33" t="str">
        <f t="shared" si="1305"/>
        <v/>
      </c>
      <c r="F4233" s="23"/>
      <c r="G4233" s="23"/>
      <c r="H4233" s="29"/>
      <c r="I4233" s="204" t="str">
        <f t="shared" si="1308"/>
        <v/>
      </c>
      <c r="J4233" s="188"/>
      <c r="K4233" s="29"/>
      <c r="L4233" s="24"/>
      <c r="M4233" s="22"/>
      <c r="N4233" s="22"/>
      <c r="O4233" s="22"/>
      <c r="P4233" s="202" t="str">
        <f t="shared" si="1309"/>
        <v/>
      </c>
      <c r="Q4233" s="22"/>
      <c r="R4233" s="22"/>
      <c r="S4233" s="22"/>
      <c r="T4233" s="22"/>
      <c r="U4233" s="22"/>
      <c r="V4233" s="22"/>
      <c r="W4233" s="22"/>
      <c r="X4233" s="104"/>
      <c r="Y4233" s="195" t="str">
        <f t="shared" si="1306"/>
        <v/>
      </c>
      <c r="Z4233" s="196" t="str">
        <f t="shared" si="1307"/>
        <v/>
      </c>
      <c r="AA4233" s="22"/>
      <c r="AB4233" s="197" t="str">
        <f t="shared" si="1312"/>
        <v/>
      </c>
      <c r="AC4233" s="198" t="str">
        <f t="shared" si="1313"/>
        <v/>
      </c>
      <c r="AD4233" s="162"/>
      <c r="AE4233" s="199" t="str">
        <f t="shared" si="1314"/>
        <v/>
      </c>
      <c r="AF4233" s="199" t="str">
        <f>IF(AND(COUNTIFS($J$18:J4233,J4233)=1,AE4233=1),1,"")</f>
        <v/>
      </c>
      <c r="AG4233" s="199" t="str">
        <f>IF(C4233="","",IF(AND(COUNTIFS($J$18:J4233,J4233)=1,C4233&lt;&gt;""),1,""))</f>
        <v/>
      </c>
      <c r="AH4233" s="199" t="str">
        <f>IF(G4233="","",IF(AND(COUNTIFS($J$18:J4233,J4233)=1,G4233&lt;&gt;""),1,""))</f>
        <v/>
      </c>
      <c r="AI4233" s="200">
        <f t="shared" si="1315"/>
        <v>0</v>
      </c>
      <c r="AJ4233" s="200">
        <f t="shared" si="1316"/>
        <v>0</v>
      </c>
      <c r="AK4233" s="201" t="str">
        <f t="shared" si="1317"/>
        <v/>
      </c>
      <c r="AL4233" s="24"/>
      <c r="AM4233" s="24"/>
      <c r="AN4233" s="24"/>
      <c r="AO4233" s="24"/>
      <c r="AP4233" s="165" t="str">
        <f t="shared" si="1318"/>
        <v/>
      </c>
      <c r="AQ4233" s="203" t="str">
        <f t="shared" si="1319"/>
        <v/>
      </c>
      <c r="AR4233" s="206">
        <f t="shared" si="1320"/>
        <v>0</v>
      </c>
      <c r="AS4233" s="22" t="str">
        <f t="shared" si="1321"/>
        <v/>
      </c>
      <c r="AT4233" s="24" t="str">
        <f t="shared" si="1322"/>
        <v/>
      </c>
      <c r="AU4233" s="22" t="s">
        <v>3240</v>
      </c>
    </row>
    <row r="4234" spans="1:47">
      <c r="A4234" s="246" t="str">
        <f t="shared" si="1310"/>
        <v/>
      </c>
      <c r="B4234" s="23"/>
      <c r="C4234" s="23"/>
      <c r="D4234" s="202" t="str">
        <f t="shared" si="1311"/>
        <v/>
      </c>
      <c r="E4234" s="33" t="str">
        <f t="shared" si="1305"/>
        <v/>
      </c>
      <c r="F4234" s="23"/>
      <c r="G4234" s="23"/>
      <c r="H4234" s="29"/>
      <c r="I4234" s="204" t="str">
        <f t="shared" si="1308"/>
        <v/>
      </c>
      <c r="J4234" s="188"/>
      <c r="K4234" s="29"/>
      <c r="L4234" s="24"/>
      <c r="M4234" s="22"/>
      <c r="N4234" s="22"/>
      <c r="O4234" s="22"/>
      <c r="P4234" s="202" t="str">
        <f t="shared" si="1309"/>
        <v/>
      </c>
      <c r="Q4234" s="22"/>
      <c r="R4234" s="22"/>
      <c r="S4234" s="22"/>
      <c r="T4234" s="22"/>
      <c r="U4234" s="22"/>
      <c r="V4234" s="22"/>
      <c r="W4234" s="22"/>
      <c r="X4234" s="104"/>
      <c r="Y4234" s="195" t="str">
        <f t="shared" si="1306"/>
        <v/>
      </c>
      <c r="Z4234" s="196" t="str">
        <f t="shared" si="1307"/>
        <v/>
      </c>
      <c r="AA4234" s="22"/>
      <c r="AB4234" s="197" t="str">
        <f t="shared" si="1312"/>
        <v/>
      </c>
      <c r="AC4234" s="198" t="str">
        <f t="shared" si="1313"/>
        <v/>
      </c>
      <c r="AD4234" s="162"/>
      <c r="AE4234" s="199" t="str">
        <f t="shared" si="1314"/>
        <v/>
      </c>
      <c r="AF4234" s="199" t="str">
        <f>IF(AND(COUNTIFS($J$18:J4234,J4234)=1,AE4234=1),1,"")</f>
        <v/>
      </c>
      <c r="AG4234" s="199" t="str">
        <f>IF(C4234="","",IF(AND(COUNTIFS($J$18:J4234,J4234)=1,C4234&lt;&gt;""),1,""))</f>
        <v/>
      </c>
      <c r="AH4234" s="199" t="str">
        <f>IF(G4234="","",IF(AND(COUNTIFS($J$18:J4234,J4234)=1,G4234&lt;&gt;""),1,""))</f>
        <v/>
      </c>
      <c r="AI4234" s="200">
        <f t="shared" si="1315"/>
        <v>0</v>
      </c>
      <c r="AJ4234" s="200">
        <f t="shared" si="1316"/>
        <v>0</v>
      </c>
      <c r="AK4234" s="201" t="str">
        <f t="shared" si="1317"/>
        <v/>
      </c>
      <c r="AL4234" s="24"/>
      <c r="AM4234" s="24"/>
      <c r="AN4234" s="24"/>
      <c r="AO4234" s="24"/>
      <c r="AP4234" s="165" t="str">
        <f t="shared" si="1318"/>
        <v/>
      </c>
      <c r="AQ4234" s="203" t="str">
        <f t="shared" si="1319"/>
        <v/>
      </c>
      <c r="AR4234" s="206">
        <f t="shared" si="1320"/>
        <v>0</v>
      </c>
      <c r="AS4234" s="22" t="str">
        <f t="shared" si="1321"/>
        <v/>
      </c>
      <c r="AT4234" s="24" t="str">
        <f t="shared" si="1322"/>
        <v/>
      </c>
      <c r="AU4234" s="22" t="s">
        <v>3240</v>
      </c>
    </row>
    <row r="4235" spans="1:47">
      <c r="A4235" s="246" t="str">
        <f t="shared" si="1310"/>
        <v/>
      </c>
      <c r="B4235" s="23"/>
      <c r="C4235" s="23"/>
      <c r="D4235" s="202" t="str">
        <f t="shared" si="1311"/>
        <v/>
      </c>
      <c r="E4235" s="33" t="str">
        <f t="shared" si="1305"/>
        <v/>
      </c>
      <c r="F4235" s="23"/>
      <c r="G4235" s="23"/>
      <c r="H4235" s="29"/>
      <c r="I4235" s="204" t="str">
        <f t="shared" si="1308"/>
        <v/>
      </c>
      <c r="J4235" s="188"/>
      <c r="K4235" s="29"/>
      <c r="L4235" s="24"/>
      <c r="M4235" s="22"/>
      <c r="N4235" s="22"/>
      <c r="O4235" s="22"/>
      <c r="P4235" s="202" t="str">
        <f t="shared" si="1309"/>
        <v/>
      </c>
      <c r="Q4235" s="22"/>
      <c r="R4235" s="22"/>
      <c r="S4235" s="22"/>
      <c r="T4235" s="22"/>
      <c r="U4235" s="22"/>
      <c r="V4235" s="22"/>
      <c r="W4235" s="22"/>
      <c r="X4235" s="104"/>
      <c r="Y4235" s="195" t="str">
        <f t="shared" si="1306"/>
        <v/>
      </c>
      <c r="Z4235" s="196" t="str">
        <f t="shared" si="1307"/>
        <v/>
      </c>
      <c r="AA4235" s="22"/>
      <c r="AB4235" s="197" t="str">
        <f t="shared" si="1312"/>
        <v/>
      </c>
      <c r="AC4235" s="198" t="str">
        <f t="shared" si="1313"/>
        <v/>
      </c>
      <c r="AD4235" s="162"/>
      <c r="AE4235" s="199" t="str">
        <f t="shared" si="1314"/>
        <v/>
      </c>
      <c r="AF4235" s="199" t="str">
        <f>IF(AND(COUNTIFS($J$18:J4235,J4235)=1,AE4235=1),1,"")</f>
        <v/>
      </c>
      <c r="AG4235" s="199" t="str">
        <f>IF(C4235="","",IF(AND(COUNTIFS($J$18:J4235,J4235)=1,C4235&lt;&gt;""),1,""))</f>
        <v/>
      </c>
      <c r="AH4235" s="199" t="str">
        <f>IF(G4235="","",IF(AND(COUNTIFS($J$18:J4235,J4235)=1,G4235&lt;&gt;""),1,""))</f>
        <v/>
      </c>
      <c r="AI4235" s="200">
        <f t="shared" si="1315"/>
        <v>0</v>
      </c>
      <c r="AJ4235" s="200">
        <f t="shared" si="1316"/>
        <v>0</v>
      </c>
      <c r="AK4235" s="201" t="str">
        <f t="shared" si="1317"/>
        <v/>
      </c>
      <c r="AL4235" s="24"/>
      <c r="AM4235" s="24"/>
      <c r="AN4235" s="24"/>
      <c r="AO4235" s="24"/>
      <c r="AP4235" s="165" t="str">
        <f t="shared" si="1318"/>
        <v/>
      </c>
      <c r="AQ4235" s="203" t="str">
        <f t="shared" si="1319"/>
        <v/>
      </c>
      <c r="AR4235" s="206">
        <f t="shared" si="1320"/>
        <v>0</v>
      </c>
      <c r="AS4235" s="22" t="str">
        <f t="shared" si="1321"/>
        <v/>
      </c>
      <c r="AT4235" s="24" t="str">
        <f t="shared" si="1322"/>
        <v/>
      </c>
      <c r="AU4235" s="22" t="s">
        <v>3240</v>
      </c>
    </row>
    <row r="4236" spans="1:47">
      <c r="A4236" s="246" t="str">
        <f t="shared" si="1310"/>
        <v/>
      </c>
      <c r="B4236" s="23"/>
      <c r="C4236" s="23"/>
      <c r="D4236" s="202" t="str">
        <f t="shared" si="1311"/>
        <v/>
      </c>
      <c r="E4236" s="33" t="str">
        <f t="shared" si="1305"/>
        <v/>
      </c>
      <c r="F4236" s="23"/>
      <c r="G4236" s="23"/>
      <c r="H4236" s="29"/>
      <c r="I4236" s="204" t="str">
        <f t="shared" si="1308"/>
        <v/>
      </c>
      <c r="J4236" s="188"/>
      <c r="K4236" s="29"/>
      <c r="L4236" s="24"/>
      <c r="M4236" s="22"/>
      <c r="N4236" s="22"/>
      <c r="O4236" s="22"/>
      <c r="P4236" s="202" t="str">
        <f t="shared" si="1309"/>
        <v/>
      </c>
      <c r="Q4236" s="22"/>
      <c r="R4236" s="22"/>
      <c r="S4236" s="22"/>
      <c r="T4236" s="22"/>
      <c r="U4236" s="22"/>
      <c r="V4236" s="22"/>
      <c r="W4236" s="22"/>
      <c r="X4236" s="104"/>
      <c r="Y4236" s="195" t="str">
        <f t="shared" si="1306"/>
        <v/>
      </c>
      <c r="Z4236" s="196" t="str">
        <f t="shared" si="1307"/>
        <v/>
      </c>
      <c r="AA4236" s="22"/>
      <c r="AB4236" s="197" t="str">
        <f t="shared" si="1312"/>
        <v/>
      </c>
      <c r="AC4236" s="198" t="str">
        <f t="shared" si="1313"/>
        <v/>
      </c>
      <c r="AD4236" s="162"/>
      <c r="AE4236" s="199" t="str">
        <f t="shared" si="1314"/>
        <v/>
      </c>
      <c r="AF4236" s="199" t="str">
        <f>IF(AND(COUNTIFS($J$18:J4236,J4236)=1,AE4236=1),1,"")</f>
        <v/>
      </c>
      <c r="AG4236" s="199" t="str">
        <f>IF(C4236="","",IF(AND(COUNTIFS($J$18:J4236,J4236)=1,C4236&lt;&gt;""),1,""))</f>
        <v/>
      </c>
      <c r="AH4236" s="199" t="str">
        <f>IF(G4236="","",IF(AND(COUNTIFS($J$18:J4236,J4236)=1,G4236&lt;&gt;""),1,""))</f>
        <v/>
      </c>
      <c r="AI4236" s="200">
        <f t="shared" si="1315"/>
        <v>0</v>
      </c>
      <c r="AJ4236" s="200">
        <f t="shared" si="1316"/>
        <v>0</v>
      </c>
      <c r="AK4236" s="201" t="str">
        <f t="shared" si="1317"/>
        <v/>
      </c>
      <c r="AL4236" s="24"/>
      <c r="AM4236" s="24"/>
      <c r="AN4236" s="24"/>
      <c r="AO4236" s="24"/>
      <c r="AP4236" s="165" t="str">
        <f t="shared" si="1318"/>
        <v/>
      </c>
      <c r="AQ4236" s="203" t="str">
        <f t="shared" si="1319"/>
        <v/>
      </c>
      <c r="AR4236" s="206">
        <f t="shared" si="1320"/>
        <v>0</v>
      </c>
      <c r="AS4236" s="22" t="str">
        <f t="shared" si="1321"/>
        <v/>
      </c>
      <c r="AT4236" s="24" t="str">
        <f t="shared" si="1322"/>
        <v/>
      </c>
      <c r="AU4236" s="22" t="s">
        <v>3240</v>
      </c>
    </row>
    <row r="4237" spans="1:47">
      <c r="A4237" s="246" t="str">
        <f t="shared" si="1310"/>
        <v/>
      </c>
      <c r="B4237" s="23"/>
      <c r="C4237" s="23"/>
      <c r="D4237" s="202" t="str">
        <f t="shared" si="1311"/>
        <v/>
      </c>
      <c r="E4237" s="33" t="str">
        <f t="shared" si="1305"/>
        <v/>
      </c>
      <c r="F4237" s="23"/>
      <c r="G4237" s="23"/>
      <c r="H4237" s="29"/>
      <c r="I4237" s="204" t="str">
        <f t="shared" si="1308"/>
        <v/>
      </c>
      <c r="J4237" s="188"/>
      <c r="K4237" s="29"/>
      <c r="L4237" s="24"/>
      <c r="M4237" s="22"/>
      <c r="N4237" s="22"/>
      <c r="O4237" s="22"/>
      <c r="P4237" s="202" t="str">
        <f t="shared" si="1309"/>
        <v/>
      </c>
      <c r="Q4237" s="22"/>
      <c r="R4237" s="22"/>
      <c r="S4237" s="22"/>
      <c r="T4237" s="22"/>
      <c r="U4237" s="22"/>
      <c r="V4237" s="22"/>
      <c r="W4237" s="22"/>
      <c r="X4237" s="104"/>
      <c r="Y4237" s="195" t="str">
        <f t="shared" si="1306"/>
        <v/>
      </c>
      <c r="Z4237" s="196" t="str">
        <f t="shared" si="1307"/>
        <v/>
      </c>
      <c r="AA4237" s="22"/>
      <c r="AB4237" s="197" t="str">
        <f t="shared" si="1312"/>
        <v/>
      </c>
      <c r="AC4237" s="198" t="str">
        <f t="shared" si="1313"/>
        <v/>
      </c>
      <c r="AD4237" s="162"/>
      <c r="AE4237" s="199" t="str">
        <f t="shared" si="1314"/>
        <v/>
      </c>
      <c r="AF4237" s="199" t="str">
        <f>IF(AND(COUNTIFS($J$18:J4237,J4237)=1,AE4237=1),1,"")</f>
        <v/>
      </c>
      <c r="AG4237" s="199" t="str">
        <f>IF(C4237="","",IF(AND(COUNTIFS($J$18:J4237,J4237)=1,C4237&lt;&gt;""),1,""))</f>
        <v/>
      </c>
      <c r="AH4237" s="199" t="str">
        <f>IF(G4237="","",IF(AND(COUNTIFS($J$18:J4237,J4237)=1,G4237&lt;&gt;""),1,""))</f>
        <v/>
      </c>
      <c r="AI4237" s="200">
        <f t="shared" si="1315"/>
        <v>0</v>
      </c>
      <c r="AJ4237" s="200">
        <f t="shared" si="1316"/>
        <v>0</v>
      </c>
      <c r="AK4237" s="201" t="str">
        <f t="shared" si="1317"/>
        <v/>
      </c>
      <c r="AL4237" s="24"/>
      <c r="AM4237" s="24"/>
      <c r="AN4237" s="24"/>
      <c r="AO4237" s="24"/>
      <c r="AP4237" s="165" t="str">
        <f t="shared" si="1318"/>
        <v/>
      </c>
      <c r="AQ4237" s="203" t="str">
        <f t="shared" si="1319"/>
        <v/>
      </c>
      <c r="AR4237" s="206">
        <f t="shared" si="1320"/>
        <v>0</v>
      </c>
      <c r="AS4237" s="22" t="str">
        <f t="shared" si="1321"/>
        <v/>
      </c>
      <c r="AT4237" s="24" t="str">
        <f t="shared" si="1322"/>
        <v/>
      </c>
      <c r="AU4237" s="22" t="s">
        <v>3240</v>
      </c>
    </row>
    <row r="4238" spans="1:47">
      <c r="A4238" s="246" t="str">
        <f t="shared" si="1310"/>
        <v/>
      </c>
      <c r="B4238" s="23"/>
      <c r="C4238" s="23"/>
      <c r="D4238" s="202" t="str">
        <f t="shared" si="1311"/>
        <v/>
      </c>
      <c r="E4238" s="33" t="str">
        <f t="shared" si="1305"/>
        <v/>
      </c>
      <c r="F4238" s="23"/>
      <c r="G4238" s="23"/>
      <c r="H4238" s="29"/>
      <c r="I4238" s="204" t="str">
        <f t="shared" si="1308"/>
        <v/>
      </c>
      <c r="J4238" s="188"/>
      <c r="K4238" s="29"/>
      <c r="L4238" s="24"/>
      <c r="M4238" s="22"/>
      <c r="N4238" s="22"/>
      <c r="O4238" s="22"/>
      <c r="P4238" s="202" t="str">
        <f t="shared" si="1309"/>
        <v/>
      </c>
      <c r="Q4238" s="22"/>
      <c r="R4238" s="22"/>
      <c r="S4238" s="22"/>
      <c r="T4238" s="22"/>
      <c r="U4238" s="22"/>
      <c r="V4238" s="22"/>
      <c r="W4238" s="22"/>
      <c r="X4238" s="104"/>
      <c r="Y4238" s="195" t="str">
        <f t="shared" si="1306"/>
        <v/>
      </c>
      <c r="Z4238" s="196" t="str">
        <f t="shared" si="1307"/>
        <v/>
      </c>
      <c r="AA4238" s="22"/>
      <c r="AB4238" s="197" t="str">
        <f t="shared" si="1312"/>
        <v/>
      </c>
      <c r="AC4238" s="198" t="str">
        <f t="shared" si="1313"/>
        <v/>
      </c>
      <c r="AD4238" s="162"/>
      <c r="AE4238" s="199" t="str">
        <f t="shared" si="1314"/>
        <v/>
      </c>
      <c r="AF4238" s="199" t="str">
        <f>IF(AND(COUNTIFS($J$18:J4238,J4238)=1,AE4238=1),1,"")</f>
        <v/>
      </c>
      <c r="AG4238" s="199" t="str">
        <f>IF(C4238="","",IF(AND(COUNTIFS($J$18:J4238,J4238)=1,C4238&lt;&gt;""),1,""))</f>
        <v/>
      </c>
      <c r="AH4238" s="199" t="str">
        <f>IF(G4238="","",IF(AND(COUNTIFS($J$18:J4238,J4238)=1,G4238&lt;&gt;""),1,""))</f>
        <v/>
      </c>
      <c r="AI4238" s="200">
        <f t="shared" si="1315"/>
        <v>0</v>
      </c>
      <c r="AJ4238" s="200">
        <f t="shared" si="1316"/>
        <v>0</v>
      </c>
      <c r="AK4238" s="201" t="str">
        <f t="shared" si="1317"/>
        <v/>
      </c>
      <c r="AL4238" s="24"/>
      <c r="AM4238" s="24"/>
      <c r="AN4238" s="24"/>
      <c r="AO4238" s="24"/>
      <c r="AP4238" s="165" t="str">
        <f t="shared" si="1318"/>
        <v/>
      </c>
      <c r="AQ4238" s="203" t="str">
        <f t="shared" si="1319"/>
        <v/>
      </c>
      <c r="AR4238" s="206">
        <f t="shared" si="1320"/>
        <v>0</v>
      </c>
      <c r="AS4238" s="22" t="str">
        <f t="shared" si="1321"/>
        <v/>
      </c>
      <c r="AT4238" s="24" t="str">
        <f t="shared" si="1322"/>
        <v/>
      </c>
      <c r="AU4238" s="22" t="s">
        <v>3240</v>
      </c>
    </row>
    <row r="4239" spans="1:47">
      <c r="A4239" s="246" t="str">
        <f t="shared" si="1310"/>
        <v/>
      </c>
      <c r="B4239" s="23"/>
      <c r="C4239" s="23"/>
      <c r="D4239" s="202" t="str">
        <f t="shared" si="1311"/>
        <v/>
      </c>
      <c r="E4239" s="33" t="str">
        <f t="shared" si="1305"/>
        <v/>
      </c>
      <c r="F4239" s="23"/>
      <c r="G4239" s="23"/>
      <c r="H4239" s="29"/>
      <c r="I4239" s="204" t="str">
        <f t="shared" si="1308"/>
        <v/>
      </c>
      <c r="J4239" s="188"/>
      <c r="K4239" s="29"/>
      <c r="L4239" s="24"/>
      <c r="M4239" s="22"/>
      <c r="N4239" s="22"/>
      <c r="O4239" s="22"/>
      <c r="P4239" s="202" t="str">
        <f t="shared" si="1309"/>
        <v/>
      </c>
      <c r="Q4239" s="22"/>
      <c r="R4239" s="22"/>
      <c r="S4239" s="22"/>
      <c r="T4239" s="22"/>
      <c r="U4239" s="22"/>
      <c r="V4239" s="22"/>
      <c r="W4239" s="22"/>
      <c r="X4239" s="104"/>
      <c r="Y4239" s="195" t="str">
        <f t="shared" si="1306"/>
        <v/>
      </c>
      <c r="Z4239" s="196" t="str">
        <f t="shared" si="1307"/>
        <v/>
      </c>
      <c r="AA4239" s="22"/>
      <c r="AB4239" s="197" t="str">
        <f t="shared" si="1312"/>
        <v/>
      </c>
      <c r="AC4239" s="198" t="str">
        <f t="shared" si="1313"/>
        <v/>
      </c>
      <c r="AD4239" s="162"/>
      <c r="AE4239" s="199" t="str">
        <f t="shared" si="1314"/>
        <v/>
      </c>
      <c r="AF4239" s="199" t="str">
        <f>IF(AND(COUNTIFS($J$18:J4239,J4239)=1,AE4239=1),1,"")</f>
        <v/>
      </c>
      <c r="AG4239" s="199" t="str">
        <f>IF(C4239="","",IF(AND(COUNTIFS($J$18:J4239,J4239)=1,C4239&lt;&gt;""),1,""))</f>
        <v/>
      </c>
      <c r="AH4239" s="199" t="str">
        <f>IF(G4239="","",IF(AND(COUNTIFS($J$18:J4239,J4239)=1,G4239&lt;&gt;""),1,""))</f>
        <v/>
      </c>
      <c r="AI4239" s="200">
        <f t="shared" si="1315"/>
        <v>0</v>
      </c>
      <c r="AJ4239" s="200">
        <f t="shared" si="1316"/>
        <v>0</v>
      </c>
      <c r="AK4239" s="201" t="str">
        <f t="shared" si="1317"/>
        <v/>
      </c>
      <c r="AL4239" s="24"/>
      <c r="AM4239" s="24"/>
      <c r="AN4239" s="24"/>
      <c r="AO4239" s="24"/>
      <c r="AP4239" s="165" t="str">
        <f t="shared" si="1318"/>
        <v/>
      </c>
      <c r="AQ4239" s="203" t="str">
        <f t="shared" si="1319"/>
        <v/>
      </c>
      <c r="AR4239" s="206">
        <f t="shared" si="1320"/>
        <v>0</v>
      </c>
      <c r="AS4239" s="22" t="str">
        <f t="shared" si="1321"/>
        <v/>
      </c>
      <c r="AT4239" s="24" t="str">
        <f t="shared" si="1322"/>
        <v/>
      </c>
      <c r="AU4239" s="22" t="s">
        <v>3240</v>
      </c>
    </row>
    <row r="4240" spans="1:47">
      <c r="A4240" s="246" t="str">
        <f t="shared" si="1310"/>
        <v/>
      </c>
      <c r="B4240" s="23"/>
      <c r="C4240" s="23"/>
      <c r="D4240" s="202" t="str">
        <f t="shared" si="1311"/>
        <v/>
      </c>
      <c r="E4240" s="33" t="str">
        <f t="shared" si="1305"/>
        <v/>
      </c>
      <c r="F4240" s="23"/>
      <c r="G4240" s="23"/>
      <c r="H4240" s="29"/>
      <c r="I4240" s="204" t="str">
        <f t="shared" si="1308"/>
        <v/>
      </c>
      <c r="J4240" s="188"/>
      <c r="K4240" s="29"/>
      <c r="L4240" s="24"/>
      <c r="M4240" s="22"/>
      <c r="N4240" s="22"/>
      <c r="O4240" s="22"/>
      <c r="P4240" s="202" t="str">
        <f t="shared" si="1309"/>
        <v/>
      </c>
      <c r="Q4240" s="22"/>
      <c r="R4240" s="22"/>
      <c r="S4240" s="22"/>
      <c r="T4240" s="22"/>
      <c r="U4240" s="22"/>
      <c r="V4240" s="22"/>
      <c r="W4240" s="22"/>
      <c r="X4240" s="104"/>
      <c r="Y4240" s="195" t="str">
        <f t="shared" si="1306"/>
        <v/>
      </c>
      <c r="Z4240" s="196" t="str">
        <f t="shared" si="1307"/>
        <v/>
      </c>
      <c r="AA4240" s="22"/>
      <c r="AB4240" s="197" t="str">
        <f t="shared" si="1312"/>
        <v/>
      </c>
      <c r="AC4240" s="198" t="str">
        <f t="shared" si="1313"/>
        <v/>
      </c>
      <c r="AD4240" s="162"/>
      <c r="AE4240" s="199" t="str">
        <f t="shared" si="1314"/>
        <v/>
      </c>
      <c r="AF4240" s="199" t="str">
        <f>IF(AND(COUNTIFS($J$18:J4240,J4240)=1,AE4240=1),1,"")</f>
        <v/>
      </c>
      <c r="AG4240" s="199" t="str">
        <f>IF(C4240="","",IF(AND(COUNTIFS($J$18:J4240,J4240)=1,C4240&lt;&gt;""),1,""))</f>
        <v/>
      </c>
      <c r="AH4240" s="199" t="str">
        <f>IF(G4240="","",IF(AND(COUNTIFS($J$18:J4240,J4240)=1,G4240&lt;&gt;""),1,""))</f>
        <v/>
      </c>
      <c r="AI4240" s="200">
        <f t="shared" si="1315"/>
        <v>0</v>
      </c>
      <c r="AJ4240" s="200">
        <f t="shared" si="1316"/>
        <v>0</v>
      </c>
      <c r="AK4240" s="201" t="str">
        <f t="shared" si="1317"/>
        <v/>
      </c>
      <c r="AL4240" s="24"/>
      <c r="AM4240" s="24"/>
      <c r="AN4240" s="24"/>
      <c r="AO4240" s="24"/>
      <c r="AP4240" s="165" t="str">
        <f t="shared" si="1318"/>
        <v/>
      </c>
      <c r="AQ4240" s="203" t="str">
        <f t="shared" si="1319"/>
        <v/>
      </c>
      <c r="AR4240" s="206">
        <f t="shared" si="1320"/>
        <v>0</v>
      </c>
      <c r="AS4240" s="22" t="str">
        <f t="shared" si="1321"/>
        <v/>
      </c>
      <c r="AT4240" s="24" t="str">
        <f t="shared" si="1322"/>
        <v/>
      </c>
      <c r="AU4240" s="22" t="s">
        <v>3240</v>
      </c>
    </row>
    <row r="4241" spans="1:47">
      <c r="A4241" s="246" t="str">
        <f t="shared" si="1310"/>
        <v/>
      </c>
      <c r="B4241" s="23"/>
      <c r="C4241" s="23"/>
      <c r="D4241" s="202" t="str">
        <f t="shared" si="1311"/>
        <v/>
      </c>
      <c r="E4241" s="33" t="str">
        <f t="shared" si="1305"/>
        <v/>
      </c>
      <c r="F4241" s="23"/>
      <c r="G4241" s="23"/>
      <c r="H4241" s="29"/>
      <c r="I4241" s="204" t="str">
        <f t="shared" si="1308"/>
        <v/>
      </c>
      <c r="J4241" s="188"/>
      <c r="K4241" s="29"/>
      <c r="L4241" s="24"/>
      <c r="M4241" s="22"/>
      <c r="N4241" s="22"/>
      <c r="O4241" s="22"/>
      <c r="P4241" s="202" t="str">
        <f t="shared" si="1309"/>
        <v/>
      </c>
      <c r="Q4241" s="22"/>
      <c r="R4241" s="22"/>
      <c r="S4241" s="22"/>
      <c r="T4241" s="22"/>
      <c r="U4241" s="22"/>
      <c r="V4241" s="22"/>
      <c r="W4241" s="22"/>
      <c r="X4241" s="104"/>
      <c r="Y4241" s="195" t="str">
        <f t="shared" si="1306"/>
        <v/>
      </c>
      <c r="Z4241" s="196" t="str">
        <f t="shared" si="1307"/>
        <v/>
      </c>
      <c r="AA4241" s="22"/>
      <c r="AB4241" s="197" t="str">
        <f t="shared" si="1312"/>
        <v/>
      </c>
      <c r="AC4241" s="198" t="str">
        <f t="shared" si="1313"/>
        <v/>
      </c>
      <c r="AD4241" s="162"/>
      <c r="AE4241" s="199" t="str">
        <f t="shared" si="1314"/>
        <v/>
      </c>
      <c r="AF4241" s="199" t="str">
        <f>IF(AND(COUNTIFS($J$18:J4241,J4241)=1,AE4241=1),1,"")</f>
        <v/>
      </c>
      <c r="AG4241" s="199" t="str">
        <f>IF(C4241="","",IF(AND(COUNTIFS($J$18:J4241,J4241)=1,C4241&lt;&gt;""),1,""))</f>
        <v/>
      </c>
      <c r="AH4241" s="199" t="str">
        <f>IF(G4241="","",IF(AND(COUNTIFS($J$18:J4241,J4241)=1,G4241&lt;&gt;""),1,""))</f>
        <v/>
      </c>
      <c r="AI4241" s="200">
        <f t="shared" si="1315"/>
        <v>0</v>
      </c>
      <c r="AJ4241" s="200">
        <f t="shared" si="1316"/>
        <v>0</v>
      </c>
      <c r="AK4241" s="201" t="str">
        <f t="shared" si="1317"/>
        <v/>
      </c>
      <c r="AL4241" s="24"/>
      <c r="AM4241" s="24"/>
      <c r="AN4241" s="24"/>
      <c r="AO4241" s="24"/>
      <c r="AP4241" s="165" t="str">
        <f t="shared" si="1318"/>
        <v/>
      </c>
      <c r="AQ4241" s="203" t="str">
        <f t="shared" si="1319"/>
        <v/>
      </c>
      <c r="AR4241" s="206">
        <f t="shared" si="1320"/>
        <v>0</v>
      </c>
      <c r="AS4241" s="22" t="str">
        <f t="shared" si="1321"/>
        <v/>
      </c>
      <c r="AT4241" s="24" t="str">
        <f t="shared" si="1322"/>
        <v/>
      </c>
      <c r="AU4241" s="22" t="s">
        <v>3240</v>
      </c>
    </row>
    <row r="4242" spans="1:47">
      <c r="A4242" s="246" t="str">
        <f t="shared" si="1310"/>
        <v/>
      </c>
      <c r="B4242" s="23"/>
      <c r="C4242" s="23"/>
      <c r="D4242" s="202" t="str">
        <f t="shared" si="1311"/>
        <v/>
      </c>
      <c r="E4242" s="33" t="str">
        <f t="shared" si="1305"/>
        <v/>
      </c>
      <c r="F4242" s="23"/>
      <c r="G4242" s="23"/>
      <c r="H4242" s="29"/>
      <c r="I4242" s="204" t="str">
        <f t="shared" si="1308"/>
        <v/>
      </c>
      <c r="J4242" s="188"/>
      <c r="K4242" s="29"/>
      <c r="L4242" s="24"/>
      <c r="M4242" s="22"/>
      <c r="N4242" s="22"/>
      <c r="O4242" s="22"/>
      <c r="P4242" s="202" t="str">
        <f t="shared" si="1309"/>
        <v/>
      </c>
      <c r="Q4242" s="22"/>
      <c r="R4242" s="22"/>
      <c r="S4242" s="22"/>
      <c r="T4242" s="22"/>
      <c r="U4242" s="22"/>
      <c r="V4242" s="22"/>
      <c r="W4242" s="22"/>
      <c r="X4242" s="104"/>
      <c r="Y4242" s="195" t="str">
        <f t="shared" si="1306"/>
        <v/>
      </c>
      <c r="Z4242" s="196" t="str">
        <f t="shared" si="1307"/>
        <v/>
      </c>
      <c r="AA4242" s="22"/>
      <c r="AB4242" s="197" t="str">
        <f t="shared" si="1312"/>
        <v/>
      </c>
      <c r="AC4242" s="198" t="str">
        <f t="shared" si="1313"/>
        <v/>
      </c>
      <c r="AD4242" s="162"/>
      <c r="AE4242" s="199" t="str">
        <f t="shared" si="1314"/>
        <v/>
      </c>
      <c r="AF4242" s="199" t="str">
        <f>IF(AND(COUNTIFS($J$18:J4242,J4242)=1,AE4242=1),1,"")</f>
        <v/>
      </c>
      <c r="AG4242" s="199" t="str">
        <f>IF(C4242="","",IF(AND(COUNTIFS($J$18:J4242,J4242)=1,C4242&lt;&gt;""),1,""))</f>
        <v/>
      </c>
      <c r="AH4242" s="199" t="str">
        <f>IF(G4242="","",IF(AND(COUNTIFS($J$18:J4242,J4242)=1,G4242&lt;&gt;""),1,""))</f>
        <v/>
      </c>
      <c r="AI4242" s="200">
        <f t="shared" si="1315"/>
        <v>0</v>
      </c>
      <c r="AJ4242" s="200">
        <f t="shared" si="1316"/>
        <v>0</v>
      </c>
      <c r="AK4242" s="201" t="str">
        <f t="shared" si="1317"/>
        <v/>
      </c>
      <c r="AL4242" s="24"/>
      <c r="AM4242" s="24"/>
      <c r="AN4242" s="24"/>
      <c r="AO4242" s="24"/>
      <c r="AP4242" s="165" t="str">
        <f t="shared" si="1318"/>
        <v/>
      </c>
      <c r="AQ4242" s="203" t="str">
        <f t="shared" si="1319"/>
        <v/>
      </c>
      <c r="AR4242" s="206">
        <f t="shared" si="1320"/>
        <v>0</v>
      </c>
      <c r="AS4242" s="22" t="str">
        <f t="shared" si="1321"/>
        <v/>
      </c>
      <c r="AT4242" s="24" t="str">
        <f t="shared" si="1322"/>
        <v/>
      </c>
      <c r="AU4242" s="22" t="s">
        <v>3240</v>
      </c>
    </row>
    <row r="4243" spans="1:47">
      <c r="A4243" s="246" t="str">
        <f t="shared" si="1310"/>
        <v/>
      </c>
      <c r="B4243" s="23"/>
      <c r="C4243" s="23"/>
      <c r="D4243" s="202" t="str">
        <f t="shared" si="1311"/>
        <v/>
      </c>
      <c r="E4243" s="33" t="str">
        <f t="shared" si="1305"/>
        <v/>
      </c>
      <c r="F4243" s="23"/>
      <c r="G4243" s="23"/>
      <c r="H4243" s="29"/>
      <c r="I4243" s="204" t="str">
        <f t="shared" si="1308"/>
        <v/>
      </c>
      <c r="J4243" s="188"/>
      <c r="K4243" s="29"/>
      <c r="L4243" s="24"/>
      <c r="M4243" s="22"/>
      <c r="N4243" s="22"/>
      <c r="O4243" s="22"/>
      <c r="P4243" s="202" t="str">
        <f t="shared" si="1309"/>
        <v/>
      </c>
      <c r="Q4243" s="22"/>
      <c r="R4243" s="22"/>
      <c r="S4243" s="22"/>
      <c r="T4243" s="22"/>
      <c r="U4243" s="22"/>
      <c r="V4243" s="22"/>
      <c r="W4243" s="22"/>
      <c r="X4243" s="104"/>
      <c r="Y4243" s="195" t="str">
        <f t="shared" si="1306"/>
        <v/>
      </c>
      <c r="Z4243" s="196" t="str">
        <f t="shared" si="1307"/>
        <v/>
      </c>
      <c r="AA4243" s="22"/>
      <c r="AB4243" s="197" t="str">
        <f t="shared" si="1312"/>
        <v/>
      </c>
      <c r="AC4243" s="198" t="str">
        <f t="shared" si="1313"/>
        <v/>
      </c>
      <c r="AD4243" s="162"/>
      <c r="AE4243" s="199" t="str">
        <f t="shared" si="1314"/>
        <v/>
      </c>
      <c r="AF4243" s="199" t="str">
        <f>IF(AND(COUNTIFS($J$18:J4243,J4243)=1,AE4243=1),1,"")</f>
        <v/>
      </c>
      <c r="AG4243" s="199" t="str">
        <f>IF(C4243="","",IF(AND(COUNTIFS($J$18:J4243,J4243)=1,C4243&lt;&gt;""),1,""))</f>
        <v/>
      </c>
      <c r="AH4243" s="199" t="str">
        <f>IF(G4243="","",IF(AND(COUNTIFS($J$18:J4243,J4243)=1,G4243&lt;&gt;""),1,""))</f>
        <v/>
      </c>
      <c r="AI4243" s="200">
        <f t="shared" si="1315"/>
        <v>0</v>
      </c>
      <c r="AJ4243" s="200">
        <f t="shared" si="1316"/>
        <v>0</v>
      </c>
      <c r="AK4243" s="201" t="str">
        <f t="shared" si="1317"/>
        <v/>
      </c>
      <c r="AL4243" s="24"/>
      <c r="AM4243" s="24"/>
      <c r="AN4243" s="24"/>
      <c r="AO4243" s="24"/>
      <c r="AP4243" s="165" t="str">
        <f t="shared" si="1318"/>
        <v/>
      </c>
      <c r="AQ4243" s="203" t="str">
        <f t="shared" si="1319"/>
        <v/>
      </c>
      <c r="AR4243" s="206">
        <f t="shared" si="1320"/>
        <v>0</v>
      </c>
      <c r="AS4243" s="22" t="str">
        <f t="shared" si="1321"/>
        <v/>
      </c>
      <c r="AT4243" s="24" t="str">
        <f t="shared" si="1322"/>
        <v/>
      </c>
      <c r="AU4243" s="22" t="s">
        <v>3240</v>
      </c>
    </row>
    <row r="4244" spans="1:47">
      <c r="A4244" s="246" t="str">
        <f t="shared" si="1310"/>
        <v/>
      </c>
      <c r="B4244" s="23"/>
      <c r="C4244" s="23"/>
      <c r="D4244" s="202" t="str">
        <f t="shared" si="1311"/>
        <v/>
      </c>
      <c r="E4244" s="33" t="str">
        <f t="shared" si="1305"/>
        <v/>
      </c>
      <c r="F4244" s="23"/>
      <c r="G4244" s="23"/>
      <c r="H4244" s="29"/>
      <c r="I4244" s="204" t="str">
        <f t="shared" si="1308"/>
        <v/>
      </c>
      <c r="J4244" s="188"/>
      <c r="K4244" s="29"/>
      <c r="L4244" s="24"/>
      <c r="M4244" s="22"/>
      <c r="N4244" s="22"/>
      <c r="O4244" s="22"/>
      <c r="P4244" s="202" t="str">
        <f t="shared" si="1309"/>
        <v/>
      </c>
      <c r="Q4244" s="22"/>
      <c r="R4244" s="22"/>
      <c r="S4244" s="22"/>
      <c r="T4244" s="22"/>
      <c r="U4244" s="22"/>
      <c r="V4244" s="22"/>
      <c r="W4244" s="22"/>
      <c r="X4244" s="104"/>
      <c r="Y4244" s="195" t="str">
        <f t="shared" si="1306"/>
        <v/>
      </c>
      <c r="Z4244" s="196" t="str">
        <f t="shared" si="1307"/>
        <v/>
      </c>
      <c r="AA4244" s="22"/>
      <c r="AB4244" s="197" t="str">
        <f t="shared" si="1312"/>
        <v/>
      </c>
      <c r="AC4244" s="198" t="str">
        <f t="shared" si="1313"/>
        <v/>
      </c>
      <c r="AD4244" s="162"/>
      <c r="AE4244" s="199" t="str">
        <f t="shared" si="1314"/>
        <v/>
      </c>
      <c r="AF4244" s="199" t="str">
        <f>IF(AND(COUNTIFS($J$18:J4244,J4244)=1,AE4244=1),1,"")</f>
        <v/>
      </c>
      <c r="AG4244" s="199" t="str">
        <f>IF(C4244="","",IF(AND(COUNTIFS($J$18:J4244,J4244)=1,C4244&lt;&gt;""),1,""))</f>
        <v/>
      </c>
      <c r="AH4244" s="199" t="str">
        <f>IF(G4244="","",IF(AND(COUNTIFS($J$18:J4244,J4244)=1,G4244&lt;&gt;""),1,""))</f>
        <v/>
      </c>
      <c r="AI4244" s="200">
        <f t="shared" si="1315"/>
        <v>0</v>
      </c>
      <c r="AJ4244" s="200">
        <f t="shared" si="1316"/>
        <v>0</v>
      </c>
      <c r="AK4244" s="201" t="str">
        <f t="shared" si="1317"/>
        <v/>
      </c>
      <c r="AL4244" s="24"/>
      <c r="AM4244" s="24"/>
      <c r="AN4244" s="24"/>
      <c r="AO4244" s="24"/>
      <c r="AP4244" s="165" t="str">
        <f t="shared" si="1318"/>
        <v/>
      </c>
      <c r="AQ4244" s="203" t="str">
        <f t="shared" si="1319"/>
        <v/>
      </c>
      <c r="AR4244" s="206">
        <f t="shared" si="1320"/>
        <v>0</v>
      </c>
      <c r="AS4244" s="22" t="str">
        <f t="shared" si="1321"/>
        <v/>
      </c>
      <c r="AT4244" s="24" t="str">
        <f t="shared" si="1322"/>
        <v/>
      </c>
      <c r="AU4244" s="22" t="s">
        <v>3240</v>
      </c>
    </row>
    <row r="4245" spans="1:47">
      <c r="A4245" s="246" t="str">
        <f t="shared" si="1310"/>
        <v/>
      </c>
      <c r="B4245" s="23"/>
      <c r="C4245" s="23"/>
      <c r="D4245" s="202" t="str">
        <f t="shared" si="1311"/>
        <v/>
      </c>
      <c r="E4245" s="33" t="str">
        <f t="shared" si="1305"/>
        <v/>
      </c>
      <c r="F4245" s="23"/>
      <c r="G4245" s="23"/>
      <c r="H4245" s="29"/>
      <c r="I4245" s="204" t="str">
        <f t="shared" si="1308"/>
        <v/>
      </c>
      <c r="J4245" s="188"/>
      <c r="K4245" s="29"/>
      <c r="L4245" s="24"/>
      <c r="M4245" s="22"/>
      <c r="N4245" s="22"/>
      <c r="O4245" s="22"/>
      <c r="P4245" s="202" t="str">
        <f t="shared" si="1309"/>
        <v/>
      </c>
      <c r="Q4245" s="22"/>
      <c r="R4245" s="22"/>
      <c r="S4245" s="22"/>
      <c r="T4245" s="22"/>
      <c r="U4245" s="22"/>
      <c r="V4245" s="22"/>
      <c r="W4245" s="22"/>
      <c r="X4245" s="104"/>
      <c r="Y4245" s="195" t="str">
        <f t="shared" si="1306"/>
        <v/>
      </c>
      <c r="Z4245" s="196" t="str">
        <f t="shared" si="1307"/>
        <v/>
      </c>
      <c r="AA4245" s="22"/>
      <c r="AB4245" s="197" t="str">
        <f t="shared" si="1312"/>
        <v/>
      </c>
      <c r="AC4245" s="198" t="str">
        <f t="shared" si="1313"/>
        <v/>
      </c>
      <c r="AD4245" s="162"/>
      <c r="AE4245" s="199" t="str">
        <f t="shared" si="1314"/>
        <v/>
      </c>
      <c r="AF4245" s="199" t="str">
        <f>IF(AND(COUNTIFS($J$18:J4245,J4245)=1,AE4245=1),1,"")</f>
        <v/>
      </c>
      <c r="AG4245" s="199" t="str">
        <f>IF(C4245="","",IF(AND(COUNTIFS($J$18:J4245,J4245)=1,C4245&lt;&gt;""),1,""))</f>
        <v/>
      </c>
      <c r="AH4245" s="199" t="str">
        <f>IF(G4245="","",IF(AND(COUNTIFS($J$18:J4245,J4245)=1,G4245&lt;&gt;""),1,""))</f>
        <v/>
      </c>
      <c r="AI4245" s="200">
        <f t="shared" si="1315"/>
        <v>0</v>
      </c>
      <c r="AJ4245" s="200">
        <f t="shared" si="1316"/>
        <v>0</v>
      </c>
      <c r="AK4245" s="201" t="str">
        <f t="shared" si="1317"/>
        <v/>
      </c>
      <c r="AL4245" s="24"/>
      <c r="AM4245" s="24"/>
      <c r="AN4245" s="24"/>
      <c r="AO4245" s="24"/>
      <c r="AP4245" s="165" t="str">
        <f t="shared" si="1318"/>
        <v/>
      </c>
      <c r="AQ4245" s="203" t="str">
        <f t="shared" si="1319"/>
        <v/>
      </c>
      <c r="AR4245" s="206">
        <f t="shared" si="1320"/>
        <v>0</v>
      </c>
      <c r="AS4245" s="22" t="str">
        <f t="shared" si="1321"/>
        <v/>
      </c>
      <c r="AT4245" s="24" t="str">
        <f t="shared" si="1322"/>
        <v/>
      </c>
      <c r="AU4245" s="22" t="s">
        <v>3240</v>
      </c>
    </row>
    <row r="4246" spans="1:47">
      <c r="A4246" s="246" t="str">
        <f t="shared" si="1310"/>
        <v/>
      </c>
      <c r="B4246" s="23"/>
      <c r="C4246" s="23"/>
      <c r="D4246" s="202" t="str">
        <f t="shared" si="1311"/>
        <v/>
      </c>
      <c r="E4246" s="33" t="str">
        <f t="shared" si="1305"/>
        <v/>
      </c>
      <c r="F4246" s="23"/>
      <c r="G4246" s="23"/>
      <c r="H4246" s="29"/>
      <c r="I4246" s="204" t="str">
        <f t="shared" si="1308"/>
        <v/>
      </c>
      <c r="J4246" s="188"/>
      <c r="K4246" s="29"/>
      <c r="L4246" s="24"/>
      <c r="M4246" s="22"/>
      <c r="N4246" s="22"/>
      <c r="O4246" s="22"/>
      <c r="P4246" s="202" t="str">
        <f t="shared" si="1309"/>
        <v/>
      </c>
      <c r="Q4246" s="22"/>
      <c r="R4246" s="22"/>
      <c r="S4246" s="22"/>
      <c r="T4246" s="22"/>
      <c r="U4246" s="22"/>
      <c r="V4246" s="22"/>
      <c r="W4246" s="22"/>
      <c r="X4246" s="104"/>
      <c r="Y4246" s="195" t="str">
        <f t="shared" si="1306"/>
        <v/>
      </c>
      <c r="Z4246" s="196" t="str">
        <f t="shared" si="1307"/>
        <v/>
      </c>
      <c r="AA4246" s="22"/>
      <c r="AB4246" s="197" t="str">
        <f t="shared" si="1312"/>
        <v/>
      </c>
      <c r="AC4246" s="198" t="str">
        <f t="shared" si="1313"/>
        <v/>
      </c>
      <c r="AD4246" s="162"/>
      <c r="AE4246" s="199" t="str">
        <f t="shared" si="1314"/>
        <v/>
      </c>
      <c r="AF4246" s="199" t="str">
        <f>IF(AND(COUNTIFS($J$18:J4246,J4246)=1,AE4246=1),1,"")</f>
        <v/>
      </c>
      <c r="AG4246" s="199" t="str">
        <f>IF(C4246="","",IF(AND(COUNTIFS($J$18:J4246,J4246)=1,C4246&lt;&gt;""),1,""))</f>
        <v/>
      </c>
      <c r="AH4246" s="199" t="str">
        <f>IF(G4246="","",IF(AND(COUNTIFS($J$18:J4246,J4246)=1,G4246&lt;&gt;""),1,""))</f>
        <v/>
      </c>
      <c r="AI4246" s="200">
        <f t="shared" si="1315"/>
        <v>0</v>
      </c>
      <c r="AJ4246" s="200">
        <f t="shared" si="1316"/>
        <v>0</v>
      </c>
      <c r="AK4246" s="201" t="str">
        <f t="shared" si="1317"/>
        <v/>
      </c>
      <c r="AL4246" s="24"/>
      <c r="AM4246" s="24"/>
      <c r="AN4246" s="24"/>
      <c r="AO4246" s="24"/>
      <c r="AP4246" s="165" t="str">
        <f t="shared" si="1318"/>
        <v/>
      </c>
      <c r="AQ4246" s="203" t="str">
        <f t="shared" si="1319"/>
        <v/>
      </c>
      <c r="AR4246" s="206">
        <f t="shared" si="1320"/>
        <v>0</v>
      </c>
      <c r="AS4246" s="22" t="str">
        <f t="shared" si="1321"/>
        <v/>
      </c>
      <c r="AT4246" s="24" t="str">
        <f t="shared" si="1322"/>
        <v/>
      </c>
      <c r="AU4246" s="22" t="s">
        <v>3240</v>
      </c>
    </row>
    <row r="4247" spans="1:47">
      <c r="A4247" s="246" t="str">
        <f t="shared" si="1310"/>
        <v/>
      </c>
      <c r="B4247" s="23"/>
      <c r="C4247" s="23"/>
      <c r="D4247" s="202" t="str">
        <f t="shared" si="1311"/>
        <v/>
      </c>
      <c r="E4247" s="33" t="str">
        <f t="shared" si="1305"/>
        <v/>
      </c>
      <c r="F4247" s="23"/>
      <c r="G4247" s="23"/>
      <c r="H4247" s="29"/>
      <c r="I4247" s="204" t="str">
        <f t="shared" si="1308"/>
        <v/>
      </c>
      <c r="J4247" s="188"/>
      <c r="K4247" s="29"/>
      <c r="L4247" s="24"/>
      <c r="M4247" s="22"/>
      <c r="N4247" s="22"/>
      <c r="O4247" s="22"/>
      <c r="P4247" s="202" t="str">
        <f t="shared" si="1309"/>
        <v/>
      </c>
      <c r="Q4247" s="22"/>
      <c r="R4247" s="22"/>
      <c r="S4247" s="22"/>
      <c r="T4247" s="22"/>
      <c r="U4247" s="22"/>
      <c r="V4247" s="22"/>
      <c r="W4247" s="22"/>
      <c r="X4247" s="104"/>
      <c r="Y4247" s="195" t="str">
        <f t="shared" si="1306"/>
        <v/>
      </c>
      <c r="Z4247" s="196" t="str">
        <f t="shared" si="1307"/>
        <v/>
      </c>
      <c r="AA4247" s="22"/>
      <c r="AB4247" s="197" t="str">
        <f t="shared" si="1312"/>
        <v/>
      </c>
      <c r="AC4247" s="198" t="str">
        <f t="shared" si="1313"/>
        <v/>
      </c>
      <c r="AD4247" s="162"/>
      <c r="AE4247" s="199" t="str">
        <f t="shared" si="1314"/>
        <v/>
      </c>
      <c r="AF4247" s="199" t="str">
        <f>IF(AND(COUNTIFS($J$18:J4247,J4247)=1,AE4247=1),1,"")</f>
        <v/>
      </c>
      <c r="AG4247" s="199" t="str">
        <f>IF(C4247="","",IF(AND(COUNTIFS($J$18:J4247,J4247)=1,C4247&lt;&gt;""),1,""))</f>
        <v/>
      </c>
      <c r="AH4247" s="199" t="str">
        <f>IF(G4247="","",IF(AND(COUNTIFS($J$18:J4247,J4247)=1,G4247&lt;&gt;""),1,""))</f>
        <v/>
      </c>
      <c r="AI4247" s="200">
        <f t="shared" si="1315"/>
        <v>0</v>
      </c>
      <c r="AJ4247" s="200">
        <f t="shared" si="1316"/>
        <v>0</v>
      </c>
      <c r="AK4247" s="201" t="str">
        <f t="shared" si="1317"/>
        <v/>
      </c>
      <c r="AL4247" s="24"/>
      <c r="AM4247" s="24"/>
      <c r="AN4247" s="24"/>
      <c r="AO4247" s="24"/>
      <c r="AP4247" s="165" t="str">
        <f t="shared" si="1318"/>
        <v/>
      </c>
      <c r="AQ4247" s="203" t="str">
        <f t="shared" si="1319"/>
        <v/>
      </c>
      <c r="AR4247" s="206">
        <f t="shared" si="1320"/>
        <v>0</v>
      </c>
      <c r="AS4247" s="22" t="str">
        <f t="shared" si="1321"/>
        <v/>
      </c>
      <c r="AT4247" s="24" t="str">
        <f t="shared" si="1322"/>
        <v/>
      </c>
      <c r="AU4247" s="22" t="s">
        <v>3240</v>
      </c>
    </row>
    <row r="4248" spans="1:47">
      <c r="A4248" s="246" t="str">
        <f t="shared" si="1310"/>
        <v/>
      </c>
      <c r="B4248" s="23"/>
      <c r="C4248" s="23"/>
      <c r="D4248" s="202" t="str">
        <f t="shared" si="1311"/>
        <v/>
      </c>
      <c r="E4248" s="33" t="str">
        <f t="shared" ref="E4248:E4311" si="1323">IF(G4248="Cancel","Cancel",IF(G4248="TBA","TBA",IFERROR(IF(I4248="Q4","FY "&amp;RIGHT(F4248,2)-1&amp;"/"&amp;RIGHT(F4248,2),"FY "&amp;RIGHT(F4248,2)&amp;"/"&amp;RIGHT(F4248,2)+1),"")))</f>
        <v/>
      </c>
      <c r="F4248" s="23"/>
      <c r="G4248" s="23"/>
      <c r="H4248" s="29"/>
      <c r="I4248" s="204" t="str">
        <f t="shared" si="1308"/>
        <v/>
      </c>
      <c r="J4248" s="188"/>
      <c r="K4248" s="29"/>
      <c r="L4248" s="24"/>
      <c r="M4248" s="22"/>
      <c r="N4248" s="22"/>
      <c r="O4248" s="22"/>
      <c r="P4248" s="202" t="str">
        <f t="shared" si="1309"/>
        <v/>
      </c>
      <c r="Q4248" s="22"/>
      <c r="R4248" s="22"/>
      <c r="S4248" s="22"/>
      <c r="T4248" s="22"/>
      <c r="U4248" s="22"/>
      <c r="V4248" s="22"/>
      <c r="W4248" s="22"/>
      <c r="X4248" s="104"/>
      <c r="Y4248" s="195" t="str">
        <f t="shared" si="1306"/>
        <v/>
      </c>
      <c r="Z4248" s="196" t="str">
        <f t="shared" si="1307"/>
        <v/>
      </c>
      <c r="AA4248" s="22"/>
      <c r="AB4248" s="197" t="str">
        <f t="shared" si="1312"/>
        <v/>
      </c>
      <c r="AC4248" s="198" t="str">
        <f t="shared" si="1313"/>
        <v/>
      </c>
      <c r="AD4248" s="162"/>
      <c r="AE4248" s="199" t="str">
        <f t="shared" si="1314"/>
        <v/>
      </c>
      <c r="AF4248" s="199" t="str">
        <f>IF(AND(COUNTIFS($J$18:J4248,J4248)=1,AE4248=1),1,"")</f>
        <v/>
      </c>
      <c r="AG4248" s="199" t="str">
        <f>IF(C4248="","",IF(AND(COUNTIFS($J$18:J4248,J4248)=1,C4248&lt;&gt;""),1,""))</f>
        <v/>
      </c>
      <c r="AH4248" s="199" t="str">
        <f>IF(G4248="","",IF(AND(COUNTIFS($J$18:J4248,J4248)=1,G4248&lt;&gt;""),1,""))</f>
        <v/>
      </c>
      <c r="AI4248" s="200">
        <f t="shared" si="1315"/>
        <v>0</v>
      </c>
      <c r="AJ4248" s="200">
        <f t="shared" si="1316"/>
        <v>0</v>
      </c>
      <c r="AK4248" s="201" t="str">
        <f t="shared" si="1317"/>
        <v/>
      </c>
      <c r="AL4248" s="24"/>
      <c r="AM4248" s="24"/>
      <c r="AN4248" s="24"/>
      <c r="AO4248" s="24"/>
      <c r="AP4248" s="165" t="str">
        <f t="shared" si="1318"/>
        <v/>
      </c>
      <c r="AQ4248" s="203" t="str">
        <f t="shared" si="1319"/>
        <v/>
      </c>
      <c r="AR4248" s="206">
        <f t="shared" si="1320"/>
        <v>0</v>
      </c>
      <c r="AS4248" s="22" t="str">
        <f t="shared" si="1321"/>
        <v/>
      </c>
      <c r="AT4248" s="24" t="str">
        <f t="shared" si="1322"/>
        <v/>
      </c>
      <c r="AU4248" s="22" t="s">
        <v>3240</v>
      </c>
    </row>
    <row r="4249" spans="1:47">
      <c r="A4249" s="246" t="str">
        <f t="shared" si="1310"/>
        <v/>
      </c>
      <c r="B4249" s="23"/>
      <c r="C4249" s="23"/>
      <c r="D4249" s="202" t="str">
        <f t="shared" si="1311"/>
        <v/>
      </c>
      <c r="E4249" s="33" t="str">
        <f t="shared" si="1323"/>
        <v/>
      </c>
      <c r="F4249" s="23"/>
      <c r="G4249" s="23"/>
      <c r="H4249" s="29"/>
      <c r="I4249" s="204" t="str">
        <f t="shared" si="1308"/>
        <v/>
      </c>
      <c r="J4249" s="188"/>
      <c r="K4249" s="29"/>
      <c r="L4249" s="24"/>
      <c r="M4249" s="22"/>
      <c r="N4249" s="22"/>
      <c r="O4249" s="22"/>
      <c r="P4249" s="202" t="str">
        <f t="shared" si="1309"/>
        <v/>
      </c>
      <c r="Q4249" s="22"/>
      <c r="R4249" s="22"/>
      <c r="S4249" s="22"/>
      <c r="T4249" s="22"/>
      <c r="U4249" s="22"/>
      <c r="V4249" s="22"/>
      <c r="W4249" s="22"/>
      <c r="X4249" s="104"/>
      <c r="Y4249" s="195" t="str">
        <f t="shared" si="1306"/>
        <v/>
      </c>
      <c r="Z4249" s="196" t="str">
        <f t="shared" si="1307"/>
        <v/>
      </c>
      <c r="AA4249" s="22"/>
      <c r="AB4249" s="197" t="str">
        <f t="shared" si="1312"/>
        <v/>
      </c>
      <c r="AC4249" s="198" t="str">
        <f t="shared" si="1313"/>
        <v/>
      </c>
      <c r="AD4249" s="162"/>
      <c r="AE4249" s="199" t="str">
        <f t="shared" si="1314"/>
        <v/>
      </c>
      <c r="AF4249" s="199" t="str">
        <f>IF(AND(COUNTIFS($J$18:J4249,J4249)=1,AE4249=1),1,"")</f>
        <v/>
      </c>
      <c r="AG4249" s="199" t="str">
        <f>IF(C4249="","",IF(AND(COUNTIFS($J$18:J4249,J4249)=1,C4249&lt;&gt;""),1,""))</f>
        <v/>
      </c>
      <c r="AH4249" s="199" t="str">
        <f>IF(G4249="","",IF(AND(COUNTIFS($J$18:J4249,J4249)=1,G4249&lt;&gt;""),1,""))</f>
        <v/>
      </c>
      <c r="AI4249" s="200">
        <f t="shared" si="1315"/>
        <v>0</v>
      </c>
      <c r="AJ4249" s="200">
        <f t="shared" si="1316"/>
        <v>0</v>
      </c>
      <c r="AK4249" s="201" t="str">
        <f t="shared" si="1317"/>
        <v/>
      </c>
      <c r="AL4249" s="24"/>
      <c r="AM4249" s="24"/>
      <c r="AN4249" s="24"/>
      <c r="AO4249" s="24"/>
      <c r="AP4249" s="165" t="str">
        <f t="shared" si="1318"/>
        <v/>
      </c>
      <c r="AQ4249" s="203" t="str">
        <f t="shared" si="1319"/>
        <v/>
      </c>
      <c r="AR4249" s="206">
        <f t="shared" si="1320"/>
        <v>0</v>
      </c>
      <c r="AS4249" s="22" t="str">
        <f t="shared" si="1321"/>
        <v/>
      </c>
      <c r="AT4249" s="24" t="str">
        <f t="shared" si="1322"/>
        <v/>
      </c>
      <c r="AU4249" s="22" t="s">
        <v>3240</v>
      </c>
    </row>
    <row r="4250" spans="1:47">
      <c r="A4250" s="246" t="str">
        <f t="shared" si="1310"/>
        <v/>
      </c>
      <c r="B4250" s="23"/>
      <c r="C4250" s="23"/>
      <c r="D4250" s="202" t="str">
        <f t="shared" si="1311"/>
        <v/>
      </c>
      <c r="E4250" s="33" t="str">
        <f t="shared" si="1323"/>
        <v/>
      </c>
      <c r="F4250" s="23"/>
      <c r="G4250" s="23"/>
      <c r="H4250" s="29"/>
      <c r="I4250" s="204" t="str">
        <f t="shared" si="1308"/>
        <v/>
      </c>
      <c r="J4250" s="188"/>
      <c r="K4250" s="29"/>
      <c r="L4250" s="24"/>
      <c r="M4250" s="22"/>
      <c r="N4250" s="22"/>
      <c r="O4250" s="22"/>
      <c r="P4250" s="202" t="str">
        <f t="shared" si="1309"/>
        <v/>
      </c>
      <c r="Q4250" s="22"/>
      <c r="R4250" s="22"/>
      <c r="S4250" s="22"/>
      <c r="T4250" s="22"/>
      <c r="U4250" s="22"/>
      <c r="V4250" s="22"/>
      <c r="W4250" s="22"/>
      <c r="X4250" s="104"/>
      <c r="Y4250" s="195" t="str">
        <f t="shared" si="1306"/>
        <v/>
      </c>
      <c r="Z4250" s="196" t="str">
        <f t="shared" si="1307"/>
        <v/>
      </c>
      <c r="AA4250" s="22"/>
      <c r="AB4250" s="197" t="str">
        <f t="shared" si="1312"/>
        <v/>
      </c>
      <c r="AC4250" s="198" t="str">
        <f t="shared" si="1313"/>
        <v/>
      </c>
      <c r="AD4250" s="162"/>
      <c r="AE4250" s="199" t="str">
        <f t="shared" si="1314"/>
        <v/>
      </c>
      <c r="AF4250" s="199" t="str">
        <f>IF(AND(COUNTIFS($J$18:J4250,J4250)=1,AE4250=1),1,"")</f>
        <v/>
      </c>
      <c r="AG4250" s="199" t="str">
        <f>IF(C4250="","",IF(AND(COUNTIFS($J$18:J4250,J4250)=1,C4250&lt;&gt;""),1,""))</f>
        <v/>
      </c>
      <c r="AH4250" s="199" t="str">
        <f>IF(G4250="","",IF(AND(COUNTIFS($J$18:J4250,J4250)=1,G4250&lt;&gt;""),1,""))</f>
        <v/>
      </c>
      <c r="AI4250" s="200">
        <f t="shared" si="1315"/>
        <v>0</v>
      </c>
      <c r="AJ4250" s="200">
        <f t="shared" si="1316"/>
        <v>0</v>
      </c>
      <c r="AK4250" s="201" t="str">
        <f t="shared" si="1317"/>
        <v/>
      </c>
      <c r="AL4250" s="24"/>
      <c r="AM4250" s="24"/>
      <c r="AN4250" s="24"/>
      <c r="AO4250" s="24"/>
      <c r="AP4250" s="165" t="str">
        <f t="shared" si="1318"/>
        <v/>
      </c>
      <c r="AQ4250" s="203" t="str">
        <f t="shared" si="1319"/>
        <v/>
      </c>
      <c r="AR4250" s="206">
        <f t="shared" si="1320"/>
        <v>0</v>
      </c>
      <c r="AS4250" s="22" t="str">
        <f t="shared" si="1321"/>
        <v/>
      </c>
      <c r="AT4250" s="24" t="str">
        <f t="shared" si="1322"/>
        <v/>
      </c>
      <c r="AU4250" s="22" t="s">
        <v>3240</v>
      </c>
    </row>
    <row r="4251" spans="1:47">
      <c r="A4251" s="246" t="str">
        <f t="shared" si="1310"/>
        <v/>
      </c>
      <c r="B4251" s="23"/>
      <c r="C4251" s="23"/>
      <c r="D4251" s="202" t="str">
        <f t="shared" si="1311"/>
        <v/>
      </c>
      <c r="E4251" s="33" t="str">
        <f t="shared" si="1323"/>
        <v/>
      </c>
      <c r="F4251" s="23"/>
      <c r="G4251" s="23"/>
      <c r="H4251" s="29"/>
      <c r="I4251" s="204" t="str">
        <f t="shared" si="1308"/>
        <v/>
      </c>
      <c r="J4251" s="188"/>
      <c r="K4251" s="29"/>
      <c r="L4251" s="24"/>
      <c r="M4251" s="22"/>
      <c r="N4251" s="22"/>
      <c r="O4251" s="22"/>
      <c r="P4251" s="202" t="str">
        <f t="shared" si="1309"/>
        <v/>
      </c>
      <c r="Q4251" s="22"/>
      <c r="R4251" s="22"/>
      <c r="S4251" s="22"/>
      <c r="T4251" s="22"/>
      <c r="U4251" s="22"/>
      <c r="V4251" s="22"/>
      <c r="W4251" s="22"/>
      <c r="X4251" s="104"/>
      <c r="Y4251" s="195" t="str">
        <f t="shared" ref="Y4251:Y4314" si="1324">IF(W4251="","",IF(W4251="RMB","1.13", "1"))</f>
        <v/>
      </c>
      <c r="Z4251" s="196" t="str">
        <f t="shared" ref="Z4251:Z4314" si="1325">IF(X4251="","",X4251*MAX(O4251,N4251))</f>
        <v/>
      </c>
      <c r="AA4251" s="22"/>
      <c r="AB4251" s="197" t="str">
        <f t="shared" si="1312"/>
        <v/>
      </c>
      <c r="AC4251" s="198" t="str">
        <f t="shared" si="1313"/>
        <v/>
      </c>
      <c r="AD4251" s="162"/>
      <c r="AE4251" s="199" t="str">
        <f t="shared" si="1314"/>
        <v/>
      </c>
      <c r="AF4251" s="199" t="str">
        <f>IF(AND(COUNTIFS($J$18:J4251,J4251)=1,AE4251=1),1,"")</f>
        <v/>
      </c>
      <c r="AG4251" s="199" t="str">
        <f>IF(C4251="","",IF(AND(COUNTIFS($J$18:J4251,J4251)=1,C4251&lt;&gt;""),1,""))</f>
        <v/>
      </c>
      <c r="AH4251" s="199" t="str">
        <f>IF(G4251="","",IF(AND(COUNTIFS($J$18:J4251,J4251)=1,G4251&lt;&gt;""),1,""))</f>
        <v/>
      </c>
      <c r="AI4251" s="200">
        <f t="shared" si="1315"/>
        <v>0</v>
      </c>
      <c r="AJ4251" s="200">
        <f t="shared" si="1316"/>
        <v>0</v>
      </c>
      <c r="AK4251" s="201" t="str">
        <f t="shared" si="1317"/>
        <v/>
      </c>
      <c r="AL4251" s="24"/>
      <c r="AM4251" s="24"/>
      <c r="AN4251" s="24"/>
      <c r="AO4251" s="24"/>
      <c r="AP4251" s="165" t="str">
        <f t="shared" si="1318"/>
        <v/>
      </c>
      <c r="AQ4251" s="203" t="str">
        <f t="shared" si="1319"/>
        <v/>
      </c>
      <c r="AR4251" s="206">
        <f t="shared" si="1320"/>
        <v>0</v>
      </c>
      <c r="AS4251" s="22" t="str">
        <f t="shared" si="1321"/>
        <v/>
      </c>
      <c r="AT4251" s="24" t="str">
        <f t="shared" si="1322"/>
        <v/>
      </c>
      <c r="AU4251" s="22" t="s">
        <v>3240</v>
      </c>
    </row>
    <row r="4252" spans="1:47">
      <c r="A4252" s="246" t="str">
        <f t="shared" si="1310"/>
        <v/>
      </c>
      <c r="B4252" s="23"/>
      <c r="C4252" s="23"/>
      <c r="D4252" s="202" t="str">
        <f t="shared" si="1311"/>
        <v/>
      </c>
      <c r="E4252" s="33" t="str">
        <f t="shared" si="1323"/>
        <v/>
      </c>
      <c r="F4252" s="23"/>
      <c r="G4252" s="23"/>
      <c r="H4252" s="29"/>
      <c r="I4252" s="204" t="str">
        <f t="shared" si="1308"/>
        <v/>
      </c>
      <c r="J4252" s="188"/>
      <c r="K4252" s="29"/>
      <c r="L4252" s="24"/>
      <c r="M4252" s="22"/>
      <c r="N4252" s="22"/>
      <c r="O4252" s="22"/>
      <c r="P4252" s="202" t="str">
        <f t="shared" si="1309"/>
        <v/>
      </c>
      <c r="Q4252" s="22"/>
      <c r="R4252" s="22"/>
      <c r="S4252" s="22"/>
      <c r="T4252" s="22"/>
      <c r="U4252" s="22"/>
      <c r="V4252" s="22"/>
      <c r="W4252" s="22"/>
      <c r="X4252" s="104"/>
      <c r="Y4252" s="195" t="str">
        <f t="shared" si="1324"/>
        <v/>
      </c>
      <c r="Z4252" s="196" t="str">
        <f t="shared" si="1325"/>
        <v/>
      </c>
      <c r="AA4252" s="22"/>
      <c r="AB4252" s="197" t="str">
        <f t="shared" si="1312"/>
        <v/>
      </c>
      <c r="AC4252" s="198" t="str">
        <f t="shared" si="1313"/>
        <v/>
      </c>
      <c r="AD4252" s="162"/>
      <c r="AE4252" s="199" t="str">
        <f t="shared" si="1314"/>
        <v/>
      </c>
      <c r="AF4252" s="199" t="str">
        <f>IF(AND(COUNTIFS($J$18:J4252,J4252)=1,AE4252=1),1,"")</f>
        <v/>
      </c>
      <c r="AG4252" s="199" t="str">
        <f>IF(C4252="","",IF(AND(COUNTIFS($J$18:J4252,J4252)=1,C4252&lt;&gt;""),1,""))</f>
        <v/>
      </c>
      <c r="AH4252" s="199" t="str">
        <f>IF(G4252="","",IF(AND(COUNTIFS($J$18:J4252,J4252)=1,G4252&lt;&gt;""),1,""))</f>
        <v/>
      </c>
      <c r="AI4252" s="200">
        <f t="shared" si="1315"/>
        <v>0</v>
      </c>
      <c r="AJ4252" s="200">
        <f t="shared" si="1316"/>
        <v>0</v>
      </c>
      <c r="AK4252" s="201" t="str">
        <f t="shared" si="1317"/>
        <v/>
      </c>
      <c r="AL4252" s="24"/>
      <c r="AM4252" s="24"/>
      <c r="AN4252" s="24"/>
      <c r="AO4252" s="24"/>
      <c r="AP4252" s="165" t="str">
        <f t="shared" si="1318"/>
        <v/>
      </c>
      <c r="AQ4252" s="203" t="str">
        <f t="shared" si="1319"/>
        <v/>
      </c>
      <c r="AR4252" s="206">
        <f t="shared" si="1320"/>
        <v>0</v>
      </c>
      <c r="AS4252" s="22" t="str">
        <f t="shared" si="1321"/>
        <v/>
      </c>
      <c r="AT4252" s="24" t="str">
        <f t="shared" si="1322"/>
        <v/>
      </c>
      <c r="AU4252" s="22" t="s">
        <v>3240</v>
      </c>
    </row>
    <row r="4253" spans="1:47">
      <c r="A4253" s="246" t="str">
        <f t="shared" si="1310"/>
        <v/>
      </c>
      <c r="B4253" s="23"/>
      <c r="C4253" s="23"/>
      <c r="D4253" s="202" t="str">
        <f t="shared" si="1311"/>
        <v/>
      </c>
      <c r="E4253" s="33" t="str">
        <f t="shared" si="1323"/>
        <v/>
      </c>
      <c r="F4253" s="23"/>
      <c r="G4253" s="23"/>
      <c r="H4253" s="29"/>
      <c r="I4253" s="204" t="str">
        <f t="shared" si="1308"/>
        <v/>
      </c>
      <c r="J4253" s="188"/>
      <c r="K4253" s="29"/>
      <c r="L4253" s="24"/>
      <c r="M4253" s="22"/>
      <c r="N4253" s="22"/>
      <c r="O4253" s="22"/>
      <c r="P4253" s="202" t="str">
        <f t="shared" si="1309"/>
        <v/>
      </c>
      <c r="Q4253" s="22"/>
      <c r="R4253" s="22"/>
      <c r="S4253" s="22"/>
      <c r="T4253" s="22"/>
      <c r="U4253" s="22"/>
      <c r="V4253" s="22"/>
      <c r="W4253" s="22"/>
      <c r="X4253" s="104"/>
      <c r="Y4253" s="195" t="str">
        <f t="shared" si="1324"/>
        <v/>
      </c>
      <c r="Z4253" s="196" t="str">
        <f t="shared" si="1325"/>
        <v/>
      </c>
      <c r="AA4253" s="22"/>
      <c r="AB4253" s="197" t="str">
        <f t="shared" si="1312"/>
        <v/>
      </c>
      <c r="AC4253" s="198" t="str">
        <f t="shared" si="1313"/>
        <v/>
      </c>
      <c r="AD4253" s="162"/>
      <c r="AE4253" s="199" t="str">
        <f t="shared" si="1314"/>
        <v/>
      </c>
      <c r="AF4253" s="199" t="str">
        <f>IF(AND(COUNTIFS($J$18:J4253,J4253)=1,AE4253=1),1,"")</f>
        <v/>
      </c>
      <c r="AG4253" s="199" t="str">
        <f>IF(C4253="","",IF(AND(COUNTIFS($J$18:J4253,J4253)=1,C4253&lt;&gt;""),1,""))</f>
        <v/>
      </c>
      <c r="AH4253" s="199" t="str">
        <f>IF(G4253="","",IF(AND(COUNTIFS($J$18:J4253,J4253)=1,G4253&lt;&gt;""),1,""))</f>
        <v/>
      </c>
      <c r="AI4253" s="200">
        <f t="shared" si="1315"/>
        <v>0</v>
      </c>
      <c r="AJ4253" s="200">
        <f t="shared" si="1316"/>
        <v>0</v>
      </c>
      <c r="AK4253" s="201" t="str">
        <f t="shared" si="1317"/>
        <v/>
      </c>
      <c r="AL4253" s="24"/>
      <c r="AM4253" s="24"/>
      <c r="AN4253" s="24"/>
      <c r="AO4253" s="24"/>
      <c r="AP4253" s="165" t="str">
        <f t="shared" si="1318"/>
        <v/>
      </c>
      <c r="AQ4253" s="203" t="str">
        <f t="shared" si="1319"/>
        <v/>
      </c>
      <c r="AR4253" s="206">
        <f t="shared" si="1320"/>
        <v>0</v>
      </c>
      <c r="AS4253" s="22" t="str">
        <f t="shared" si="1321"/>
        <v/>
      </c>
      <c r="AT4253" s="24" t="str">
        <f t="shared" si="1322"/>
        <v/>
      </c>
      <c r="AU4253" s="22" t="s">
        <v>3240</v>
      </c>
    </row>
    <row r="4254" spans="1:47">
      <c r="A4254" s="246" t="str">
        <f t="shared" si="1310"/>
        <v/>
      </c>
      <c r="B4254" s="23"/>
      <c r="C4254" s="23"/>
      <c r="D4254" s="202" t="str">
        <f t="shared" si="1311"/>
        <v/>
      </c>
      <c r="E4254" s="33" t="str">
        <f t="shared" si="1323"/>
        <v/>
      </c>
      <c r="F4254" s="23"/>
      <c r="G4254" s="23"/>
      <c r="H4254" s="29"/>
      <c r="I4254" s="204" t="str">
        <f t="shared" si="1308"/>
        <v/>
      </c>
      <c r="J4254" s="188"/>
      <c r="K4254" s="29"/>
      <c r="L4254" s="24"/>
      <c r="M4254" s="22"/>
      <c r="N4254" s="22"/>
      <c r="O4254" s="22"/>
      <c r="P4254" s="202" t="str">
        <f t="shared" si="1309"/>
        <v/>
      </c>
      <c r="Q4254" s="22"/>
      <c r="R4254" s="22"/>
      <c r="S4254" s="22"/>
      <c r="T4254" s="22"/>
      <c r="U4254" s="22"/>
      <c r="V4254" s="22"/>
      <c r="W4254" s="22"/>
      <c r="X4254" s="104"/>
      <c r="Y4254" s="195" t="str">
        <f t="shared" si="1324"/>
        <v/>
      </c>
      <c r="Z4254" s="196" t="str">
        <f t="shared" si="1325"/>
        <v/>
      </c>
      <c r="AA4254" s="22"/>
      <c r="AB4254" s="197" t="str">
        <f t="shared" si="1312"/>
        <v/>
      </c>
      <c r="AC4254" s="198" t="str">
        <f t="shared" si="1313"/>
        <v/>
      </c>
      <c r="AD4254" s="162"/>
      <c r="AE4254" s="199" t="str">
        <f t="shared" si="1314"/>
        <v/>
      </c>
      <c r="AF4254" s="199" t="str">
        <f>IF(AND(COUNTIFS($J$18:J4254,J4254)=1,AE4254=1),1,"")</f>
        <v/>
      </c>
      <c r="AG4254" s="199" t="str">
        <f>IF(C4254="","",IF(AND(COUNTIFS($J$18:J4254,J4254)=1,C4254&lt;&gt;""),1,""))</f>
        <v/>
      </c>
      <c r="AH4254" s="199" t="str">
        <f>IF(G4254="","",IF(AND(COUNTIFS($J$18:J4254,J4254)=1,G4254&lt;&gt;""),1,""))</f>
        <v/>
      </c>
      <c r="AI4254" s="200">
        <f t="shared" si="1315"/>
        <v>0</v>
      </c>
      <c r="AJ4254" s="200">
        <f t="shared" si="1316"/>
        <v>0</v>
      </c>
      <c r="AK4254" s="201" t="str">
        <f t="shared" si="1317"/>
        <v/>
      </c>
      <c r="AL4254" s="24"/>
      <c r="AM4254" s="24"/>
      <c r="AN4254" s="24"/>
      <c r="AO4254" s="24"/>
      <c r="AP4254" s="165" t="str">
        <f t="shared" si="1318"/>
        <v/>
      </c>
      <c r="AQ4254" s="203" t="str">
        <f t="shared" si="1319"/>
        <v/>
      </c>
      <c r="AR4254" s="206">
        <f t="shared" si="1320"/>
        <v>0</v>
      </c>
      <c r="AS4254" s="22" t="str">
        <f t="shared" si="1321"/>
        <v/>
      </c>
      <c r="AT4254" s="24" t="str">
        <f t="shared" si="1322"/>
        <v/>
      </c>
      <c r="AU4254" s="22" t="s">
        <v>3240</v>
      </c>
    </row>
    <row r="4255" spans="1:47">
      <c r="A4255" s="246" t="str">
        <f t="shared" si="1310"/>
        <v/>
      </c>
      <c r="B4255" s="23"/>
      <c r="C4255" s="23"/>
      <c r="D4255" s="202" t="str">
        <f t="shared" si="1311"/>
        <v/>
      </c>
      <c r="E4255" s="33" t="str">
        <f t="shared" si="1323"/>
        <v/>
      </c>
      <c r="F4255" s="23"/>
      <c r="G4255" s="23"/>
      <c r="H4255" s="29"/>
      <c r="I4255" s="204" t="str">
        <f t="shared" si="1308"/>
        <v/>
      </c>
      <c r="J4255" s="188"/>
      <c r="K4255" s="29"/>
      <c r="L4255" s="24"/>
      <c r="M4255" s="22"/>
      <c r="N4255" s="22"/>
      <c r="O4255" s="22"/>
      <c r="P4255" s="202" t="str">
        <f t="shared" si="1309"/>
        <v/>
      </c>
      <c r="Q4255" s="22"/>
      <c r="R4255" s="22"/>
      <c r="S4255" s="22"/>
      <c r="T4255" s="22"/>
      <c r="U4255" s="22"/>
      <c r="V4255" s="22"/>
      <c r="W4255" s="22"/>
      <c r="X4255" s="104"/>
      <c r="Y4255" s="195" t="str">
        <f t="shared" si="1324"/>
        <v/>
      </c>
      <c r="Z4255" s="196" t="str">
        <f t="shared" si="1325"/>
        <v/>
      </c>
      <c r="AA4255" s="22"/>
      <c r="AB4255" s="197" t="str">
        <f t="shared" si="1312"/>
        <v/>
      </c>
      <c r="AC4255" s="198" t="str">
        <f t="shared" si="1313"/>
        <v/>
      </c>
      <c r="AD4255" s="162"/>
      <c r="AE4255" s="199" t="str">
        <f t="shared" si="1314"/>
        <v/>
      </c>
      <c r="AF4255" s="199" t="str">
        <f>IF(AND(COUNTIFS($J$18:J4255,J4255)=1,AE4255=1),1,"")</f>
        <v/>
      </c>
      <c r="AG4255" s="199" t="str">
        <f>IF(C4255="","",IF(AND(COUNTIFS($J$18:J4255,J4255)=1,C4255&lt;&gt;""),1,""))</f>
        <v/>
      </c>
      <c r="AH4255" s="199" t="str">
        <f>IF(G4255="","",IF(AND(COUNTIFS($J$18:J4255,J4255)=1,G4255&lt;&gt;""),1,""))</f>
        <v/>
      </c>
      <c r="AI4255" s="200">
        <f t="shared" si="1315"/>
        <v>0</v>
      </c>
      <c r="AJ4255" s="200">
        <f t="shared" si="1316"/>
        <v>0</v>
      </c>
      <c r="AK4255" s="201" t="str">
        <f t="shared" si="1317"/>
        <v/>
      </c>
      <c r="AL4255" s="24"/>
      <c r="AM4255" s="24"/>
      <c r="AN4255" s="24"/>
      <c r="AO4255" s="24"/>
      <c r="AP4255" s="165" t="str">
        <f t="shared" si="1318"/>
        <v/>
      </c>
      <c r="AQ4255" s="203" t="str">
        <f t="shared" si="1319"/>
        <v/>
      </c>
      <c r="AR4255" s="206">
        <f t="shared" si="1320"/>
        <v>0</v>
      </c>
      <c r="AS4255" s="22" t="str">
        <f t="shared" si="1321"/>
        <v/>
      </c>
      <c r="AT4255" s="24" t="str">
        <f t="shared" si="1322"/>
        <v/>
      </c>
      <c r="AU4255" s="22" t="s">
        <v>3240</v>
      </c>
    </row>
    <row r="4256" spans="1:47">
      <c r="A4256" s="246" t="str">
        <f t="shared" si="1310"/>
        <v/>
      </c>
      <c r="B4256" s="23"/>
      <c r="C4256" s="23"/>
      <c r="D4256" s="202" t="str">
        <f t="shared" si="1311"/>
        <v/>
      </c>
      <c r="E4256" s="33" t="str">
        <f t="shared" si="1323"/>
        <v/>
      </c>
      <c r="F4256" s="23"/>
      <c r="G4256" s="23"/>
      <c r="H4256" s="29"/>
      <c r="I4256" s="204" t="str">
        <f t="shared" ref="I4256:I4319" si="1326">IFERROR(IF(F4256="","",IF(F4256="TBA","TBA",IF(F4256="Cancel","Cancel",IF(AND(G4256&gt;=10,G4256&lt;=12),"Q3",IF(AND(G4256&gt;=1,G4256&lt;=3),"Q4",IF(AND(G4256&gt;=7,G4256&lt;=9),"Q2",IF(AND(G4256&gt;=4,G4256&lt;=6),"Q1"))))))),"")</f>
        <v/>
      </c>
      <c r="J4256" s="188"/>
      <c r="K4256" s="29"/>
      <c r="L4256" s="24"/>
      <c r="M4256" s="22"/>
      <c r="N4256" s="22"/>
      <c r="O4256" s="22"/>
      <c r="P4256" s="202" t="str">
        <f t="shared" si="1309"/>
        <v/>
      </c>
      <c r="Q4256" s="22"/>
      <c r="R4256" s="22"/>
      <c r="S4256" s="22"/>
      <c r="T4256" s="22"/>
      <c r="U4256" s="22"/>
      <c r="V4256" s="22"/>
      <c r="W4256" s="22"/>
      <c r="X4256" s="104"/>
      <c r="Y4256" s="195" t="str">
        <f t="shared" si="1324"/>
        <v/>
      </c>
      <c r="Z4256" s="196" t="str">
        <f t="shared" si="1325"/>
        <v/>
      </c>
      <c r="AA4256" s="22"/>
      <c r="AB4256" s="197" t="str">
        <f t="shared" si="1312"/>
        <v/>
      </c>
      <c r="AC4256" s="198" t="str">
        <f t="shared" si="1313"/>
        <v/>
      </c>
      <c r="AD4256" s="162"/>
      <c r="AE4256" s="199" t="str">
        <f t="shared" si="1314"/>
        <v/>
      </c>
      <c r="AF4256" s="199" t="str">
        <f>IF(AND(COUNTIFS($J$18:J4256,J4256)=1,AE4256=1),1,"")</f>
        <v/>
      </c>
      <c r="AG4256" s="199" t="str">
        <f>IF(C4256="","",IF(AND(COUNTIFS($J$18:J4256,J4256)=1,C4256&lt;&gt;""),1,""))</f>
        <v/>
      </c>
      <c r="AH4256" s="199" t="str">
        <f>IF(G4256="","",IF(AND(COUNTIFS($J$18:J4256,J4256)=1,G4256&lt;&gt;""),1,""))</f>
        <v/>
      </c>
      <c r="AI4256" s="200">
        <f t="shared" si="1315"/>
        <v>0</v>
      </c>
      <c r="AJ4256" s="200">
        <f t="shared" si="1316"/>
        <v>0</v>
      </c>
      <c r="AK4256" s="201" t="str">
        <f t="shared" si="1317"/>
        <v/>
      </c>
      <c r="AL4256" s="24"/>
      <c r="AM4256" s="24"/>
      <c r="AN4256" s="24"/>
      <c r="AO4256" s="24"/>
      <c r="AP4256" s="165" t="str">
        <f t="shared" si="1318"/>
        <v/>
      </c>
      <c r="AQ4256" s="203" t="str">
        <f t="shared" si="1319"/>
        <v/>
      </c>
      <c r="AR4256" s="206">
        <f t="shared" si="1320"/>
        <v>0</v>
      </c>
      <c r="AS4256" s="22" t="str">
        <f t="shared" si="1321"/>
        <v/>
      </c>
      <c r="AT4256" s="24" t="str">
        <f t="shared" si="1322"/>
        <v/>
      </c>
      <c r="AU4256" s="22" t="s">
        <v>3240</v>
      </c>
    </row>
    <row r="4257" spans="1:47">
      <c r="A4257" s="246" t="str">
        <f t="shared" si="1310"/>
        <v/>
      </c>
      <c r="B4257" s="23"/>
      <c r="C4257" s="23"/>
      <c r="D4257" s="202" t="str">
        <f t="shared" si="1311"/>
        <v/>
      </c>
      <c r="E4257" s="33" t="str">
        <f t="shared" si="1323"/>
        <v/>
      </c>
      <c r="F4257" s="23"/>
      <c r="G4257" s="23"/>
      <c r="H4257" s="29"/>
      <c r="I4257" s="204" t="str">
        <f t="shared" si="1326"/>
        <v/>
      </c>
      <c r="J4257" s="188"/>
      <c r="K4257" s="29"/>
      <c r="L4257" s="24"/>
      <c r="M4257" s="22"/>
      <c r="N4257" s="22"/>
      <c r="O4257" s="22"/>
      <c r="P4257" s="202" t="str">
        <f t="shared" ref="P4257:P4320" si="1327">IF(M4257="","",IF(AND(N4257&gt;0,L4257&lt;&gt;""),"MAIN UNIT",IF(AND(O4257&gt;0,L4257&lt;&gt;""),"SERVICE/ PARTS","C66 SERVICE/OTHERS")))</f>
        <v/>
      </c>
      <c r="Q4257" s="22"/>
      <c r="R4257" s="22"/>
      <c r="S4257" s="22"/>
      <c r="T4257" s="22"/>
      <c r="U4257" s="22"/>
      <c r="V4257" s="22"/>
      <c r="W4257" s="22"/>
      <c r="X4257" s="104"/>
      <c r="Y4257" s="195" t="str">
        <f t="shared" si="1324"/>
        <v/>
      </c>
      <c r="Z4257" s="196" t="str">
        <f t="shared" si="1325"/>
        <v/>
      </c>
      <c r="AA4257" s="22"/>
      <c r="AB4257" s="197" t="str">
        <f t="shared" si="1312"/>
        <v/>
      </c>
      <c r="AC4257" s="198" t="str">
        <f t="shared" si="1313"/>
        <v/>
      </c>
      <c r="AD4257" s="162"/>
      <c r="AE4257" s="199" t="str">
        <f t="shared" si="1314"/>
        <v/>
      </c>
      <c r="AF4257" s="199" t="str">
        <f>IF(AND(COUNTIFS($J$18:J4257,J4257)=1,AE4257=1),1,"")</f>
        <v/>
      </c>
      <c r="AG4257" s="199" t="str">
        <f>IF(C4257="","",IF(AND(COUNTIFS($J$18:J4257,J4257)=1,C4257&lt;&gt;""),1,""))</f>
        <v/>
      </c>
      <c r="AH4257" s="199" t="str">
        <f>IF(G4257="","",IF(AND(COUNTIFS($J$18:J4257,J4257)=1,G4257&lt;&gt;""),1,""))</f>
        <v/>
      </c>
      <c r="AI4257" s="200">
        <f t="shared" si="1315"/>
        <v>0</v>
      </c>
      <c r="AJ4257" s="200">
        <f t="shared" si="1316"/>
        <v>0</v>
      </c>
      <c r="AK4257" s="201" t="str">
        <f t="shared" si="1317"/>
        <v/>
      </c>
      <c r="AL4257" s="24"/>
      <c r="AM4257" s="24"/>
      <c r="AN4257" s="24"/>
      <c r="AO4257" s="24"/>
      <c r="AP4257" s="165" t="str">
        <f t="shared" si="1318"/>
        <v/>
      </c>
      <c r="AQ4257" s="203" t="str">
        <f t="shared" si="1319"/>
        <v/>
      </c>
      <c r="AR4257" s="206">
        <f t="shared" si="1320"/>
        <v>0</v>
      </c>
      <c r="AS4257" s="22" t="str">
        <f t="shared" si="1321"/>
        <v/>
      </c>
      <c r="AT4257" s="24" t="str">
        <f t="shared" si="1322"/>
        <v/>
      </c>
      <c r="AU4257" s="22" t="s">
        <v>3240</v>
      </c>
    </row>
    <row r="4258" spans="1:47">
      <c r="A4258" s="246" t="str">
        <f t="shared" ref="A4258:A4321" si="1328">IF(C4258="cancel","cancel",IFERROR(IF(D4258="Q4","FY "&amp;RIGHT(B4258,2)-1&amp;"/"&amp;RIGHT(B4258,2),"FY "&amp;RIGHT(B4258,2)&amp;"/"&amp;RIGHT(B4258,2)+1),""))</f>
        <v/>
      </c>
      <c r="B4258" s="23"/>
      <c r="C4258" s="23"/>
      <c r="D4258" s="202" t="str">
        <f t="shared" ref="D4258:D4321" si="1329">IF(B4258="","",IF(AND(C4258&gt;=10,C4258&lt;=12),"Q3",IF(AND(C4258&gt;=1,C4258&lt;=3),"Q4",IF(AND(C4258&gt;=7,C4258&lt;=9),"Q2",IF(AND(C4258&gt;=4,C4258&lt;=6),"Q1")))))</f>
        <v/>
      </c>
      <c r="E4258" s="33" t="str">
        <f t="shared" si="1323"/>
        <v/>
      </c>
      <c r="F4258" s="23"/>
      <c r="G4258" s="23"/>
      <c r="H4258" s="29"/>
      <c r="I4258" s="204" t="str">
        <f t="shared" si="1326"/>
        <v/>
      </c>
      <c r="J4258" s="188"/>
      <c r="K4258" s="29"/>
      <c r="L4258" s="24"/>
      <c r="M4258" s="22"/>
      <c r="N4258" s="22"/>
      <c r="O4258" s="22"/>
      <c r="P4258" s="202" t="str">
        <f t="shared" si="1327"/>
        <v/>
      </c>
      <c r="Q4258" s="22"/>
      <c r="R4258" s="22"/>
      <c r="S4258" s="22"/>
      <c r="T4258" s="22"/>
      <c r="U4258" s="22"/>
      <c r="V4258" s="22"/>
      <c r="W4258" s="22"/>
      <c r="X4258" s="104"/>
      <c r="Y4258" s="195" t="str">
        <f t="shared" si="1324"/>
        <v/>
      </c>
      <c r="Z4258" s="196" t="str">
        <f t="shared" si="1325"/>
        <v/>
      </c>
      <c r="AA4258" s="22"/>
      <c r="AB4258" s="197" t="str">
        <f t="shared" ref="AB4258:AB4321" si="1330">IF(AND(R4258&lt;&gt;"C66",R4258&lt;&gt;""),Z4258/Y4258*AA4258,"")</f>
        <v/>
      </c>
      <c r="AC4258" s="198" t="str">
        <f t="shared" ref="AC4258:AC4321" si="1331">IF(R4258&lt;&gt;"",AB4258*AD4258,"")</f>
        <v/>
      </c>
      <c r="AD4258" s="162"/>
      <c r="AE4258" s="199" t="str">
        <f t="shared" ref="AE4258:AE4321" si="1332">IF(Q4258="","",IF(Q4258="Yes",1,0))</f>
        <v/>
      </c>
      <c r="AF4258" s="199" t="str">
        <f>IF(AND(COUNTIFS($J$18:J4258,J4258)=1,AE4258=1),1,"")</f>
        <v/>
      </c>
      <c r="AG4258" s="199" t="str">
        <f>IF(C4258="","",IF(AND(COUNTIFS($J$18:J4258,J4258)=1,C4258&lt;&gt;""),1,""))</f>
        <v/>
      </c>
      <c r="AH4258" s="199" t="str">
        <f>IF(G4258="","",IF(AND(COUNTIFS($J$18:J4258,J4258)=1,G4258&lt;&gt;""),1,""))</f>
        <v/>
      </c>
      <c r="AI4258" s="200">
        <f t="shared" ref="AI4258:AI4321" si="1333">IF(P4258="C66 SERVICE","",SUMIFS(AB:AB,F:F,F4258,G:G,G4258,E:E,E4258))</f>
        <v>0</v>
      </c>
      <c r="AJ4258" s="200">
        <f t="shared" ref="AJ4258:AJ4321" si="1334">IF(P4258="C66 SERVICE","",SUMIFS(AC:AC,F:F,F4258,G:G,G4258,E:E,E4258))</f>
        <v>0</v>
      </c>
      <c r="AK4258" s="201" t="str">
        <f t="shared" ref="AK4258:AK4321" si="1335">IF(AJ4258&gt;0,AJ4258/AI4258,"")</f>
        <v/>
      </c>
      <c r="AL4258" s="24"/>
      <c r="AM4258" s="24"/>
      <c r="AN4258" s="24"/>
      <c r="AO4258" s="24"/>
      <c r="AP4258" s="165" t="str">
        <f t="shared" ref="AP4258:AP4321" si="1336">IF(F4258="","",F4258&amp;G4258)</f>
        <v/>
      </c>
      <c r="AQ4258" s="203" t="str">
        <f t="shared" ref="AQ4258:AQ4321" si="1337">IF(W4258="","",F4258&amp;G4258&amp;W4258)</f>
        <v/>
      </c>
      <c r="AR4258" s="206">
        <f t="shared" ref="AR4258:AR4321" si="1338">IFERROR(IF(AND(M4258="YAMAHA", R4258="C28"), "YAMAHA_Non_Mounter", IF(AND(M4258="YAMAHA", R4258="C49"), "YAMAHA_Mounter", M4258)),"")</f>
        <v>0</v>
      </c>
      <c r="AS4258" s="22" t="str">
        <f t="shared" ref="AS4258:AS4321" si="1339">IFERROR(IF(OR(G4258="TBA", G4258=""), "", DATEDIF(DATE(B4258, C4258, 1), DATE(F4258, G4258, 1), "M")),"")</f>
        <v/>
      </c>
      <c r="AT4258" s="24" t="str">
        <f t="shared" ref="AT4258:AT4321" si="1340">IF(ISNUMBER(AS4258), IF(AS4258&gt;=0, IF(AS4258&lt;=3, "0-3 months", IF(AS4258&lt;=6, "4-6 months", "&gt; 6 months"))), "")</f>
        <v/>
      </c>
      <c r="AU4258" s="22" t="s">
        <v>3240</v>
      </c>
    </row>
    <row r="4259" spans="1:47">
      <c r="A4259" s="246" t="str">
        <f t="shared" si="1328"/>
        <v/>
      </c>
      <c r="B4259" s="23"/>
      <c r="C4259" s="23"/>
      <c r="D4259" s="202" t="str">
        <f t="shared" si="1329"/>
        <v/>
      </c>
      <c r="E4259" s="33" t="str">
        <f t="shared" si="1323"/>
        <v/>
      </c>
      <c r="F4259" s="23"/>
      <c r="G4259" s="23"/>
      <c r="H4259" s="29"/>
      <c r="I4259" s="204" t="str">
        <f t="shared" si="1326"/>
        <v/>
      </c>
      <c r="J4259" s="188"/>
      <c r="K4259" s="29"/>
      <c r="L4259" s="24"/>
      <c r="M4259" s="22"/>
      <c r="N4259" s="22"/>
      <c r="O4259" s="22"/>
      <c r="P4259" s="202" t="str">
        <f t="shared" si="1327"/>
        <v/>
      </c>
      <c r="Q4259" s="22"/>
      <c r="R4259" s="22"/>
      <c r="S4259" s="22"/>
      <c r="T4259" s="22"/>
      <c r="U4259" s="22"/>
      <c r="V4259" s="22"/>
      <c r="W4259" s="22"/>
      <c r="X4259" s="104"/>
      <c r="Y4259" s="195" t="str">
        <f t="shared" si="1324"/>
        <v/>
      </c>
      <c r="Z4259" s="196" t="str">
        <f t="shared" si="1325"/>
        <v/>
      </c>
      <c r="AA4259" s="22"/>
      <c r="AB4259" s="197" t="str">
        <f t="shared" si="1330"/>
        <v/>
      </c>
      <c r="AC4259" s="198" t="str">
        <f t="shared" si="1331"/>
        <v/>
      </c>
      <c r="AD4259" s="162"/>
      <c r="AE4259" s="199" t="str">
        <f t="shared" si="1332"/>
        <v/>
      </c>
      <c r="AF4259" s="199" t="str">
        <f>IF(AND(COUNTIFS($J$18:J4259,J4259)=1,AE4259=1),1,"")</f>
        <v/>
      </c>
      <c r="AG4259" s="199" t="str">
        <f>IF(C4259="","",IF(AND(COUNTIFS($J$18:J4259,J4259)=1,C4259&lt;&gt;""),1,""))</f>
        <v/>
      </c>
      <c r="AH4259" s="199" t="str">
        <f>IF(G4259="","",IF(AND(COUNTIFS($J$18:J4259,J4259)=1,G4259&lt;&gt;""),1,""))</f>
        <v/>
      </c>
      <c r="AI4259" s="200">
        <f t="shared" si="1333"/>
        <v>0</v>
      </c>
      <c r="AJ4259" s="200">
        <f t="shared" si="1334"/>
        <v>0</v>
      </c>
      <c r="AK4259" s="201" t="str">
        <f t="shared" si="1335"/>
        <v/>
      </c>
      <c r="AL4259" s="24"/>
      <c r="AM4259" s="24"/>
      <c r="AN4259" s="24"/>
      <c r="AO4259" s="24"/>
      <c r="AP4259" s="165" t="str">
        <f t="shared" si="1336"/>
        <v/>
      </c>
      <c r="AQ4259" s="203" t="str">
        <f t="shared" si="1337"/>
        <v/>
      </c>
      <c r="AR4259" s="206">
        <f t="shared" si="1338"/>
        <v>0</v>
      </c>
      <c r="AS4259" s="22" t="str">
        <f t="shared" si="1339"/>
        <v/>
      </c>
      <c r="AT4259" s="24" t="str">
        <f t="shared" si="1340"/>
        <v/>
      </c>
      <c r="AU4259" s="22" t="s">
        <v>3240</v>
      </c>
    </row>
    <row r="4260" spans="1:47">
      <c r="A4260" s="246" t="str">
        <f t="shared" si="1328"/>
        <v/>
      </c>
      <c r="B4260" s="23"/>
      <c r="C4260" s="23"/>
      <c r="D4260" s="202" t="str">
        <f t="shared" si="1329"/>
        <v/>
      </c>
      <c r="E4260" s="33" t="str">
        <f t="shared" si="1323"/>
        <v/>
      </c>
      <c r="F4260" s="23"/>
      <c r="G4260" s="23"/>
      <c r="H4260" s="29"/>
      <c r="I4260" s="204" t="str">
        <f t="shared" si="1326"/>
        <v/>
      </c>
      <c r="J4260" s="188"/>
      <c r="K4260" s="29"/>
      <c r="L4260" s="24"/>
      <c r="M4260" s="22"/>
      <c r="N4260" s="22"/>
      <c r="O4260" s="22"/>
      <c r="P4260" s="202" t="str">
        <f t="shared" si="1327"/>
        <v/>
      </c>
      <c r="Q4260" s="22"/>
      <c r="R4260" s="22"/>
      <c r="S4260" s="22"/>
      <c r="T4260" s="22"/>
      <c r="U4260" s="22"/>
      <c r="V4260" s="22"/>
      <c r="W4260" s="22"/>
      <c r="X4260" s="104"/>
      <c r="Y4260" s="195" t="str">
        <f t="shared" si="1324"/>
        <v/>
      </c>
      <c r="Z4260" s="196" t="str">
        <f t="shared" si="1325"/>
        <v/>
      </c>
      <c r="AA4260" s="22"/>
      <c r="AB4260" s="197" t="str">
        <f t="shared" si="1330"/>
        <v/>
      </c>
      <c r="AC4260" s="198" t="str">
        <f t="shared" si="1331"/>
        <v/>
      </c>
      <c r="AD4260" s="162"/>
      <c r="AE4260" s="199" t="str">
        <f t="shared" si="1332"/>
        <v/>
      </c>
      <c r="AF4260" s="199" t="str">
        <f>IF(AND(COUNTIFS($J$18:J4260,J4260)=1,AE4260=1),1,"")</f>
        <v/>
      </c>
      <c r="AG4260" s="199" t="str">
        <f>IF(C4260="","",IF(AND(COUNTIFS($J$18:J4260,J4260)=1,C4260&lt;&gt;""),1,""))</f>
        <v/>
      </c>
      <c r="AH4260" s="199" t="str">
        <f>IF(G4260="","",IF(AND(COUNTIFS($J$18:J4260,J4260)=1,G4260&lt;&gt;""),1,""))</f>
        <v/>
      </c>
      <c r="AI4260" s="200">
        <f t="shared" si="1333"/>
        <v>0</v>
      </c>
      <c r="AJ4260" s="200">
        <f t="shared" si="1334"/>
        <v>0</v>
      </c>
      <c r="AK4260" s="201" t="str">
        <f t="shared" si="1335"/>
        <v/>
      </c>
      <c r="AL4260" s="24"/>
      <c r="AM4260" s="24"/>
      <c r="AN4260" s="24"/>
      <c r="AO4260" s="24"/>
      <c r="AP4260" s="165" t="str">
        <f t="shared" si="1336"/>
        <v/>
      </c>
      <c r="AQ4260" s="203" t="str">
        <f t="shared" si="1337"/>
        <v/>
      </c>
      <c r="AR4260" s="206">
        <f t="shared" si="1338"/>
        <v>0</v>
      </c>
      <c r="AS4260" s="22" t="str">
        <f t="shared" si="1339"/>
        <v/>
      </c>
      <c r="AT4260" s="24" t="str">
        <f t="shared" si="1340"/>
        <v/>
      </c>
      <c r="AU4260" s="22" t="s">
        <v>3240</v>
      </c>
    </row>
    <row r="4261" spans="1:47">
      <c r="A4261" s="246" t="str">
        <f t="shared" si="1328"/>
        <v/>
      </c>
      <c r="B4261" s="23"/>
      <c r="C4261" s="23"/>
      <c r="D4261" s="202" t="str">
        <f t="shared" si="1329"/>
        <v/>
      </c>
      <c r="E4261" s="33" t="str">
        <f t="shared" si="1323"/>
        <v/>
      </c>
      <c r="F4261" s="23"/>
      <c r="G4261" s="23"/>
      <c r="H4261" s="29"/>
      <c r="I4261" s="204" t="str">
        <f t="shared" si="1326"/>
        <v/>
      </c>
      <c r="J4261" s="188"/>
      <c r="K4261" s="29"/>
      <c r="L4261" s="24"/>
      <c r="M4261" s="22"/>
      <c r="N4261" s="22"/>
      <c r="O4261" s="22"/>
      <c r="P4261" s="202" t="str">
        <f t="shared" si="1327"/>
        <v/>
      </c>
      <c r="Q4261" s="22"/>
      <c r="R4261" s="22"/>
      <c r="S4261" s="22"/>
      <c r="T4261" s="22"/>
      <c r="U4261" s="22"/>
      <c r="V4261" s="22"/>
      <c r="W4261" s="22"/>
      <c r="X4261" s="104"/>
      <c r="Y4261" s="195" t="str">
        <f t="shared" si="1324"/>
        <v/>
      </c>
      <c r="Z4261" s="196" t="str">
        <f t="shared" si="1325"/>
        <v/>
      </c>
      <c r="AA4261" s="22"/>
      <c r="AB4261" s="197" t="str">
        <f t="shared" si="1330"/>
        <v/>
      </c>
      <c r="AC4261" s="198" t="str">
        <f t="shared" si="1331"/>
        <v/>
      </c>
      <c r="AD4261" s="162"/>
      <c r="AE4261" s="199" t="str">
        <f t="shared" si="1332"/>
        <v/>
      </c>
      <c r="AF4261" s="199" t="str">
        <f>IF(AND(COUNTIFS($J$18:J4261,J4261)=1,AE4261=1),1,"")</f>
        <v/>
      </c>
      <c r="AG4261" s="199" t="str">
        <f>IF(C4261="","",IF(AND(COUNTIFS($J$18:J4261,J4261)=1,C4261&lt;&gt;""),1,""))</f>
        <v/>
      </c>
      <c r="AH4261" s="199" t="str">
        <f>IF(G4261="","",IF(AND(COUNTIFS($J$18:J4261,J4261)=1,G4261&lt;&gt;""),1,""))</f>
        <v/>
      </c>
      <c r="AI4261" s="200">
        <f t="shared" si="1333"/>
        <v>0</v>
      </c>
      <c r="AJ4261" s="200">
        <f t="shared" si="1334"/>
        <v>0</v>
      </c>
      <c r="AK4261" s="201" t="str">
        <f t="shared" si="1335"/>
        <v/>
      </c>
      <c r="AL4261" s="24"/>
      <c r="AM4261" s="24"/>
      <c r="AN4261" s="24"/>
      <c r="AO4261" s="24"/>
      <c r="AP4261" s="165" t="str">
        <f t="shared" si="1336"/>
        <v/>
      </c>
      <c r="AQ4261" s="203" t="str">
        <f t="shared" si="1337"/>
        <v/>
      </c>
      <c r="AR4261" s="206">
        <f t="shared" si="1338"/>
        <v>0</v>
      </c>
      <c r="AS4261" s="22" t="str">
        <f t="shared" si="1339"/>
        <v/>
      </c>
      <c r="AT4261" s="24" t="str">
        <f t="shared" si="1340"/>
        <v/>
      </c>
      <c r="AU4261" s="22" t="s">
        <v>3240</v>
      </c>
    </row>
    <row r="4262" spans="1:47">
      <c r="A4262" s="246" t="str">
        <f t="shared" si="1328"/>
        <v/>
      </c>
      <c r="B4262" s="23"/>
      <c r="C4262" s="23"/>
      <c r="D4262" s="202" t="str">
        <f t="shared" si="1329"/>
        <v/>
      </c>
      <c r="E4262" s="33" t="str">
        <f t="shared" si="1323"/>
        <v/>
      </c>
      <c r="F4262" s="23"/>
      <c r="G4262" s="23"/>
      <c r="H4262" s="29"/>
      <c r="I4262" s="204" t="str">
        <f t="shared" si="1326"/>
        <v/>
      </c>
      <c r="J4262" s="188"/>
      <c r="K4262" s="29"/>
      <c r="L4262" s="24"/>
      <c r="M4262" s="22"/>
      <c r="N4262" s="22"/>
      <c r="O4262" s="22"/>
      <c r="P4262" s="202" t="str">
        <f t="shared" si="1327"/>
        <v/>
      </c>
      <c r="Q4262" s="22"/>
      <c r="R4262" s="22"/>
      <c r="S4262" s="22"/>
      <c r="T4262" s="22"/>
      <c r="U4262" s="22"/>
      <c r="V4262" s="22"/>
      <c r="W4262" s="22"/>
      <c r="X4262" s="104"/>
      <c r="Y4262" s="195" t="str">
        <f t="shared" si="1324"/>
        <v/>
      </c>
      <c r="Z4262" s="196" t="str">
        <f t="shared" si="1325"/>
        <v/>
      </c>
      <c r="AA4262" s="22"/>
      <c r="AB4262" s="197" t="str">
        <f t="shared" si="1330"/>
        <v/>
      </c>
      <c r="AC4262" s="198" t="str">
        <f t="shared" si="1331"/>
        <v/>
      </c>
      <c r="AD4262" s="162"/>
      <c r="AE4262" s="199" t="str">
        <f t="shared" si="1332"/>
        <v/>
      </c>
      <c r="AF4262" s="199" t="str">
        <f>IF(AND(COUNTIFS($J$18:J4262,J4262)=1,AE4262=1),1,"")</f>
        <v/>
      </c>
      <c r="AG4262" s="199" t="str">
        <f>IF(C4262="","",IF(AND(COUNTIFS($J$18:J4262,J4262)=1,C4262&lt;&gt;""),1,""))</f>
        <v/>
      </c>
      <c r="AH4262" s="199" t="str">
        <f>IF(G4262="","",IF(AND(COUNTIFS($J$18:J4262,J4262)=1,G4262&lt;&gt;""),1,""))</f>
        <v/>
      </c>
      <c r="AI4262" s="200">
        <f t="shared" si="1333"/>
        <v>0</v>
      </c>
      <c r="AJ4262" s="200">
        <f t="shared" si="1334"/>
        <v>0</v>
      </c>
      <c r="AK4262" s="201" t="str">
        <f t="shared" si="1335"/>
        <v/>
      </c>
      <c r="AL4262" s="24"/>
      <c r="AM4262" s="24"/>
      <c r="AN4262" s="24"/>
      <c r="AO4262" s="24"/>
      <c r="AP4262" s="165" t="str">
        <f t="shared" si="1336"/>
        <v/>
      </c>
      <c r="AQ4262" s="203" t="str">
        <f t="shared" si="1337"/>
        <v/>
      </c>
      <c r="AR4262" s="206">
        <f t="shared" si="1338"/>
        <v>0</v>
      </c>
      <c r="AS4262" s="22" t="str">
        <f t="shared" si="1339"/>
        <v/>
      </c>
      <c r="AT4262" s="24" t="str">
        <f t="shared" si="1340"/>
        <v/>
      </c>
      <c r="AU4262" s="22" t="s">
        <v>3240</v>
      </c>
    </row>
    <row r="4263" spans="1:47">
      <c r="A4263" s="246" t="str">
        <f t="shared" si="1328"/>
        <v/>
      </c>
      <c r="B4263" s="23"/>
      <c r="C4263" s="23"/>
      <c r="D4263" s="202" t="str">
        <f t="shared" si="1329"/>
        <v/>
      </c>
      <c r="E4263" s="33" t="str">
        <f t="shared" si="1323"/>
        <v/>
      </c>
      <c r="F4263" s="23"/>
      <c r="G4263" s="23"/>
      <c r="H4263" s="29"/>
      <c r="I4263" s="204" t="str">
        <f t="shared" si="1326"/>
        <v/>
      </c>
      <c r="J4263" s="188"/>
      <c r="K4263" s="29"/>
      <c r="L4263" s="24"/>
      <c r="M4263" s="22"/>
      <c r="N4263" s="22"/>
      <c r="O4263" s="22"/>
      <c r="P4263" s="202" t="str">
        <f t="shared" si="1327"/>
        <v/>
      </c>
      <c r="Q4263" s="22"/>
      <c r="R4263" s="22"/>
      <c r="S4263" s="22"/>
      <c r="T4263" s="22"/>
      <c r="U4263" s="22"/>
      <c r="V4263" s="22"/>
      <c r="W4263" s="22"/>
      <c r="X4263" s="104"/>
      <c r="Y4263" s="195" t="str">
        <f t="shared" si="1324"/>
        <v/>
      </c>
      <c r="Z4263" s="196" t="str">
        <f t="shared" si="1325"/>
        <v/>
      </c>
      <c r="AA4263" s="22"/>
      <c r="AB4263" s="197" t="str">
        <f t="shared" si="1330"/>
        <v/>
      </c>
      <c r="AC4263" s="198" t="str">
        <f t="shared" si="1331"/>
        <v/>
      </c>
      <c r="AD4263" s="162"/>
      <c r="AE4263" s="199" t="str">
        <f t="shared" si="1332"/>
        <v/>
      </c>
      <c r="AF4263" s="199" t="str">
        <f>IF(AND(COUNTIFS($J$18:J4263,J4263)=1,AE4263=1),1,"")</f>
        <v/>
      </c>
      <c r="AG4263" s="199" t="str">
        <f>IF(C4263="","",IF(AND(COUNTIFS($J$18:J4263,J4263)=1,C4263&lt;&gt;""),1,""))</f>
        <v/>
      </c>
      <c r="AH4263" s="199" t="str">
        <f>IF(G4263="","",IF(AND(COUNTIFS($J$18:J4263,J4263)=1,G4263&lt;&gt;""),1,""))</f>
        <v/>
      </c>
      <c r="AI4263" s="200">
        <f t="shared" si="1333"/>
        <v>0</v>
      </c>
      <c r="AJ4263" s="200">
        <f t="shared" si="1334"/>
        <v>0</v>
      </c>
      <c r="AK4263" s="201" t="str">
        <f t="shared" si="1335"/>
        <v/>
      </c>
      <c r="AL4263" s="24"/>
      <c r="AM4263" s="24"/>
      <c r="AN4263" s="24"/>
      <c r="AO4263" s="24"/>
      <c r="AP4263" s="165" t="str">
        <f t="shared" si="1336"/>
        <v/>
      </c>
      <c r="AQ4263" s="203" t="str">
        <f t="shared" si="1337"/>
        <v/>
      </c>
      <c r="AR4263" s="206">
        <f t="shared" si="1338"/>
        <v>0</v>
      </c>
      <c r="AS4263" s="22" t="str">
        <f t="shared" si="1339"/>
        <v/>
      </c>
      <c r="AT4263" s="24" t="str">
        <f t="shared" si="1340"/>
        <v/>
      </c>
      <c r="AU4263" s="22" t="s">
        <v>3240</v>
      </c>
    </row>
    <row r="4264" spans="1:47">
      <c r="A4264" s="246" t="str">
        <f t="shared" si="1328"/>
        <v/>
      </c>
      <c r="B4264" s="23"/>
      <c r="C4264" s="23"/>
      <c r="D4264" s="202" t="str">
        <f t="shared" si="1329"/>
        <v/>
      </c>
      <c r="E4264" s="33" t="str">
        <f t="shared" si="1323"/>
        <v/>
      </c>
      <c r="F4264" s="23"/>
      <c r="G4264" s="23"/>
      <c r="H4264" s="29"/>
      <c r="I4264" s="204" t="str">
        <f t="shared" si="1326"/>
        <v/>
      </c>
      <c r="J4264" s="188"/>
      <c r="K4264" s="29"/>
      <c r="L4264" s="24"/>
      <c r="M4264" s="22"/>
      <c r="N4264" s="22"/>
      <c r="O4264" s="22"/>
      <c r="P4264" s="202" t="str">
        <f t="shared" si="1327"/>
        <v/>
      </c>
      <c r="Q4264" s="22"/>
      <c r="R4264" s="22"/>
      <c r="S4264" s="22"/>
      <c r="T4264" s="22"/>
      <c r="U4264" s="22"/>
      <c r="V4264" s="22"/>
      <c r="W4264" s="22"/>
      <c r="X4264" s="104"/>
      <c r="Y4264" s="195" t="str">
        <f t="shared" si="1324"/>
        <v/>
      </c>
      <c r="Z4264" s="196" t="str">
        <f t="shared" si="1325"/>
        <v/>
      </c>
      <c r="AA4264" s="22"/>
      <c r="AB4264" s="197" t="str">
        <f t="shared" si="1330"/>
        <v/>
      </c>
      <c r="AC4264" s="198" t="str">
        <f t="shared" si="1331"/>
        <v/>
      </c>
      <c r="AD4264" s="162"/>
      <c r="AE4264" s="199" t="str">
        <f t="shared" si="1332"/>
        <v/>
      </c>
      <c r="AF4264" s="199" t="str">
        <f>IF(AND(COUNTIFS($J$18:J4264,J4264)=1,AE4264=1),1,"")</f>
        <v/>
      </c>
      <c r="AG4264" s="199" t="str">
        <f>IF(C4264="","",IF(AND(COUNTIFS($J$18:J4264,J4264)=1,C4264&lt;&gt;""),1,""))</f>
        <v/>
      </c>
      <c r="AH4264" s="199" t="str">
        <f>IF(G4264="","",IF(AND(COUNTIFS($J$18:J4264,J4264)=1,G4264&lt;&gt;""),1,""))</f>
        <v/>
      </c>
      <c r="AI4264" s="200">
        <f t="shared" si="1333"/>
        <v>0</v>
      </c>
      <c r="AJ4264" s="200">
        <f t="shared" si="1334"/>
        <v>0</v>
      </c>
      <c r="AK4264" s="201" t="str">
        <f t="shared" si="1335"/>
        <v/>
      </c>
      <c r="AL4264" s="24"/>
      <c r="AM4264" s="24"/>
      <c r="AN4264" s="24"/>
      <c r="AO4264" s="24"/>
      <c r="AP4264" s="165" t="str">
        <f t="shared" si="1336"/>
        <v/>
      </c>
      <c r="AQ4264" s="203" t="str">
        <f t="shared" si="1337"/>
        <v/>
      </c>
      <c r="AR4264" s="206">
        <f t="shared" si="1338"/>
        <v>0</v>
      </c>
      <c r="AS4264" s="22" t="str">
        <f t="shared" si="1339"/>
        <v/>
      </c>
      <c r="AT4264" s="24" t="str">
        <f t="shared" si="1340"/>
        <v/>
      </c>
      <c r="AU4264" s="22" t="s">
        <v>3240</v>
      </c>
    </row>
    <row r="4265" spans="1:47">
      <c r="A4265" s="246" t="str">
        <f t="shared" si="1328"/>
        <v/>
      </c>
      <c r="B4265" s="23"/>
      <c r="C4265" s="23"/>
      <c r="D4265" s="202" t="str">
        <f t="shared" si="1329"/>
        <v/>
      </c>
      <c r="E4265" s="33" t="str">
        <f t="shared" si="1323"/>
        <v/>
      </c>
      <c r="F4265" s="23"/>
      <c r="G4265" s="23"/>
      <c r="H4265" s="29"/>
      <c r="I4265" s="204" t="str">
        <f t="shared" si="1326"/>
        <v/>
      </c>
      <c r="J4265" s="188"/>
      <c r="K4265" s="29"/>
      <c r="L4265" s="24"/>
      <c r="M4265" s="22"/>
      <c r="N4265" s="22"/>
      <c r="O4265" s="22"/>
      <c r="P4265" s="202" t="str">
        <f t="shared" si="1327"/>
        <v/>
      </c>
      <c r="Q4265" s="22"/>
      <c r="R4265" s="22"/>
      <c r="S4265" s="22"/>
      <c r="T4265" s="22"/>
      <c r="U4265" s="22"/>
      <c r="V4265" s="22"/>
      <c r="W4265" s="22"/>
      <c r="X4265" s="104"/>
      <c r="Y4265" s="195" t="str">
        <f t="shared" si="1324"/>
        <v/>
      </c>
      <c r="Z4265" s="196" t="str">
        <f t="shared" si="1325"/>
        <v/>
      </c>
      <c r="AA4265" s="22"/>
      <c r="AB4265" s="197" t="str">
        <f t="shared" si="1330"/>
        <v/>
      </c>
      <c r="AC4265" s="198" t="str">
        <f t="shared" si="1331"/>
        <v/>
      </c>
      <c r="AD4265" s="162"/>
      <c r="AE4265" s="199" t="str">
        <f t="shared" si="1332"/>
        <v/>
      </c>
      <c r="AF4265" s="199" t="str">
        <f>IF(AND(COUNTIFS($J$18:J4265,J4265)=1,AE4265=1),1,"")</f>
        <v/>
      </c>
      <c r="AG4265" s="199" t="str">
        <f>IF(C4265="","",IF(AND(COUNTIFS($J$18:J4265,J4265)=1,C4265&lt;&gt;""),1,""))</f>
        <v/>
      </c>
      <c r="AH4265" s="199" t="str">
        <f>IF(G4265="","",IF(AND(COUNTIFS($J$18:J4265,J4265)=1,G4265&lt;&gt;""),1,""))</f>
        <v/>
      </c>
      <c r="AI4265" s="200">
        <f t="shared" si="1333"/>
        <v>0</v>
      </c>
      <c r="AJ4265" s="200">
        <f t="shared" si="1334"/>
        <v>0</v>
      </c>
      <c r="AK4265" s="201" t="str">
        <f t="shared" si="1335"/>
        <v/>
      </c>
      <c r="AL4265" s="24"/>
      <c r="AM4265" s="24"/>
      <c r="AN4265" s="24"/>
      <c r="AO4265" s="24"/>
      <c r="AP4265" s="165" t="str">
        <f t="shared" si="1336"/>
        <v/>
      </c>
      <c r="AQ4265" s="203" t="str">
        <f t="shared" si="1337"/>
        <v/>
      </c>
      <c r="AR4265" s="206">
        <f t="shared" si="1338"/>
        <v>0</v>
      </c>
      <c r="AS4265" s="22" t="str">
        <f t="shared" si="1339"/>
        <v/>
      </c>
      <c r="AT4265" s="24" t="str">
        <f t="shared" si="1340"/>
        <v/>
      </c>
      <c r="AU4265" s="22" t="s">
        <v>3240</v>
      </c>
    </row>
    <row r="4266" spans="1:47">
      <c r="A4266" s="246" t="str">
        <f t="shared" si="1328"/>
        <v/>
      </c>
      <c r="B4266" s="23"/>
      <c r="C4266" s="23"/>
      <c r="D4266" s="202" t="str">
        <f t="shared" si="1329"/>
        <v/>
      </c>
      <c r="E4266" s="33" t="str">
        <f t="shared" si="1323"/>
        <v/>
      </c>
      <c r="F4266" s="23"/>
      <c r="G4266" s="23"/>
      <c r="H4266" s="29"/>
      <c r="I4266" s="204" t="str">
        <f t="shared" si="1326"/>
        <v/>
      </c>
      <c r="J4266" s="188"/>
      <c r="K4266" s="29"/>
      <c r="L4266" s="24"/>
      <c r="M4266" s="22"/>
      <c r="N4266" s="22"/>
      <c r="O4266" s="22"/>
      <c r="P4266" s="202" t="str">
        <f t="shared" si="1327"/>
        <v/>
      </c>
      <c r="Q4266" s="22"/>
      <c r="R4266" s="22"/>
      <c r="S4266" s="22"/>
      <c r="T4266" s="22"/>
      <c r="U4266" s="22"/>
      <c r="V4266" s="22"/>
      <c r="W4266" s="22"/>
      <c r="X4266" s="104"/>
      <c r="Y4266" s="195" t="str">
        <f t="shared" si="1324"/>
        <v/>
      </c>
      <c r="Z4266" s="196" t="str">
        <f t="shared" si="1325"/>
        <v/>
      </c>
      <c r="AA4266" s="22"/>
      <c r="AB4266" s="197" t="str">
        <f t="shared" si="1330"/>
        <v/>
      </c>
      <c r="AC4266" s="198" t="str">
        <f t="shared" si="1331"/>
        <v/>
      </c>
      <c r="AD4266" s="162"/>
      <c r="AE4266" s="199" t="str">
        <f t="shared" si="1332"/>
        <v/>
      </c>
      <c r="AF4266" s="199" t="str">
        <f>IF(AND(COUNTIFS($J$18:J4266,J4266)=1,AE4266=1),1,"")</f>
        <v/>
      </c>
      <c r="AG4266" s="199" t="str">
        <f>IF(C4266="","",IF(AND(COUNTIFS($J$18:J4266,J4266)=1,C4266&lt;&gt;""),1,""))</f>
        <v/>
      </c>
      <c r="AH4266" s="199" t="str">
        <f>IF(G4266="","",IF(AND(COUNTIFS($J$18:J4266,J4266)=1,G4266&lt;&gt;""),1,""))</f>
        <v/>
      </c>
      <c r="AI4266" s="200">
        <f t="shared" si="1333"/>
        <v>0</v>
      </c>
      <c r="AJ4266" s="200">
        <f t="shared" si="1334"/>
        <v>0</v>
      </c>
      <c r="AK4266" s="201" t="str">
        <f t="shared" si="1335"/>
        <v/>
      </c>
      <c r="AL4266" s="24"/>
      <c r="AM4266" s="24"/>
      <c r="AN4266" s="24"/>
      <c r="AO4266" s="24"/>
      <c r="AP4266" s="165" t="str">
        <f t="shared" si="1336"/>
        <v/>
      </c>
      <c r="AQ4266" s="203" t="str">
        <f t="shared" si="1337"/>
        <v/>
      </c>
      <c r="AR4266" s="206">
        <f t="shared" si="1338"/>
        <v>0</v>
      </c>
      <c r="AS4266" s="22" t="str">
        <f t="shared" si="1339"/>
        <v/>
      </c>
      <c r="AT4266" s="24" t="str">
        <f t="shared" si="1340"/>
        <v/>
      </c>
      <c r="AU4266" s="22" t="s">
        <v>3240</v>
      </c>
    </row>
    <row r="4267" spans="1:47">
      <c r="A4267" s="246" t="str">
        <f t="shared" si="1328"/>
        <v/>
      </c>
      <c r="B4267" s="23"/>
      <c r="C4267" s="23"/>
      <c r="D4267" s="202" t="str">
        <f t="shared" si="1329"/>
        <v/>
      </c>
      <c r="E4267" s="33" t="str">
        <f t="shared" si="1323"/>
        <v/>
      </c>
      <c r="F4267" s="23"/>
      <c r="G4267" s="23"/>
      <c r="H4267" s="29"/>
      <c r="I4267" s="204" t="str">
        <f t="shared" si="1326"/>
        <v/>
      </c>
      <c r="J4267" s="188"/>
      <c r="K4267" s="29"/>
      <c r="L4267" s="24"/>
      <c r="M4267" s="22"/>
      <c r="N4267" s="22"/>
      <c r="O4267" s="22"/>
      <c r="P4267" s="202" t="str">
        <f t="shared" si="1327"/>
        <v/>
      </c>
      <c r="Q4267" s="22"/>
      <c r="R4267" s="22"/>
      <c r="S4267" s="22"/>
      <c r="T4267" s="22"/>
      <c r="U4267" s="22"/>
      <c r="V4267" s="22"/>
      <c r="W4267" s="22"/>
      <c r="X4267" s="104"/>
      <c r="Y4267" s="195" t="str">
        <f t="shared" si="1324"/>
        <v/>
      </c>
      <c r="Z4267" s="196" t="str">
        <f t="shared" si="1325"/>
        <v/>
      </c>
      <c r="AA4267" s="22"/>
      <c r="AB4267" s="197" t="str">
        <f t="shared" si="1330"/>
        <v/>
      </c>
      <c r="AC4267" s="198" t="str">
        <f t="shared" si="1331"/>
        <v/>
      </c>
      <c r="AD4267" s="162"/>
      <c r="AE4267" s="199" t="str">
        <f t="shared" si="1332"/>
        <v/>
      </c>
      <c r="AF4267" s="199" t="str">
        <f>IF(AND(COUNTIFS($J$18:J4267,J4267)=1,AE4267=1),1,"")</f>
        <v/>
      </c>
      <c r="AG4267" s="199" t="str">
        <f>IF(C4267="","",IF(AND(COUNTIFS($J$18:J4267,J4267)=1,C4267&lt;&gt;""),1,""))</f>
        <v/>
      </c>
      <c r="AH4267" s="199" t="str">
        <f>IF(G4267="","",IF(AND(COUNTIFS($J$18:J4267,J4267)=1,G4267&lt;&gt;""),1,""))</f>
        <v/>
      </c>
      <c r="AI4267" s="200">
        <f t="shared" si="1333"/>
        <v>0</v>
      </c>
      <c r="AJ4267" s="200">
        <f t="shared" si="1334"/>
        <v>0</v>
      </c>
      <c r="AK4267" s="201" t="str">
        <f t="shared" si="1335"/>
        <v/>
      </c>
      <c r="AL4267" s="24"/>
      <c r="AM4267" s="24"/>
      <c r="AN4267" s="24"/>
      <c r="AO4267" s="24"/>
      <c r="AP4267" s="165" t="str">
        <f t="shared" si="1336"/>
        <v/>
      </c>
      <c r="AQ4267" s="203" t="str">
        <f t="shared" si="1337"/>
        <v/>
      </c>
      <c r="AR4267" s="206">
        <f t="shared" si="1338"/>
        <v>0</v>
      </c>
      <c r="AS4267" s="22" t="str">
        <f t="shared" si="1339"/>
        <v/>
      </c>
      <c r="AT4267" s="24" t="str">
        <f t="shared" si="1340"/>
        <v/>
      </c>
      <c r="AU4267" s="22" t="s">
        <v>3240</v>
      </c>
    </row>
    <row r="4268" spans="1:47">
      <c r="A4268" s="246" t="str">
        <f t="shared" si="1328"/>
        <v/>
      </c>
      <c r="B4268" s="23"/>
      <c r="C4268" s="23"/>
      <c r="D4268" s="202" t="str">
        <f t="shared" si="1329"/>
        <v/>
      </c>
      <c r="E4268" s="33" t="str">
        <f t="shared" si="1323"/>
        <v/>
      </c>
      <c r="F4268" s="23"/>
      <c r="G4268" s="23"/>
      <c r="H4268" s="29"/>
      <c r="I4268" s="204" t="str">
        <f t="shared" si="1326"/>
        <v/>
      </c>
      <c r="J4268" s="188"/>
      <c r="K4268" s="29"/>
      <c r="L4268" s="24"/>
      <c r="M4268" s="22"/>
      <c r="N4268" s="22"/>
      <c r="O4268" s="22"/>
      <c r="P4268" s="202" t="str">
        <f t="shared" si="1327"/>
        <v/>
      </c>
      <c r="Q4268" s="22"/>
      <c r="R4268" s="22"/>
      <c r="S4268" s="22"/>
      <c r="T4268" s="22"/>
      <c r="U4268" s="22"/>
      <c r="V4268" s="22"/>
      <c r="W4268" s="22"/>
      <c r="X4268" s="104"/>
      <c r="Y4268" s="195" t="str">
        <f t="shared" si="1324"/>
        <v/>
      </c>
      <c r="Z4268" s="196" t="str">
        <f t="shared" si="1325"/>
        <v/>
      </c>
      <c r="AA4268" s="22"/>
      <c r="AB4268" s="197" t="str">
        <f t="shared" si="1330"/>
        <v/>
      </c>
      <c r="AC4268" s="198" t="str">
        <f t="shared" si="1331"/>
        <v/>
      </c>
      <c r="AD4268" s="162"/>
      <c r="AE4268" s="199" t="str">
        <f t="shared" si="1332"/>
        <v/>
      </c>
      <c r="AF4268" s="199" t="str">
        <f>IF(AND(COUNTIFS($J$18:J4268,J4268)=1,AE4268=1),1,"")</f>
        <v/>
      </c>
      <c r="AG4268" s="199" t="str">
        <f>IF(C4268="","",IF(AND(COUNTIFS($J$18:J4268,J4268)=1,C4268&lt;&gt;""),1,""))</f>
        <v/>
      </c>
      <c r="AH4268" s="199" t="str">
        <f>IF(G4268="","",IF(AND(COUNTIFS($J$18:J4268,J4268)=1,G4268&lt;&gt;""),1,""))</f>
        <v/>
      </c>
      <c r="AI4268" s="200">
        <f t="shared" si="1333"/>
        <v>0</v>
      </c>
      <c r="AJ4268" s="200">
        <f t="shared" si="1334"/>
        <v>0</v>
      </c>
      <c r="AK4268" s="201" t="str">
        <f t="shared" si="1335"/>
        <v/>
      </c>
      <c r="AL4268" s="24"/>
      <c r="AM4268" s="24"/>
      <c r="AN4268" s="24"/>
      <c r="AO4268" s="24"/>
      <c r="AP4268" s="165" t="str">
        <f t="shared" si="1336"/>
        <v/>
      </c>
      <c r="AQ4268" s="203" t="str">
        <f t="shared" si="1337"/>
        <v/>
      </c>
      <c r="AR4268" s="206">
        <f t="shared" si="1338"/>
        <v>0</v>
      </c>
      <c r="AS4268" s="22" t="str">
        <f t="shared" si="1339"/>
        <v/>
      </c>
      <c r="AT4268" s="24" t="str">
        <f t="shared" si="1340"/>
        <v/>
      </c>
      <c r="AU4268" s="22" t="s">
        <v>3240</v>
      </c>
    </row>
    <row r="4269" spans="1:47">
      <c r="A4269" s="246" t="str">
        <f t="shared" si="1328"/>
        <v/>
      </c>
      <c r="B4269" s="23"/>
      <c r="C4269" s="23"/>
      <c r="D4269" s="202" t="str">
        <f t="shared" si="1329"/>
        <v/>
      </c>
      <c r="E4269" s="33" t="str">
        <f t="shared" si="1323"/>
        <v/>
      </c>
      <c r="F4269" s="23"/>
      <c r="G4269" s="23"/>
      <c r="H4269" s="29"/>
      <c r="I4269" s="204" t="str">
        <f t="shared" si="1326"/>
        <v/>
      </c>
      <c r="J4269" s="188"/>
      <c r="K4269" s="29"/>
      <c r="L4269" s="24"/>
      <c r="M4269" s="22"/>
      <c r="N4269" s="22"/>
      <c r="O4269" s="22"/>
      <c r="P4269" s="202" t="str">
        <f t="shared" si="1327"/>
        <v/>
      </c>
      <c r="Q4269" s="22"/>
      <c r="R4269" s="22"/>
      <c r="S4269" s="22"/>
      <c r="T4269" s="22"/>
      <c r="U4269" s="22"/>
      <c r="V4269" s="22"/>
      <c r="W4269" s="22"/>
      <c r="X4269" s="104"/>
      <c r="Y4269" s="195" t="str">
        <f t="shared" si="1324"/>
        <v/>
      </c>
      <c r="Z4269" s="196" t="str">
        <f t="shared" si="1325"/>
        <v/>
      </c>
      <c r="AA4269" s="22"/>
      <c r="AB4269" s="197" t="str">
        <f t="shared" si="1330"/>
        <v/>
      </c>
      <c r="AC4269" s="198" t="str">
        <f t="shared" si="1331"/>
        <v/>
      </c>
      <c r="AD4269" s="162"/>
      <c r="AE4269" s="199" t="str">
        <f t="shared" si="1332"/>
        <v/>
      </c>
      <c r="AF4269" s="199" t="str">
        <f>IF(AND(COUNTIFS($J$18:J4269,J4269)=1,AE4269=1),1,"")</f>
        <v/>
      </c>
      <c r="AG4269" s="199" t="str">
        <f>IF(C4269="","",IF(AND(COUNTIFS($J$18:J4269,J4269)=1,C4269&lt;&gt;""),1,""))</f>
        <v/>
      </c>
      <c r="AH4269" s="199" t="str">
        <f>IF(G4269="","",IF(AND(COUNTIFS($J$18:J4269,J4269)=1,G4269&lt;&gt;""),1,""))</f>
        <v/>
      </c>
      <c r="AI4269" s="200">
        <f t="shared" si="1333"/>
        <v>0</v>
      </c>
      <c r="AJ4269" s="200">
        <f t="shared" si="1334"/>
        <v>0</v>
      </c>
      <c r="AK4269" s="201" t="str">
        <f t="shared" si="1335"/>
        <v/>
      </c>
      <c r="AL4269" s="24"/>
      <c r="AM4269" s="24"/>
      <c r="AN4269" s="24"/>
      <c r="AO4269" s="24"/>
      <c r="AP4269" s="165" t="str">
        <f t="shared" si="1336"/>
        <v/>
      </c>
      <c r="AQ4269" s="203" t="str">
        <f t="shared" si="1337"/>
        <v/>
      </c>
      <c r="AR4269" s="206">
        <f t="shared" si="1338"/>
        <v>0</v>
      </c>
      <c r="AS4269" s="22" t="str">
        <f t="shared" si="1339"/>
        <v/>
      </c>
      <c r="AT4269" s="24" t="str">
        <f t="shared" si="1340"/>
        <v/>
      </c>
      <c r="AU4269" s="22" t="s">
        <v>3240</v>
      </c>
    </row>
    <row r="4270" spans="1:47">
      <c r="A4270" s="246" t="str">
        <f t="shared" si="1328"/>
        <v/>
      </c>
      <c r="B4270" s="23"/>
      <c r="C4270" s="23"/>
      <c r="D4270" s="202" t="str">
        <f t="shared" si="1329"/>
        <v/>
      </c>
      <c r="E4270" s="33" t="str">
        <f t="shared" si="1323"/>
        <v/>
      </c>
      <c r="F4270" s="23"/>
      <c r="G4270" s="23"/>
      <c r="H4270" s="29"/>
      <c r="I4270" s="204" t="str">
        <f t="shared" si="1326"/>
        <v/>
      </c>
      <c r="J4270" s="188"/>
      <c r="K4270" s="29"/>
      <c r="L4270" s="24"/>
      <c r="M4270" s="22"/>
      <c r="N4270" s="22"/>
      <c r="O4270" s="22"/>
      <c r="P4270" s="202" t="str">
        <f t="shared" si="1327"/>
        <v/>
      </c>
      <c r="Q4270" s="22"/>
      <c r="R4270" s="22"/>
      <c r="S4270" s="22"/>
      <c r="T4270" s="22"/>
      <c r="U4270" s="22"/>
      <c r="V4270" s="22"/>
      <c r="W4270" s="22"/>
      <c r="X4270" s="104"/>
      <c r="Y4270" s="195" t="str">
        <f t="shared" si="1324"/>
        <v/>
      </c>
      <c r="Z4270" s="196" t="str">
        <f t="shared" si="1325"/>
        <v/>
      </c>
      <c r="AA4270" s="22"/>
      <c r="AB4270" s="197" t="str">
        <f t="shared" si="1330"/>
        <v/>
      </c>
      <c r="AC4270" s="198" t="str">
        <f t="shared" si="1331"/>
        <v/>
      </c>
      <c r="AD4270" s="162"/>
      <c r="AE4270" s="199" t="str">
        <f t="shared" si="1332"/>
        <v/>
      </c>
      <c r="AF4270" s="199" t="str">
        <f>IF(AND(COUNTIFS($J$18:J4270,J4270)=1,AE4270=1),1,"")</f>
        <v/>
      </c>
      <c r="AG4270" s="199" t="str">
        <f>IF(C4270="","",IF(AND(COUNTIFS($J$18:J4270,J4270)=1,C4270&lt;&gt;""),1,""))</f>
        <v/>
      </c>
      <c r="AH4270" s="199" t="str">
        <f>IF(G4270="","",IF(AND(COUNTIFS($J$18:J4270,J4270)=1,G4270&lt;&gt;""),1,""))</f>
        <v/>
      </c>
      <c r="AI4270" s="200">
        <f t="shared" si="1333"/>
        <v>0</v>
      </c>
      <c r="AJ4270" s="200">
        <f t="shared" si="1334"/>
        <v>0</v>
      </c>
      <c r="AK4270" s="201" t="str">
        <f t="shared" si="1335"/>
        <v/>
      </c>
      <c r="AL4270" s="24"/>
      <c r="AM4270" s="24"/>
      <c r="AN4270" s="24"/>
      <c r="AO4270" s="24"/>
      <c r="AP4270" s="165" t="str">
        <f t="shared" si="1336"/>
        <v/>
      </c>
      <c r="AQ4270" s="203" t="str">
        <f t="shared" si="1337"/>
        <v/>
      </c>
      <c r="AR4270" s="206">
        <f t="shared" si="1338"/>
        <v>0</v>
      </c>
      <c r="AS4270" s="22" t="str">
        <f t="shared" si="1339"/>
        <v/>
      </c>
      <c r="AT4270" s="24" t="str">
        <f t="shared" si="1340"/>
        <v/>
      </c>
      <c r="AU4270" s="22" t="s">
        <v>3240</v>
      </c>
    </row>
    <row r="4271" spans="1:47">
      <c r="A4271" s="246" t="str">
        <f t="shared" si="1328"/>
        <v/>
      </c>
      <c r="B4271" s="23"/>
      <c r="C4271" s="23"/>
      <c r="D4271" s="202" t="str">
        <f t="shared" si="1329"/>
        <v/>
      </c>
      <c r="E4271" s="33" t="str">
        <f t="shared" si="1323"/>
        <v/>
      </c>
      <c r="F4271" s="23"/>
      <c r="G4271" s="23"/>
      <c r="H4271" s="29"/>
      <c r="I4271" s="204" t="str">
        <f t="shared" si="1326"/>
        <v/>
      </c>
      <c r="J4271" s="188"/>
      <c r="K4271" s="29"/>
      <c r="L4271" s="24"/>
      <c r="M4271" s="22"/>
      <c r="N4271" s="22"/>
      <c r="O4271" s="22"/>
      <c r="P4271" s="202" t="str">
        <f t="shared" si="1327"/>
        <v/>
      </c>
      <c r="Q4271" s="22"/>
      <c r="R4271" s="22"/>
      <c r="S4271" s="22"/>
      <c r="T4271" s="22"/>
      <c r="U4271" s="22"/>
      <c r="V4271" s="22"/>
      <c r="W4271" s="22"/>
      <c r="X4271" s="104"/>
      <c r="Y4271" s="195" t="str">
        <f t="shared" si="1324"/>
        <v/>
      </c>
      <c r="Z4271" s="196" t="str">
        <f t="shared" si="1325"/>
        <v/>
      </c>
      <c r="AA4271" s="22"/>
      <c r="AB4271" s="197" t="str">
        <f t="shared" si="1330"/>
        <v/>
      </c>
      <c r="AC4271" s="198" t="str">
        <f t="shared" si="1331"/>
        <v/>
      </c>
      <c r="AD4271" s="162"/>
      <c r="AE4271" s="199" t="str">
        <f t="shared" si="1332"/>
        <v/>
      </c>
      <c r="AF4271" s="199" t="str">
        <f>IF(AND(COUNTIFS($J$18:J4271,J4271)=1,AE4271=1),1,"")</f>
        <v/>
      </c>
      <c r="AG4271" s="199" t="str">
        <f>IF(C4271="","",IF(AND(COUNTIFS($J$18:J4271,J4271)=1,C4271&lt;&gt;""),1,""))</f>
        <v/>
      </c>
      <c r="AH4271" s="199" t="str">
        <f>IF(G4271="","",IF(AND(COUNTIFS($J$18:J4271,J4271)=1,G4271&lt;&gt;""),1,""))</f>
        <v/>
      </c>
      <c r="AI4271" s="200">
        <f t="shared" si="1333"/>
        <v>0</v>
      </c>
      <c r="AJ4271" s="200">
        <f t="shared" si="1334"/>
        <v>0</v>
      </c>
      <c r="AK4271" s="201" t="str">
        <f t="shared" si="1335"/>
        <v/>
      </c>
      <c r="AL4271" s="24"/>
      <c r="AM4271" s="24"/>
      <c r="AN4271" s="24"/>
      <c r="AO4271" s="24"/>
      <c r="AP4271" s="165" t="str">
        <f t="shared" si="1336"/>
        <v/>
      </c>
      <c r="AQ4271" s="203" t="str">
        <f t="shared" si="1337"/>
        <v/>
      </c>
      <c r="AR4271" s="206">
        <f t="shared" si="1338"/>
        <v>0</v>
      </c>
      <c r="AS4271" s="22" t="str">
        <f t="shared" si="1339"/>
        <v/>
      </c>
      <c r="AT4271" s="24" t="str">
        <f t="shared" si="1340"/>
        <v/>
      </c>
      <c r="AU4271" s="22" t="s">
        <v>3240</v>
      </c>
    </row>
    <row r="4272" spans="1:47">
      <c r="A4272" s="246" t="str">
        <f t="shared" si="1328"/>
        <v/>
      </c>
      <c r="B4272" s="23"/>
      <c r="C4272" s="23"/>
      <c r="D4272" s="202" t="str">
        <f t="shared" si="1329"/>
        <v/>
      </c>
      <c r="E4272" s="33" t="str">
        <f t="shared" si="1323"/>
        <v/>
      </c>
      <c r="F4272" s="23"/>
      <c r="G4272" s="23"/>
      <c r="H4272" s="29"/>
      <c r="I4272" s="204" t="str">
        <f t="shared" si="1326"/>
        <v/>
      </c>
      <c r="J4272" s="188"/>
      <c r="K4272" s="29"/>
      <c r="L4272" s="24"/>
      <c r="M4272" s="22"/>
      <c r="N4272" s="22"/>
      <c r="O4272" s="22"/>
      <c r="P4272" s="202" t="str">
        <f t="shared" si="1327"/>
        <v/>
      </c>
      <c r="Q4272" s="22"/>
      <c r="R4272" s="22"/>
      <c r="S4272" s="22"/>
      <c r="T4272" s="22"/>
      <c r="U4272" s="22"/>
      <c r="V4272" s="22"/>
      <c r="W4272" s="22"/>
      <c r="X4272" s="104"/>
      <c r="Y4272" s="195" t="str">
        <f t="shared" si="1324"/>
        <v/>
      </c>
      <c r="Z4272" s="196" t="str">
        <f t="shared" si="1325"/>
        <v/>
      </c>
      <c r="AA4272" s="22"/>
      <c r="AB4272" s="197" t="str">
        <f t="shared" si="1330"/>
        <v/>
      </c>
      <c r="AC4272" s="198" t="str">
        <f t="shared" si="1331"/>
        <v/>
      </c>
      <c r="AD4272" s="162"/>
      <c r="AE4272" s="199" t="str">
        <f t="shared" si="1332"/>
        <v/>
      </c>
      <c r="AF4272" s="199" t="str">
        <f>IF(AND(COUNTIFS($J$18:J4272,J4272)=1,AE4272=1),1,"")</f>
        <v/>
      </c>
      <c r="AG4272" s="199" t="str">
        <f>IF(C4272="","",IF(AND(COUNTIFS($J$18:J4272,J4272)=1,C4272&lt;&gt;""),1,""))</f>
        <v/>
      </c>
      <c r="AH4272" s="199" t="str">
        <f>IF(G4272="","",IF(AND(COUNTIFS($J$18:J4272,J4272)=1,G4272&lt;&gt;""),1,""))</f>
        <v/>
      </c>
      <c r="AI4272" s="200">
        <f t="shared" si="1333"/>
        <v>0</v>
      </c>
      <c r="AJ4272" s="200">
        <f t="shared" si="1334"/>
        <v>0</v>
      </c>
      <c r="AK4272" s="201" t="str">
        <f t="shared" si="1335"/>
        <v/>
      </c>
      <c r="AL4272" s="24"/>
      <c r="AM4272" s="24"/>
      <c r="AN4272" s="24"/>
      <c r="AO4272" s="24"/>
      <c r="AP4272" s="165" t="str">
        <f t="shared" si="1336"/>
        <v/>
      </c>
      <c r="AQ4272" s="203" t="str">
        <f t="shared" si="1337"/>
        <v/>
      </c>
      <c r="AR4272" s="206">
        <f t="shared" si="1338"/>
        <v>0</v>
      </c>
      <c r="AS4272" s="22" t="str">
        <f t="shared" si="1339"/>
        <v/>
      </c>
      <c r="AT4272" s="24" t="str">
        <f t="shared" si="1340"/>
        <v/>
      </c>
      <c r="AU4272" s="22" t="s">
        <v>3240</v>
      </c>
    </row>
    <row r="4273" spans="1:47">
      <c r="A4273" s="246" t="str">
        <f t="shared" si="1328"/>
        <v/>
      </c>
      <c r="B4273" s="23"/>
      <c r="C4273" s="23"/>
      <c r="D4273" s="202" t="str">
        <f t="shared" si="1329"/>
        <v/>
      </c>
      <c r="E4273" s="33" t="str">
        <f t="shared" si="1323"/>
        <v/>
      </c>
      <c r="F4273" s="23"/>
      <c r="G4273" s="23"/>
      <c r="H4273" s="29"/>
      <c r="I4273" s="204" t="str">
        <f t="shared" si="1326"/>
        <v/>
      </c>
      <c r="J4273" s="188"/>
      <c r="K4273" s="29"/>
      <c r="L4273" s="24"/>
      <c r="M4273" s="22"/>
      <c r="N4273" s="22"/>
      <c r="O4273" s="22"/>
      <c r="P4273" s="202" t="str">
        <f t="shared" si="1327"/>
        <v/>
      </c>
      <c r="Q4273" s="22"/>
      <c r="R4273" s="22"/>
      <c r="S4273" s="22"/>
      <c r="T4273" s="22"/>
      <c r="U4273" s="22"/>
      <c r="V4273" s="22"/>
      <c r="W4273" s="22"/>
      <c r="X4273" s="104"/>
      <c r="Y4273" s="195" t="str">
        <f t="shared" si="1324"/>
        <v/>
      </c>
      <c r="Z4273" s="196" t="str">
        <f t="shared" si="1325"/>
        <v/>
      </c>
      <c r="AA4273" s="22"/>
      <c r="AB4273" s="197" t="str">
        <f t="shared" si="1330"/>
        <v/>
      </c>
      <c r="AC4273" s="198" t="str">
        <f t="shared" si="1331"/>
        <v/>
      </c>
      <c r="AD4273" s="162"/>
      <c r="AE4273" s="199" t="str">
        <f t="shared" si="1332"/>
        <v/>
      </c>
      <c r="AF4273" s="199" t="str">
        <f>IF(AND(COUNTIFS($J$18:J4273,J4273)=1,AE4273=1),1,"")</f>
        <v/>
      </c>
      <c r="AG4273" s="199" t="str">
        <f>IF(C4273="","",IF(AND(COUNTIFS($J$18:J4273,J4273)=1,C4273&lt;&gt;""),1,""))</f>
        <v/>
      </c>
      <c r="AH4273" s="199" t="str">
        <f>IF(G4273="","",IF(AND(COUNTIFS($J$18:J4273,J4273)=1,G4273&lt;&gt;""),1,""))</f>
        <v/>
      </c>
      <c r="AI4273" s="200">
        <f t="shared" si="1333"/>
        <v>0</v>
      </c>
      <c r="AJ4273" s="200">
        <f t="shared" si="1334"/>
        <v>0</v>
      </c>
      <c r="AK4273" s="201" t="str">
        <f t="shared" si="1335"/>
        <v/>
      </c>
      <c r="AL4273" s="24"/>
      <c r="AM4273" s="24"/>
      <c r="AN4273" s="24"/>
      <c r="AO4273" s="24"/>
      <c r="AP4273" s="165" t="str">
        <f t="shared" si="1336"/>
        <v/>
      </c>
      <c r="AQ4273" s="203" t="str">
        <f t="shared" si="1337"/>
        <v/>
      </c>
      <c r="AR4273" s="206">
        <f t="shared" si="1338"/>
        <v>0</v>
      </c>
      <c r="AS4273" s="22" t="str">
        <f t="shared" si="1339"/>
        <v/>
      </c>
      <c r="AT4273" s="24" t="str">
        <f t="shared" si="1340"/>
        <v/>
      </c>
      <c r="AU4273" s="22" t="s">
        <v>3240</v>
      </c>
    </row>
    <row r="4274" spans="1:47">
      <c r="A4274" s="246" t="str">
        <f t="shared" si="1328"/>
        <v/>
      </c>
      <c r="B4274" s="23"/>
      <c r="C4274" s="23"/>
      <c r="D4274" s="202" t="str">
        <f t="shared" si="1329"/>
        <v/>
      </c>
      <c r="E4274" s="33" t="str">
        <f t="shared" si="1323"/>
        <v/>
      </c>
      <c r="F4274" s="23"/>
      <c r="G4274" s="23"/>
      <c r="H4274" s="29"/>
      <c r="I4274" s="204" t="str">
        <f t="shared" si="1326"/>
        <v/>
      </c>
      <c r="J4274" s="188"/>
      <c r="K4274" s="29"/>
      <c r="L4274" s="24"/>
      <c r="M4274" s="22"/>
      <c r="N4274" s="22"/>
      <c r="O4274" s="22"/>
      <c r="P4274" s="202" t="str">
        <f t="shared" si="1327"/>
        <v/>
      </c>
      <c r="Q4274" s="22"/>
      <c r="R4274" s="22"/>
      <c r="S4274" s="22"/>
      <c r="T4274" s="22"/>
      <c r="U4274" s="22"/>
      <c r="V4274" s="22"/>
      <c r="W4274" s="22"/>
      <c r="X4274" s="104"/>
      <c r="Y4274" s="195" t="str">
        <f t="shared" si="1324"/>
        <v/>
      </c>
      <c r="Z4274" s="196" t="str">
        <f t="shared" si="1325"/>
        <v/>
      </c>
      <c r="AA4274" s="22"/>
      <c r="AB4274" s="197" t="str">
        <f t="shared" si="1330"/>
        <v/>
      </c>
      <c r="AC4274" s="198" t="str">
        <f t="shared" si="1331"/>
        <v/>
      </c>
      <c r="AD4274" s="162"/>
      <c r="AE4274" s="199" t="str">
        <f t="shared" si="1332"/>
        <v/>
      </c>
      <c r="AF4274" s="199" t="str">
        <f>IF(AND(COUNTIFS($J$18:J4274,J4274)=1,AE4274=1),1,"")</f>
        <v/>
      </c>
      <c r="AG4274" s="199" t="str">
        <f>IF(C4274="","",IF(AND(COUNTIFS($J$18:J4274,J4274)=1,C4274&lt;&gt;""),1,""))</f>
        <v/>
      </c>
      <c r="AH4274" s="199" t="str">
        <f>IF(G4274="","",IF(AND(COUNTIFS($J$18:J4274,J4274)=1,G4274&lt;&gt;""),1,""))</f>
        <v/>
      </c>
      <c r="AI4274" s="200">
        <f t="shared" si="1333"/>
        <v>0</v>
      </c>
      <c r="AJ4274" s="200">
        <f t="shared" si="1334"/>
        <v>0</v>
      </c>
      <c r="AK4274" s="201" t="str">
        <f t="shared" si="1335"/>
        <v/>
      </c>
      <c r="AL4274" s="24"/>
      <c r="AM4274" s="24"/>
      <c r="AN4274" s="24"/>
      <c r="AO4274" s="24"/>
      <c r="AP4274" s="165" t="str">
        <f t="shared" si="1336"/>
        <v/>
      </c>
      <c r="AQ4274" s="203" t="str">
        <f t="shared" si="1337"/>
        <v/>
      </c>
      <c r="AR4274" s="206">
        <f t="shared" si="1338"/>
        <v>0</v>
      </c>
      <c r="AS4274" s="22" t="str">
        <f t="shared" si="1339"/>
        <v/>
      </c>
      <c r="AT4274" s="24" t="str">
        <f t="shared" si="1340"/>
        <v/>
      </c>
      <c r="AU4274" s="22" t="s">
        <v>3240</v>
      </c>
    </row>
    <row r="4275" spans="1:47">
      <c r="A4275" s="246" t="str">
        <f t="shared" si="1328"/>
        <v/>
      </c>
      <c r="B4275" s="23"/>
      <c r="C4275" s="23"/>
      <c r="D4275" s="202" t="str">
        <f t="shared" si="1329"/>
        <v/>
      </c>
      <c r="E4275" s="33" t="str">
        <f t="shared" si="1323"/>
        <v/>
      </c>
      <c r="F4275" s="23"/>
      <c r="G4275" s="23"/>
      <c r="H4275" s="29"/>
      <c r="I4275" s="204" t="str">
        <f t="shared" si="1326"/>
        <v/>
      </c>
      <c r="J4275" s="188"/>
      <c r="K4275" s="29"/>
      <c r="L4275" s="24"/>
      <c r="M4275" s="22"/>
      <c r="N4275" s="22"/>
      <c r="O4275" s="22"/>
      <c r="P4275" s="202" t="str">
        <f t="shared" si="1327"/>
        <v/>
      </c>
      <c r="Q4275" s="22"/>
      <c r="R4275" s="22"/>
      <c r="S4275" s="22"/>
      <c r="T4275" s="22"/>
      <c r="U4275" s="22"/>
      <c r="V4275" s="22"/>
      <c r="W4275" s="22"/>
      <c r="X4275" s="104"/>
      <c r="Y4275" s="195" t="str">
        <f t="shared" si="1324"/>
        <v/>
      </c>
      <c r="Z4275" s="196" t="str">
        <f t="shared" si="1325"/>
        <v/>
      </c>
      <c r="AA4275" s="22"/>
      <c r="AB4275" s="197" t="str">
        <f t="shared" si="1330"/>
        <v/>
      </c>
      <c r="AC4275" s="198" t="str">
        <f t="shared" si="1331"/>
        <v/>
      </c>
      <c r="AD4275" s="162"/>
      <c r="AE4275" s="199" t="str">
        <f t="shared" si="1332"/>
        <v/>
      </c>
      <c r="AF4275" s="199" t="str">
        <f>IF(AND(COUNTIFS($J$18:J4275,J4275)=1,AE4275=1),1,"")</f>
        <v/>
      </c>
      <c r="AG4275" s="199" t="str">
        <f>IF(C4275="","",IF(AND(COUNTIFS($J$18:J4275,J4275)=1,C4275&lt;&gt;""),1,""))</f>
        <v/>
      </c>
      <c r="AH4275" s="199" t="str">
        <f>IF(G4275="","",IF(AND(COUNTIFS($J$18:J4275,J4275)=1,G4275&lt;&gt;""),1,""))</f>
        <v/>
      </c>
      <c r="AI4275" s="200">
        <f t="shared" si="1333"/>
        <v>0</v>
      </c>
      <c r="AJ4275" s="200">
        <f t="shared" si="1334"/>
        <v>0</v>
      </c>
      <c r="AK4275" s="201" t="str">
        <f t="shared" si="1335"/>
        <v/>
      </c>
      <c r="AL4275" s="24"/>
      <c r="AM4275" s="24"/>
      <c r="AN4275" s="24"/>
      <c r="AO4275" s="24"/>
      <c r="AP4275" s="165" t="str">
        <f t="shared" si="1336"/>
        <v/>
      </c>
      <c r="AQ4275" s="203" t="str">
        <f t="shared" si="1337"/>
        <v/>
      </c>
      <c r="AR4275" s="206">
        <f t="shared" si="1338"/>
        <v>0</v>
      </c>
      <c r="AS4275" s="22" t="str">
        <f t="shared" si="1339"/>
        <v/>
      </c>
      <c r="AT4275" s="24" t="str">
        <f t="shared" si="1340"/>
        <v/>
      </c>
      <c r="AU4275" s="22" t="s">
        <v>3240</v>
      </c>
    </row>
    <row r="4276" spans="1:47">
      <c r="A4276" s="246" t="str">
        <f t="shared" si="1328"/>
        <v/>
      </c>
      <c r="B4276" s="23"/>
      <c r="C4276" s="23"/>
      <c r="D4276" s="202" t="str">
        <f t="shared" si="1329"/>
        <v/>
      </c>
      <c r="E4276" s="33" t="str">
        <f t="shared" si="1323"/>
        <v/>
      </c>
      <c r="F4276" s="23"/>
      <c r="G4276" s="23"/>
      <c r="H4276" s="29"/>
      <c r="I4276" s="204" t="str">
        <f t="shared" si="1326"/>
        <v/>
      </c>
      <c r="J4276" s="188"/>
      <c r="K4276" s="29"/>
      <c r="L4276" s="24"/>
      <c r="M4276" s="22"/>
      <c r="N4276" s="22"/>
      <c r="O4276" s="22"/>
      <c r="P4276" s="202" t="str">
        <f t="shared" si="1327"/>
        <v/>
      </c>
      <c r="Q4276" s="22"/>
      <c r="R4276" s="22"/>
      <c r="S4276" s="22"/>
      <c r="T4276" s="22"/>
      <c r="U4276" s="22"/>
      <c r="V4276" s="22"/>
      <c r="W4276" s="22"/>
      <c r="X4276" s="104"/>
      <c r="Y4276" s="195" t="str">
        <f t="shared" si="1324"/>
        <v/>
      </c>
      <c r="Z4276" s="196" t="str">
        <f t="shared" si="1325"/>
        <v/>
      </c>
      <c r="AA4276" s="22"/>
      <c r="AB4276" s="197" t="str">
        <f t="shared" si="1330"/>
        <v/>
      </c>
      <c r="AC4276" s="198" t="str">
        <f t="shared" si="1331"/>
        <v/>
      </c>
      <c r="AD4276" s="162"/>
      <c r="AE4276" s="199" t="str">
        <f t="shared" si="1332"/>
        <v/>
      </c>
      <c r="AF4276" s="199" t="str">
        <f>IF(AND(COUNTIFS($J$18:J4276,J4276)=1,AE4276=1),1,"")</f>
        <v/>
      </c>
      <c r="AG4276" s="199" t="str">
        <f>IF(C4276="","",IF(AND(COUNTIFS($J$18:J4276,J4276)=1,C4276&lt;&gt;""),1,""))</f>
        <v/>
      </c>
      <c r="AH4276" s="199" t="str">
        <f>IF(G4276="","",IF(AND(COUNTIFS($J$18:J4276,J4276)=1,G4276&lt;&gt;""),1,""))</f>
        <v/>
      </c>
      <c r="AI4276" s="200">
        <f t="shared" si="1333"/>
        <v>0</v>
      </c>
      <c r="AJ4276" s="200">
        <f t="shared" si="1334"/>
        <v>0</v>
      </c>
      <c r="AK4276" s="201" t="str">
        <f t="shared" si="1335"/>
        <v/>
      </c>
      <c r="AL4276" s="24"/>
      <c r="AM4276" s="24"/>
      <c r="AN4276" s="24"/>
      <c r="AO4276" s="24"/>
      <c r="AP4276" s="165" t="str">
        <f t="shared" si="1336"/>
        <v/>
      </c>
      <c r="AQ4276" s="203" t="str">
        <f t="shared" si="1337"/>
        <v/>
      </c>
      <c r="AR4276" s="206">
        <f t="shared" si="1338"/>
        <v>0</v>
      </c>
      <c r="AS4276" s="22" t="str">
        <f t="shared" si="1339"/>
        <v/>
      </c>
      <c r="AT4276" s="24" t="str">
        <f t="shared" si="1340"/>
        <v/>
      </c>
      <c r="AU4276" s="22" t="s">
        <v>3240</v>
      </c>
    </row>
    <row r="4277" spans="1:47">
      <c r="A4277" s="246" t="str">
        <f t="shared" si="1328"/>
        <v/>
      </c>
      <c r="B4277" s="23"/>
      <c r="C4277" s="23"/>
      <c r="D4277" s="202" t="str">
        <f t="shared" si="1329"/>
        <v/>
      </c>
      <c r="E4277" s="33" t="str">
        <f t="shared" si="1323"/>
        <v/>
      </c>
      <c r="F4277" s="23"/>
      <c r="G4277" s="23"/>
      <c r="H4277" s="29"/>
      <c r="I4277" s="204" t="str">
        <f t="shared" si="1326"/>
        <v/>
      </c>
      <c r="J4277" s="188"/>
      <c r="K4277" s="29"/>
      <c r="L4277" s="24"/>
      <c r="M4277" s="22"/>
      <c r="N4277" s="22"/>
      <c r="O4277" s="22"/>
      <c r="P4277" s="202" t="str">
        <f t="shared" si="1327"/>
        <v/>
      </c>
      <c r="Q4277" s="22"/>
      <c r="R4277" s="22"/>
      <c r="S4277" s="22"/>
      <c r="T4277" s="22"/>
      <c r="U4277" s="22"/>
      <c r="V4277" s="22"/>
      <c r="W4277" s="22"/>
      <c r="X4277" s="104"/>
      <c r="Y4277" s="195" t="str">
        <f t="shared" si="1324"/>
        <v/>
      </c>
      <c r="Z4277" s="196" t="str">
        <f t="shared" si="1325"/>
        <v/>
      </c>
      <c r="AA4277" s="22"/>
      <c r="AB4277" s="197" t="str">
        <f t="shared" si="1330"/>
        <v/>
      </c>
      <c r="AC4277" s="198" t="str">
        <f t="shared" si="1331"/>
        <v/>
      </c>
      <c r="AD4277" s="162"/>
      <c r="AE4277" s="199" t="str">
        <f t="shared" si="1332"/>
        <v/>
      </c>
      <c r="AF4277" s="199" t="str">
        <f>IF(AND(COUNTIFS($J$18:J4277,J4277)=1,AE4277=1),1,"")</f>
        <v/>
      </c>
      <c r="AG4277" s="199" t="str">
        <f>IF(C4277="","",IF(AND(COUNTIFS($J$18:J4277,J4277)=1,C4277&lt;&gt;""),1,""))</f>
        <v/>
      </c>
      <c r="AH4277" s="199" t="str">
        <f>IF(G4277="","",IF(AND(COUNTIFS($J$18:J4277,J4277)=1,G4277&lt;&gt;""),1,""))</f>
        <v/>
      </c>
      <c r="AI4277" s="200">
        <f t="shared" si="1333"/>
        <v>0</v>
      </c>
      <c r="AJ4277" s="200">
        <f t="shared" si="1334"/>
        <v>0</v>
      </c>
      <c r="AK4277" s="201" t="str">
        <f t="shared" si="1335"/>
        <v/>
      </c>
      <c r="AL4277" s="24"/>
      <c r="AM4277" s="24"/>
      <c r="AN4277" s="24"/>
      <c r="AO4277" s="24"/>
      <c r="AP4277" s="165" t="str">
        <f t="shared" si="1336"/>
        <v/>
      </c>
      <c r="AQ4277" s="203" t="str">
        <f t="shared" si="1337"/>
        <v/>
      </c>
      <c r="AR4277" s="206">
        <f t="shared" si="1338"/>
        <v>0</v>
      </c>
      <c r="AS4277" s="22" t="str">
        <f t="shared" si="1339"/>
        <v/>
      </c>
      <c r="AT4277" s="24" t="str">
        <f t="shared" si="1340"/>
        <v/>
      </c>
      <c r="AU4277" s="22" t="s">
        <v>3240</v>
      </c>
    </row>
    <row r="4278" spans="1:47">
      <c r="A4278" s="246" t="str">
        <f t="shared" si="1328"/>
        <v/>
      </c>
      <c r="B4278" s="23"/>
      <c r="C4278" s="23"/>
      <c r="D4278" s="202" t="str">
        <f t="shared" si="1329"/>
        <v/>
      </c>
      <c r="E4278" s="33" t="str">
        <f t="shared" si="1323"/>
        <v/>
      </c>
      <c r="F4278" s="23"/>
      <c r="G4278" s="23"/>
      <c r="H4278" s="29"/>
      <c r="I4278" s="204" t="str">
        <f t="shared" si="1326"/>
        <v/>
      </c>
      <c r="J4278" s="188"/>
      <c r="K4278" s="29"/>
      <c r="L4278" s="24"/>
      <c r="M4278" s="22"/>
      <c r="N4278" s="22"/>
      <c r="O4278" s="22"/>
      <c r="P4278" s="202" t="str">
        <f t="shared" si="1327"/>
        <v/>
      </c>
      <c r="Q4278" s="22"/>
      <c r="R4278" s="22"/>
      <c r="S4278" s="22"/>
      <c r="T4278" s="22"/>
      <c r="U4278" s="22"/>
      <c r="V4278" s="22"/>
      <c r="W4278" s="22"/>
      <c r="X4278" s="104"/>
      <c r="Y4278" s="195" t="str">
        <f t="shared" si="1324"/>
        <v/>
      </c>
      <c r="Z4278" s="196" t="str">
        <f t="shared" si="1325"/>
        <v/>
      </c>
      <c r="AA4278" s="22"/>
      <c r="AB4278" s="197" t="str">
        <f t="shared" si="1330"/>
        <v/>
      </c>
      <c r="AC4278" s="198" t="str">
        <f t="shared" si="1331"/>
        <v/>
      </c>
      <c r="AD4278" s="162"/>
      <c r="AE4278" s="199" t="str">
        <f t="shared" si="1332"/>
        <v/>
      </c>
      <c r="AF4278" s="199" t="str">
        <f>IF(AND(COUNTIFS($J$18:J4278,J4278)=1,AE4278=1),1,"")</f>
        <v/>
      </c>
      <c r="AG4278" s="199" t="str">
        <f>IF(C4278="","",IF(AND(COUNTIFS($J$18:J4278,J4278)=1,C4278&lt;&gt;""),1,""))</f>
        <v/>
      </c>
      <c r="AH4278" s="199" t="str">
        <f>IF(G4278="","",IF(AND(COUNTIFS($J$18:J4278,J4278)=1,G4278&lt;&gt;""),1,""))</f>
        <v/>
      </c>
      <c r="AI4278" s="200">
        <f t="shared" si="1333"/>
        <v>0</v>
      </c>
      <c r="AJ4278" s="200">
        <f t="shared" si="1334"/>
        <v>0</v>
      </c>
      <c r="AK4278" s="201" t="str">
        <f t="shared" si="1335"/>
        <v/>
      </c>
      <c r="AL4278" s="24"/>
      <c r="AM4278" s="24"/>
      <c r="AN4278" s="24"/>
      <c r="AO4278" s="24"/>
      <c r="AP4278" s="165" t="str">
        <f t="shared" si="1336"/>
        <v/>
      </c>
      <c r="AQ4278" s="203" t="str">
        <f t="shared" si="1337"/>
        <v/>
      </c>
      <c r="AR4278" s="206">
        <f t="shared" si="1338"/>
        <v>0</v>
      </c>
      <c r="AS4278" s="22" t="str">
        <f t="shared" si="1339"/>
        <v/>
      </c>
      <c r="AT4278" s="24" t="str">
        <f t="shared" si="1340"/>
        <v/>
      </c>
      <c r="AU4278" s="22" t="s">
        <v>3240</v>
      </c>
    </row>
    <row r="4279" spans="1:47">
      <c r="A4279" s="246" t="str">
        <f t="shared" si="1328"/>
        <v/>
      </c>
      <c r="B4279" s="23"/>
      <c r="C4279" s="23"/>
      <c r="D4279" s="202" t="str">
        <f t="shared" si="1329"/>
        <v/>
      </c>
      <c r="E4279" s="33" t="str">
        <f t="shared" si="1323"/>
        <v/>
      </c>
      <c r="F4279" s="23"/>
      <c r="G4279" s="23"/>
      <c r="H4279" s="29"/>
      <c r="I4279" s="204" t="str">
        <f t="shared" si="1326"/>
        <v/>
      </c>
      <c r="J4279" s="188"/>
      <c r="K4279" s="29"/>
      <c r="L4279" s="24"/>
      <c r="M4279" s="22"/>
      <c r="N4279" s="22"/>
      <c r="O4279" s="22"/>
      <c r="P4279" s="202" t="str">
        <f t="shared" si="1327"/>
        <v/>
      </c>
      <c r="Q4279" s="22"/>
      <c r="R4279" s="22"/>
      <c r="S4279" s="22"/>
      <c r="T4279" s="22"/>
      <c r="U4279" s="22"/>
      <c r="V4279" s="22"/>
      <c r="W4279" s="22"/>
      <c r="X4279" s="104"/>
      <c r="Y4279" s="195" t="str">
        <f t="shared" si="1324"/>
        <v/>
      </c>
      <c r="Z4279" s="196" t="str">
        <f t="shared" si="1325"/>
        <v/>
      </c>
      <c r="AA4279" s="22"/>
      <c r="AB4279" s="197" t="str">
        <f t="shared" si="1330"/>
        <v/>
      </c>
      <c r="AC4279" s="198" t="str">
        <f t="shared" si="1331"/>
        <v/>
      </c>
      <c r="AD4279" s="162"/>
      <c r="AE4279" s="199" t="str">
        <f t="shared" si="1332"/>
        <v/>
      </c>
      <c r="AF4279" s="199" t="str">
        <f>IF(AND(COUNTIFS($J$18:J4279,J4279)=1,AE4279=1),1,"")</f>
        <v/>
      </c>
      <c r="AG4279" s="199" t="str">
        <f>IF(C4279="","",IF(AND(COUNTIFS($J$18:J4279,J4279)=1,C4279&lt;&gt;""),1,""))</f>
        <v/>
      </c>
      <c r="AH4279" s="199" t="str">
        <f>IF(G4279="","",IF(AND(COUNTIFS($J$18:J4279,J4279)=1,G4279&lt;&gt;""),1,""))</f>
        <v/>
      </c>
      <c r="AI4279" s="200">
        <f t="shared" si="1333"/>
        <v>0</v>
      </c>
      <c r="AJ4279" s="200">
        <f t="shared" si="1334"/>
        <v>0</v>
      </c>
      <c r="AK4279" s="201" t="str">
        <f t="shared" si="1335"/>
        <v/>
      </c>
      <c r="AL4279" s="24"/>
      <c r="AM4279" s="24"/>
      <c r="AN4279" s="24"/>
      <c r="AO4279" s="24"/>
      <c r="AP4279" s="165" t="str">
        <f t="shared" si="1336"/>
        <v/>
      </c>
      <c r="AQ4279" s="203" t="str">
        <f t="shared" si="1337"/>
        <v/>
      </c>
      <c r="AR4279" s="206">
        <f t="shared" si="1338"/>
        <v>0</v>
      </c>
      <c r="AS4279" s="22" t="str">
        <f t="shared" si="1339"/>
        <v/>
      </c>
      <c r="AT4279" s="24" t="str">
        <f t="shared" si="1340"/>
        <v/>
      </c>
      <c r="AU4279" s="22" t="s">
        <v>3240</v>
      </c>
    </row>
    <row r="4280" spans="1:47">
      <c r="A4280" s="246" t="str">
        <f t="shared" si="1328"/>
        <v/>
      </c>
      <c r="B4280" s="23"/>
      <c r="C4280" s="23"/>
      <c r="D4280" s="202" t="str">
        <f t="shared" si="1329"/>
        <v/>
      </c>
      <c r="E4280" s="33" t="str">
        <f t="shared" si="1323"/>
        <v/>
      </c>
      <c r="F4280" s="23"/>
      <c r="G4280" s="23"/>
      <c r="H4280" s="29"/>
      <c r="I4280" s="204" t="str">
        <f t="shared" si="1326"/>
        <v/>
      </c>
      <c r="J4280" s="188"/>
      <c r="K4280" s="29"/>
      <c r="L4280" s="24"/>
      <c r="M4280" s="22"/>
      <c r="N4280" s="22"/>
      <c r="O4280" s="22"/>
      <c r="P4280" s="202" t="str">
        <f t="shared" si="1327"/>
        <v/>
      </c>
      <c r="Q4280" s="22"/>
      <c r="R4280" s="22"/>
      <c r="S4280" s="22"/>
      <c r="T4280" s="22"/>
      <c r="U4280" s="22"/>
      <c r="V4280" s="22"/>
      <c r="W4280" s="22"/>
      <c r="X4280" s="104"/>
      <c r="Y4280" s="195" t="str">
        <f t="shared" si="1324"/>
        <v/>
      </c>
      <c r="Z4280" s="196" t="str">
        <f t="shared" si="1325"/>
        <v/>
      </c>
      <c r="AA4280" s="22"/>
      <c r="AB4280" s="197" t="str">
        <f t="shared" si="1330"/>
        <v/>
      </c>
      <c r="AC4280" s="198" t="str">
        <f t="shared" si="1331"/>
        <v/>
      </c>
      <c r="AD4280" s="162"/>
      <c r="AE4280" s="199" t="str">
        <f t="shared" si="1332"/>
        <v/>
      </c>
      <c r="AF4280" s="199" t="str">
        <f>IF(AND(COUNTIFS($J$18:J4280,J4280)=1,AE4280=1),1,"")</f>
        <v/>
      </c>
      <c r="AG4280" s="199" t="str">
        <f>IF(C4280="","",IF(AND(COUNTIFS($J$18:J4280,J4280)=1,C4280&lt;&gt;""),1,""))</f>
        <v/>
      </c>
      <c r="AH4280" s="199" t="str">
        <f>IF(G4280="","",IF(AND(COUNTIFS($J$18:J4280,J4280)=1,G4280&lt;&gt;""),1,""))</f>
        <v/>
      </c>
      <c r="AI4280" s="200">
        <f t="shared" si="1333"/>
        <v>0</v>
      </c>
      <c r="AJ4280" s="200">
        <f t="shared" si="1334"/>
        <v>0</v>
      </c>
      <c r="AK4280" s="201" t="str">
        <f t="shared" si="1335"/>
        <v/>
      </c>
      <c r="AL4280" s="24"/>
      <c r="AM4280" s="24"/>
      <c r="AN4280" s="24"/>
      <c r="AO4280" s="24"/>
      <c r="AP4280" s="165" t="str">
        <f t="shared" si="1336"/>
        <v/>
      </c>
      <c r="AQ4280" s="203" t="str">
        <f t="shared" si="1337"/>
        <v/>
      </c>
      <c r="AR4280" s="206">
        <f t="shared" si="1338"/>
        <v>0</v>
      </c>
      <c r="AS4280" s="22" t="str">
        <f t="shared" si="1339"/>
        <v/>
      </c>
      <c r="AT4280" s="24" t="str">
        <f t="shared" si="1340"/>
        <v/>
      </c>
      <c r="AU4280" s="22" t="s">
        <v>3240</v>
      </c>
    </row>
    <row r="4281" spans="1:47">
      <c r="A4281" s="246" t="str">
        <f t="shared" si="1328"/>
        <v/>
      </c>
      <c r="B4281" s="23"/>
      <c r="C4281" s="23"/>
      <c r="D4281" s="202" t="str">
        <f t="shared" si="1329"/>
        <v/>
      </c>
      <c r="E4281" s="33" t="str">
        <f t="shared" si="1323"/>
        <v/>
      </c>
      <c r="F4281" s="23"/>
      <c r="G4281" s="23"/>
      <c r="H4281" s="29"/>
      <c r="I4281" s="204" t="str">
        <f t="shared" si="1326"/>
        <v/>
      </c>
      <c r="J4281" s="188"/>
      <c r="K4281" s="29"/>
      <c r="L4281" s="24"/>
      <c r="M4281" s="22"/>
      <c r="N4281" s="22"/>
      <c r="O4281" s="22"/>
      <c r="P4281" s="202" t="str">
        <f t="shared" si="1327"/>
        <v/>
      </c>
      <c r="Q4281" s="22"/>
      <c r="R4281" s="22"/>
      <c r="S4281" s="22"/>
      <c r="T4281" s="22"/>
      <c r="U4281" s="22"/>
      <c r="V4281" s="22"/>
      <c r="W4281" s="22"/>
      <c r="X4281" s="104"/>
      <c r="Y4281" s="195" t="str">
        <f t="shared" si="1324"/>
        <v/>
      </c>
      <c r="Z4281" s="196" t="str">
        <f t="shared" si="1325"/>
        <v/>
      </c>
      <c r="AA4281" s="22"/>
      <c r="AB4281" s="197" t="str">
        <f t="shared" si="1330"/>
        <v/>
      </c>
      <c r="AC4281" s="198" t="str">
        <f t="shared" si="1331"/>
        <v/>
      </c>
      <c r="AD4281" s="162"/>
      <c r="AE4281" s="199" t="str">
        <f t="shared" si="1332"/>
        <v/>
      </c>
      <c r="AF4281" s="199" t="str">
        <f>IF(AND(COUNTIFS($J$18:J4281,J4281)=1,AE4281=1),1,"")</f>
        <v/>
      </c>
      <c r="AG4281" s="199" t="str">
        <f>IF(C4281="","",IF(AND(COUNTIFS($J$18:J4281,J4281)=1,C4281&lt;&gt;""),1,""))</f>
        <v/>
      </c>
      <c r="AH4281" s="199" t="str">
        <f>IF(G4281="","",IF(AND(COUNTIFS($J$18:J4281,J4281)=1,G4281&lt;&gt;""),1,""))</f>
        <v/>
      </c>
      <c r="AI4281" s="200">
        <f t="shared" si="1333"/>
        <v>0</v>
      </c>
      <c r="AJ4281" s="200">
        <f t="shared" si="1334"/>
        <v>0</v>
      </c>
      <c r="AK4281" s="201" t="str">
        <f t="shared" si="1335"/>
        <v/>
      </c>
      <c r="AL4281" s="24"/>
      <c r="AM4281" s="24"/>
      <c r="AN4281" s="24"/>
      <c r="AO4281" s="24"/>
      <c r="AP4281" s="165" t="str">
        <f t="shared" si="1336"/>
        <v/>
      </c>
      <c r="AQ4281" s="203" t="str">
        <f t="shared" si="1337"/>
        <v/>
      </c>
      <c r="AR4281" s="206">
        <f t="shared" si="1338"/>
        <v>0</v>
      </c>
      <c r="AS4281" s="22" t="str">
        <f t="shared" si="1339"/>
        <v/>
      </c>
      <c r="AT4281" s="24" t="str">
        <f t="shared" si="1340"/>
        <v/>
      </c>
      <c r="AU4281" s="22" t="s">
        <v>3240</v>
      </c>
    </row>
    <row r="4282" spans="1:47">
      <c r="A4282" s="246" t="str">
        <f t="shared" si="1328"/>
        <v/>
      </c>
      <c r="B4282" s="23"/>
      <c r="C4282" s="23"/>
      <c r="D4282" s="202" t="str">
        <f t="shared" si="1329"/>
        <v/>
      </c>
      <c r="E4282" s="33" t="str">
        <f t="shared" si="1323"/>
        <v/>
      </c>
      <c r="F4282" s="23"/>
      <c r="G4282" s="23"/>
      <c r="H4282" s="29"/>
      <c r="I4282" s="204" t="str">
        <f t="shared" si="1326"/>
        <v/>
      </c>
      <c r="J4282" s="188"/>
      <c r="K4282" s="29"/>
      <c r="L4282" s="24"/>
      <c r="M4282" s="22"/>
      <c r="N4282" s="22"/>
      <c r="O4282" s="22"/>
      <c r="P4282" s="202" t="str">
        <f t="shared" si="1327"/>
        <v/>
      </c>
      <c r="Q4282" s="22"/>
      <c r="R4282" s="22"/>
      <c r="S4282" s="22"/>
      <c r="T4282" s="22"/>
      <c r="U4282" s="22"/>
      <c r="V4282" s="22"/>
      <c r="W4282" s="22"/>
      <c r="X4282" s="104"/>
      <c r="Y4282" s="195" t="str">
        <f t="shared" si="1324"/>
        <v/>
      </c>
      <c r="Z4282" s="196" t="str">
        <f t="shared" si="1325"/>
        <v/>
      </c>
      <c r="AA4282" s="22"/>
      <c r="AB4282" s="197" t="str">
        <f t="shared" si="1330"/>
        <v/>
      </c>
      <c r="AC4282" s="198" t="str">
        <f t="shared" si="1331"/>
        <v/>
      </c>
      <c r="AD4282" s="162"/>
      <c r="AE4282" s="199" t="str">
        <f t="shared" si="1332"/>
        <v/>
      </c>
      <c r="AF4282" s="199" t="str">
        <f>IF(AND(COUNTIFS($J$18:J4282,J4282)=1,AE4282=1),1,"")</f>
        <v/>
      </c>
      <c r="AG4282" s="199" t="str">
        <f>IF(C4282="","",IF(AND(COUNTIFS($J$18:J4282,J4282)=1,C4282&lt;&gt;""),1,""))</f>
        <v/>
      </c>
      <c r="AH4282" s="199" t="str">
        <f>IF(G4282="","",IF(AND(COUNTIFS($J$18:J4282,J4282)=1,G4282&lt;&gt;""),1,""))</f>
        <v/>
      </c>
      <c r="AI4282" s="200">
        <f t="shared" si="1333"/>
        <v>0</v>
      </c>
      <c r="AJ4282" s="200">
        <f t="shared" si="1334"/>
        <v>0</v>
      </c>
      <c r="AK4282" s="201" t="str">
        <f t="shared" si="1335"/>
        <v/>
      </c>
      <c r="AL4282" s="24"/>
      <c r="AM4282" s="24"/>
      <c r="AN4282" s="24"/>
      <c r="AO4282" s="24"/>
      <c r="AP4282" s="165" t="str">
        <f t="shared" si="1336"/>
        <v/>
      </c>
      <c r="AQ4282" s="203" t="str">
        <f t="shared" si="1337"/>
        <v/>
      </c>
      <c r="AR4282" s="206">
        <f t="shared" si="1338"/>
        <v>0</v>
      </c>
      <c r="AS4282" s="22" t="str">
        <f t="shared" si="1339"/>
        <v/>
      </c>
      <c r="AT4282" s="24" t="str">
        <f t="shared" si="1340"/>
        <v/>
      </c>
      <c r="AU4282" s="22" t="s">
        <v>3240</v>
      </c>
    </row>
    <row r="4283" spans="1:47">
      <c r="A4283" s="246" t="str">
        <f t="shared" si="1328"/>
        <v/>
      </c>
      <c r="B4283" s="23"/>
      <c r="C4283" s="23"/>
      <c r="D4283" s="202" t="str">
        <f t="shared" si="1329"/>
        <v/>
      </c>
      <c r="E4283" s="33" t="str">
        <f t="shared" si="1323"/>
        <v/>
      </c>
      <c r="F4283" s="23"/>
      <c r="G4283" s="23"/>
      <c r="H4283" s="29"/>
      <c r="I4283" s="204" t="str">
        <f t="shared" si="1326"/>
        <v/>
      </c>
      <c r="J4283" s="188"/>
      <c r="K4283" s="29"/>
      <c r="L4283" s="24"/>
      <c r="M4283" s="22"/>
      <c r="N4283" s="22"/>
      <c r="O4283" s="22"/>
      <c r="P4283" s="202" t="str">
        <f t="shared" si="1327"/>
        <v/>
      </c>
      <c r="Q4283" s="22"/>
      <c r="R4283" s="22"/>
      <c r="S4283" s="22"/>
      <c r="T4283" s="22"/>
      <c r="U4283" s="22"/>
      <c r="V4283" s="22"/>
      <c r="W4283" s="22"/>
      <c r="X4283" s="104"/>
      <c r="Y4283" s="195" t="str">
        <f t="shared" si="1324"/>
        <v/>
      </c>
      <c r="Z4283" s="196" t="str">
        <f t="shared" si="1325"/>
        <v/>
      </c>
      <c r="AA4283" s="22"/>
      <c r="AB4283" s="197" t="str">
        <f t="shared" si="1330"/>
        <v/>
      </c>
      <c r="AC4283" s="198" t="str">
        <f t="shared" si="1331"/>
        <v/>
      </c>
      <c r="AD4283" s="162"/>
      <c r="AE4283" s="199" t="str">
        <f t="shared" si="1332"/>
        <v/>
      </c>
      <c r="AF4283" s="199" t="str">
        <f>IF(AND(COUNTIFS($J$18:J4283,J4283)=1,AE4283=1),1,"")</f>
        <v/>
      </c>
      <c r="AG4283" s="199" t="str">
        <f>IF(C4283="","",IF(AND(COUNTIFS($J$18:J4283,J4283)=1,C4283&lt;&gt;""),1,""))</f>
        <v/>
      </c>
      <c r="AH4283" s="199" t="str">
        <f>IF(G4283="","",IF(AND(COUNTIFS($J$18:J4283,J4283)=1,G4283&lt;&gt;""),1,""))</f>
        <v/>
      </c>
      <c r="AI4283" s="200">
        <f t="shared" si="1333"/>
        <v>0</v>
      </c>
      <c r="AJ4283" s="200">
        <f t="shared" si="1334"/>
        <v>0</v>
      </c>
      <c r="AK4283" s="201" t="str">
        <f t="shared" si="1335"/>
        <v/>
      </c>
      <c r="AL4283" s="24"/>
      <c r="AM4283" s="24"/>
      <c r="AN4283" s="24"/>
      <c r="AO4283" s="24"/>
      <c r="AP4283" s="165" t="str">
        <f t="shared" si="1336"/>
        <v/>
      </c>
      <c r="AQ4283" s="203" t="str">
        <f t="shared" si="1337"/>
        <v/>
      </c>
      <c r="AR4283" s="206">
        <f t="shared" si="1338"/>
        <v>0</v>
      </c>
      <c r="AS4283" s="22" t="str">
        <f t="shared" si="1339"/>
        <v/>
      </c>
      <c r="AT4283" s="24" t="str">
        <f t="shared" si="1340"/>
        <v/>
      </c>
      <c r="AU4283" s="22" t="s">
        <v>3240</v>
      </c>
    </row>
    <row r="4284" spans="1:47">
      <c r="A4284" s="246" t="str">
        <f t="shared" si="1328"/>
        <v/>
      </c>
      <c r="B4284" s="23"/>
      <c r="C4284" s="23"/>
      <c r="D4284" s="202" t="str">
        <f t="shared" si="1329"/>
        <v/>
      </c>
      <c r="E4284" s="33" t="str">
        <f t="shared" si="1323"/>
        <v/>
      </c>
      <c r="F4284" s="23"/>
      <c r="G4284" s="23"/>
      <c r="H4284" s="29"/>
      <c r="I4284" s="204" t="str">
        <f t="shared" si="1326"/>
        <v/>
      </c>
      <c r="J4284" s="188"/>
      <c r="K4284" s="29"/>
      <c r="L4284" s="24"/>
      <c r="M4284" s="22"/>
      <c r="N4284" s="22"/>
      <c r="O4284" s="22"/>
      <c r="P4284" s="202" t="str">
        <f t="shared" si="1327"/>
        <v/>
      </c>
      <c r="Q4284" s="22"/>
      <c r="R4284" s="22"/>
      <c r="S4284" s="22"/>
      <c r="T4284" s="22"/>
      <c r="U4284" s="22"/>
      <c r="V4284" s="22"/>
      <c r="W4284" s="22"/>
      <c r="X4284" s="104"/>
      <c r="Y4284" s="195" t="str">
        <f t="shared" si="1324"/>
        <v/>
      </c>
      <c r="Z4284" s="196" t="str">
        <f t="shared" si="1325"/>
        <v/>
      </c>
      <c r="AA4284" s="22"/>
      <c r="AB4284" s="197" t="str">
        <f t="shared" si="1330"/>
        <v/>
      </c>
      <c r="AC4284" s="198" t="str">
        <f t="shared" si="1331"/>
        <v/>
      </c>
      <c r="AD4284" s="162"/>
      <c r="AE4284" s="199" t="str">
        <f t="shared" si="1332"/>
        <v/>
      </c>
      <c r="AF4284" s="199" t="str">
        <f>IF(AND(COUNTIFS($J$18:J4284,J4284)=1,AE4284=1),1,"")</f>
        <v/>
      </c>
      <c r="AG4284" s="199" t="str">
        <f>IF(C4284="","",IF(AND(COUNTIFS($J$18:J4284,J4284)=1,C4284&lt;&gt;""),1,""))</f>
        <v/>
      </c>
      <c r="AH4284" s="199" t="str">
        <f>IF(G4284="","",IF(AND(COUNTIFS($J$18:J4284,J4284)=1,G4284&lt;&gt;""),1,""))</f>
        <v/>
      </c>
      <c r="AI4284" s="200">
        <f t="shared" si="1333"/>
        <v>0</v>
      </c>
      <c r="AJ4284" s="200">
        <f t="shared" si="1334"/>
        <v>0</v>
      </c>
      <c r="AK4284" s="201" t="str">
        <f t="shared" si="1335"/>
        <v/>
      </c>
      <c r="AL4284" s="24"/>
      <c r="AM4284" s="24"/>
      <c r="AN4284" s="24"/>
      <c r="AO4284" s="24"/>
      <c r="AP4284" s="165" t="str">
        <f t="shared" si="1336"/>
        <v/>
      </c>
      <c r="AQ4284" s="203" t="str">
        <f t="shared" si="1337"/>
        <v/>
      </c>
      <c r="AR4284" s="206">
        <f t="shared" si="1338"/>
        <v>0</v>
      </c>
      <c r="AS4284" s="22" t="str">
        <f t="shared" si="1339"/>
        <v/>
      </c>
      <c r="AT4284" s="24" t="str">
        <f t="shared" si="1340"/>
        <v/>
      </c>
      <c r="AU4284" s="22" t="s">
        <v>3240</v>
      </c>
    </row>
    <row r="4285" spans="1:47">
      <c r="A4285" s="246" t="str">
        <f t="shared" si="1328"/>
        <v/>
      </c>
      <c r="B4285" s="23"/>
      <c r="C4285" s="23"/>
      <c r="D4285" s="202" t="str">
        <f t="shared" si="1329"/>
        <v/>
      </c>
      <c r="E4285" s="33" t="str">
        <f t="shared" si="1323"/>
        <v/>
      </c>
      <c r="F4285" s="23"/>
      <c r="G4285" s="23"/>
      <c r="H4285" s="29"/>
      <c r="I4285" s="204" t="str">
        <f t="shared" si="1326"/>
        <v/>
      </c>
      <c r="J4285" s="188"/>
      <c r="K4285" s="29"/>
      <c r="L4285" s="24"/>
      <c r="M4285" s="22"/>
      <c r="N4285" s="22"/>
      <c r="O4285" s="22"/>
      <c r="P4285" s="202" t="str">
        <f t="shared" si="1327"/>
        <v/>
      </c>
      <c r="Q4285" s="22"/>
      <c r="R4285" s="22"/>
      <c r="S4285" s="22"/>
      <c r="T4285" s="22"/>
      <c r="U4285" s="22"/>
      <c r="V4285" s="22"/>
      <c r="W4285" s="22"/>
      <c r="X4285" s="104"/>
      <c r="Y4285" s="195" t="str">
        <f t="shared" si="1324"/>
        <v/>
      </c>
      <c r="Z4285" s="196" t="str">
        <f t="shared" si="1325"/>
        <v/>
      </c>
      <c r="AA4285" s="22"/>
      <c r="AB4285" s="197" t="str">
        <f t="shared" si="1330"/>
        <v/>
      </c>
      <c r="AC4285" s="198" t="str">
        <f t="shared" si="1331"/>
        <v/>
      </c>
      <c r="AD4285" s="162"/>
      <c r="AE4285" s="199" t="str">
        <f t="shared" si="1332"/>
        <v/>
      </c>
      <c r="AF4285" s="199" t="str">
        <f>IF(AND(COUNTIFS($J$18:J4285,J4285)=1,AE4285=1),1,"")</f>
        <v/>
      </c>
      <c r="AG4285" s="199" t="str">
        <f>IF(C4285="","",IF(AND(COUNTIFS($J$18:J4285,J4285)=1,C4285&lt;&gt;""),1,""))</f>
        <v/>
      </c>
      <c r="AH4285" s="199" t="str">
        <f>IF(G4285="","",IF(AND(COUNTIFS($J$18:J4285,J4285)=1,G4285&lt;&gt;""),1,""))</f>
        <v/>
      </c>
      <c r="AI4285" s="200">
        <f t="shared" si="1333"/>
        <v>0</v>
      </c>
      <c r="AJ4285" s="200">
        <f t="shared" si="1334"/>
        <v>0</v>
      </c>
      <c r="AK4285" s="201" t="str">
        <f t="shared" si="1335"/>
        <v/>
      </c>
      <c r="AL4285" s="24"/>
      <c r="AM4285" s="24"/>
      <c r="AN4285" s="24"/>
      <c r="AO4285" s="24"/>
      <c r="AP4285" s="165" t="str">
        <f t="shared" si="1336"/>
        <v/>
      </c>
      <c r="AQ4285" s="203" t="str">
        <f t="shared" si="1337"/>
        <v/>
      </c>
      <c r="AR4285" s="206">
        <f t="shared" si="1338"/>
        <v>0</v>
      </c>
      <c r="AS4285" s="22" t="str">
        <f t="shared" si="1339"/>
        <v/>
      </c>
      <c r="AT4285" s="24" t="str">
        <f t="shared" si="1340"/>
        <v/>
      </c>
      <c r="AU4285" s="22" t="s">
        <v>3240</v>
      </c>
    </row>
    <row r="4286" spans="1:47">
      <c r="A4286" s="246" t="str">
        <f t="shared" si="1328"/>
        <v/>
      </c>
      <c r="B4286" s="23"/>
      <c r="C4286" s="23"/>
      <c r="D4286" s="202" t="str">
        <f t="shared" si="1329"/>
        <v/>
      </c>
      <c r="E4286" s="33" t="str">
        <f t="shared" si="1323"/>
        <v/>
      </c>
      <c r="F4286" s="23"/>
      <c r="G4286" s="23"/>
      <c r="H4286" s="29"/>
      <c r="I4286" s="204" t="str">
        <f t="shared" si="1326"/>
        <v/>
      </c>
      <c r="J4286" s="188"/>
      <c r="K4286" s="29"/>
      <c r="L4286" s="24"/>
      <c r="M4286" s="22"/>
      <c r="N4286" s="22"/>
      <c r="O4286" s="22"/>
      <c r="P4286" s="202" t="str">
        <f t="shared" si="1327"/>
        <v/>
      </c>
      <c r="Q4286" s="22"/>
      <c r="R4286" s="22"/>
      <c r="S4286" s="22"/>
      <c r="T4286" s="22"/>
      <c r="U4286" s="22"/>
      <c r="V4286" s="22"/>
      <c r="W4286" s="22"/>
      <c r="X4286" s="104"/>
      <c r="Y4286" s="195" t="str">
        <f t="shared" si="1324"/>
        <v/>
      </c>
      <c r="Z4286" s="196" t="str">
        <f t="shared" si="1325"/>
        <v/>
      </c>
      <c r="AA4286" s="22"/>
      <c r="AB4286" s="197" t="str">
        <f t="shared" si="1330"/>
        <v/>
      </c>
      <c r="AC4286" s="198" t="str">
        <f t="shared" si="1331"/>
        <v/>
      </c>
      <c r="AD4286" s="162"/>
      <c r="AE4286" s="199" t="str">
        <f t="shared" si="1332"/>
        <v/>
      </c>
      <c r="AF4286" s="199" t="str">
        <f>IF(AND(COUNTIFS($J$18:J4286,J4286)=1,AE4286=1),1,"")</f>
        <v/>
      </c>
      <c r="AG4286" s="199" t="str">
        <f>IF(C4286="","",IF(AND(COUNTIFS($J$18:J4286,J4286)=1,C4286&lt;&gt;""),1,""))</f>
        <v/>
      </c>
      <c r="AH4286" s="199" t="str">
        <f>IF(G4286="","",IF(AND(COUNTIFS($J$18:J4286,J4286)=1,G4286&lt;&gt;""),1,""))</f>
        <v/>
      </c>
      <c r="AI4286" s="200">
        <f t="shared" si="1333"/>
        <v>0</v>
      </c>
      <c r="AJ4286" s="200">
        <f t="shared" si="1334"/>
        <v>0</v>
      </c>
      <c r="AK4286" s="201" t="str">
        <f t="shared" si="1335"/>
        <v/>
      </c>
      <c r="AL4286" s="24"/>
      <c r="AM4286" s="24"/>
      <c r="AN4286" s="24"/>
      <c r="AO4286" s="24"/>
      <c r="AP4286" s="165" t="str">
        <f t="shared" si="1336"/>
        <v/>
      </c>
      <c r="AQ4286" s="203" t="str">
        <f t="shared" si="1337"/>
        <v/>
      </c>
      <c r="AR4286" s="206">
        <f t="shared" si="1338"/>
        <v>0</v>
      </c>
      <c r="AS4286" s="22" t="str">
        <f t="shared" si="1339"/>
        <v/>
      </c>
      <c r="AT4286" s="24" t="str">
        <f t="shared" si="1340"/>
        <v/>
      </c>
      <c r="AU4286" s="22" t="s">
        <v>3240</v>
      </c>
    </row>
    <row r="4287" spans="1:47">
      <c r="A4287" s="246" t="str">
        <f t="shared" si="1328"/>
        <v/>
      </c>
      <c r="B4287" s="23"/>
      <c r="C4287" s="23"/>
      <c r="D4287" s="202" t="str">
        <f t="shared" si="1329"/>
        <v/>
      </c>
      <c r="E4287" s="33" t="str">
        <f t="shared" si="1323"/>
        <v/>
      </c>
      <c r="F4287" s="23"/>
      <c r="G4287" s="23"/>
      <c r="H4287" s="29"/>
      <c r="I4287" s="204" t="str">
        <f t="shared" si="1326"/>
        <v/>
      </c>
      <c r="J4287" s="188"/>
      <c r="K4287" s="29"/>
      <c r="L4287" s="24"/>
      <c r="M4287" s="22"/>
      <c r="N4287" s="22"/>
      <c r="O4287" s="22"/>
      <c r="P4287" s="202" t="str">
        <f t="shared" si="1327"/>
        <v/>
      </c>
      <c r="Q4287" s="22"/>
      <c r="R4287" s="22"/>
      <c r="S4287" s="22"/>
      <c r="T4287" s="22"/>
      <c r="U4287" s="22"/>
      <c r="V4287" s="22"/>
      <c r="W4287" s="22"/>
      <c r="X4287" s="104"/>
      <c r="Y4287" s="195" t="str">
        <f t="shared" si="1324"/>
        <v/>
      </c>
      <c r="Z4287" s="196" t="str">
        <f t="shared" si="1325"/>
        <v/>
      </c>
      <c r="AA4287" s="22"/>
      <c r="AB4287" s="197" t="str">
        <f t="shared" si="1330"/>
        <v/>
      </c>
      <c r="AC4287" s="198" t="str">
        <f t="shared" si="1331"/>
        <v/>
      </c>
      <c r="AD4287" s="162"/>
      <c r="AE4287" s="199" t="str">
        <f t="shared" si="1332"/>
        <v/>
      </c>
      <c r="AF4287" s="199" t="str">
        <f>IF(AND(COUNTIFS($J$18:J4287,J4287)=1,AE4287=1),1,"")</f>
        <v/>
      </c>
      <c r="AG4287" s="199" t="str">
        <f>IF(C4287="","",IF(AND(COUNTIFS($J$18:J4287,J4287)=1,C4287&lt;&gt;""),1,""))</f>
        <v/>
      </c>
      <c r="AH4287" s="199" t="str">
        <f>IF(G4287="","",IF(AND(COUNTIFS($J$18:J4287,J4287)=1,G4287&lt;&gt;""),1,""))</f>
        <v/>
      </c>
      <c r="AI4287" s="200">
        <f t="shared" si="1333"/>
        <v>0</v>
      </c>
      <c r="AJ4287" s="200">
        <f t="shared" si="1334"/>
        <v>0</v>
      </c>
      <c r="AK4287" s="201" t="str">
        <f t="shared" si="1335"/>
        <v/>
      </c>
      <c r="AL4287" s="24"/>
      <c r="AM4287" s="24"/>
      <c r="AN4287" s="24"/>
      <c r="AO4287" s="24"/>
      <c r="AP4287" s="165" t="str">
        <f t="shared" si="1336"/>
        <v/>
      </c>
      <c r="AQ4287" s="203" t="str">
        <f t="shared" si="1337"/>
        <v/>
      </c>
      <c r="AR4287" s="206">
        <f t="shared" si="1338"/>
        <v>0</v>
      </c>
      <c r="AS4287" s="22" t="str">
        <f t="shared" si="1339"/>
        <v/>
      </c>
      <c r="AT4287" s="24" t="str">
        <f t="shared" si="1340"/>
        <v/>
      </c>
      <c r="AU4287" s="22" t="s">
        <v>3240</v>
      </c>
    </row>
    <row r="4288" spans="1:47">
      <c r="A4288" s="246" t="str">
        <f t="shared" si="1328"/>
        <v/>
      </c>
      <c r="B4288" s="23"/>
      <c r="C4288" s="23"/>
      <c r="D4288" s="202" t="str">
        <f t="shared" si="1329"/>
        <v/>
      </c>
      <c r="E4288" s="33" t="str">
        <f t="shared" si="1323"/>
        <v/>
      </c>
      <c r="F4288" s="23"/>
      <c r="G4288" s="23"/>
      <c r="H4288" s="29"/>
      <c r="I4288" s="204" t="str">
        <f t="shared" si="1326"/>
        <v/>
      </c>
      <c r="J4288" s="188"/>
      <c r="K4288" s="29"/>
      <c r="L4288" s="24"/>
      <c r="M4288" s="22"/>
      <c r="N4288" s="22"/>
      <c r="O4288" s="22"/>
      <c r="P4288" s="202" t="str">
        <f t="shared" si="1327"/>
        <v/>
      </c>
      <c r="Q4288" s="22"/>
      <c r="R4288" s="22"/>
      <c r="S4288" s="22"/>
      <c r="T4288" s="22"/>
      <c r="U4288" s="22"/>
      <c r="V4288" s="22"/>
      <c r="W4288" s="22"/>
      <c r="X4288" s="104"/>
      <c r="Y4288" s="195" t="str">
        <f t="shared" si="1324"/>
        <v/>
      </c>
      <c r="Z4288" s="196" t="str">
        <f t="shared" si="1325"/>
        <v/>
      </c>
      <c r="AA4288" s="22"/>
      <c r="AB4288" s="197" t="str">
        <f t="shared" si="1330"/>
        <v/>
      </c>
      <c r="AC4288" s="198" t="str">
        <f t="shared" si="1331"/>
        <v/>
      </c>
      <c r="AD4288" s="162"/>
      <c r="AE4288" s="199" t="str">
        <f t="shared" si="1332"/>
        <v/>
      </c>
      <c r="AF4288" s="199" t="str">
        <f>IF(AND(COUNTIFS($J$18:J4288,J4288)=1,AE4288=1),1,"")</f>
        <v/>
      </c>
      <c r="AG4288" s="199" t="str">
        <f>IF(C4288="","",IF(AND(COUNTIFS($J$18:J4288,J4288)=1,C4288&lt;&gt;""),1,""))</f>
        <v/>
      </c>
      <c r="AH4288" s="199" t="str">
        <f>IF(G4288="","",IF(AND(COUNTIFS($J$18:J4288,J4288)=1,G4288&lt;&gt;""),1,""))</f>
        <v/>
      </c>
      <c r="AI4288" s="200">
        <f t="shared" si="1333"/>
        <v>0</v>
      </c>
      <c r="AJ4288" s="200">
        <f t="shared" si="1334"/>
        <v>0</v>
      </c>
      <c r="AK4288" s="201" t="str">
        <f t="shared" si="1335"/>
        <v/>
      </c>
      <c r="AL4288" s="24"/>
      <c r="AM4288" s="24"/>
      <c r="AN4288" s="24"/>
      <c r="AO4288" s="24"/>
      <c r="AP4288" s="165" t="str">
        <f t="shared" si="1336"/>
        <v/>
      </c>
      <c r="AQ4288" s="203" t="str">
        <f t="shared" si="1337"/>
        <v/>
      </c>
      <c r="AR4288" s="206">
        <f t="shared" si="1338"/>
        <v>0</v>
      </c>
      <c r="AS4288" s="22" t="str">
        <f t="shared" si="1339"/>
        <v/>
      </c>
      <c r="AT4288" s="24" t="str">
        <f t="shared" si="1340"/>
        <v/>
      </c>
      <c r="AU4288" s="22" t="s">
        <v>3240</v>
      </c>
    </row>
    <row r="4289" spans="1:47">
      <c r="A4289" s="246" t="str">
        <f t="shared" si="1328"/>
        <v/>
      </c>
      <c r="B4289" s="23"/>
      <c r="C4289" s="23"/>
      <c r="D4289" s="202" t="str">
        <f t="shared" si="1329"/>
        <v/>
      </c>
      <c r="E4289" s="33" t="str">
        <f t="shared" si="1323"/>
        <v/>
      </c>
      <c r="F4289" s="23"/>
      <c r="G4289" s="23"/>
      <c r="H4289" s="29"/>
      <c r="I4289" s="204" t="str">
        <f t="shared" si="1326"/>
        <v/>
      </c>
      <c r="J4289" s="188"/>
      <c r="K4289" s="29"/>
      <c r="L4289" s="24"/>
      <c r="M4289" s="22"/>
      <c r="N4289" s="22"/>
      <c r="O4289" s="22"/>
      <c r="P4289" s="202" t="str">
        <f t="shared" si="1327"/>
        <v/>
      </c>
      <c r="Q4289" s="22"/>
      <c r="R4289" s="22"/>
      <c r="S4289" s="22"/>
      <c r="T4289" s="22"/>
      <c r="U4289" s="22"/>
      <c r="V4289" s="22"/>
      <c r="W4289" s="22"/>
      <c r="X4289" s="104"/>
      <c r="Y4289" s="195" t="str">
        <f t="shared" si="1324"/>
        <v/>
      </c>
      <c r="Z4289" s="196" t="str">
        <f t="shared" si="1325"/>
        <v/>
      </c>
      <c r="AA4289" s="22"/>
      <c r="AB4289" s="197" t="str">
        <f t="shared" si="1330"/>
        <v/>
      </c>
      <c r="AC4289" s="198" t="str">
        <f t="shared" si="1331"/>
        <v/>
      </c>
      <c r="AD4289" s="162"/>
      <c r="AE4289" s="199" t="str">
        <f t="shared" si="1332"/>
        <v/>
      </c>
      <c r="AF4289" s="199" t="str">
        <f>IF(AND(COUNTIFS($J$18:J4289,J4289)=1,AE4289=1),1,"")</f>
        <v/>
      </c>
      <c r="AG4289" s="199" t="str">
        <f>IF(C4289="","",IF(AND(COUNTIFS($J$18:J4289,J4289)=1,C4289&lt;&gt;""),1,""))</f>
        <v/>
      </c>
      <c r="AH4289" s="199" t="str">
        <f>IF(G4289="","",IF(AND(COUNTIFS($J$18:J4289,J4289)=1,G4289&lt;&gt;""),1,""))</f>
        <v/>
      </c>
      <c r="AI4289" s="200">
        <f t="shared" si="1333"/>
        <v>0</v>
      </c>
      <c r="AJ4289" s="200">
        <f t="shared" si="1334"/>
        <v>0</v>
      </c>
      <c r="AK4289" s="201" t="str">
        <f t="shared" si="1335"/>
        <v/>
      </c>
      <c r="AL4289" s="24"/>
      <c r="AM4289" s="24"/>
      <c r="AN4289" s="24"/>
      <c r="AO4289" s="24"/>
      <c r="AP4289" s="165" t="str">
        <f t="shared" si="1336"/>
        <v/>
      </c>
      <c r="AQ4289" s="203" t="str">
        <f t="shared" si="1337"/>
        <v/>
      </c>
      <c r="AR4289" s="206">
        <f t="shared" si="1338"/>
        <v>0</v>
      </c>
      <c r="AS4289" s="22" t="str">
        <f t="shared" si="1339"/>
        <v/>
      </c>
      <c r="AT4289" s="24" t="str">
        <f t="shared" si="1340"/>
        <v/>
      </c>
      <c r="AU4289" s="22" t="s">
        <v>3240</v>
      </c>
    </row>
    <row r="4290" spans="1:47">
      <c r="A4290" s="246" t="str">
        <f t="shared" si="1328"/>
        <v/>
      </c>
      <c r="B4290" s="23"/>
      <c r="C4290" s="23"/>
      <c r="D4290" s="202" t="str">
        <f t="shared" si="1329"/>
        <v/>
      </c>
      <c r="E4290" s="33" t="str">
        <f t="shared" si="1323"/>
        <v/>
      </c>
      <c r="F4290" s="23"/>
      <c r="G4290" s="23"/>
      <c r="H4290" s="29"/>
      <c r="I4290" s="204" t="str">
        <f t="shared" si="1326"/>
        <v/>
      </c>
      <c r="J4290" s="188"/>
      <c r="K4290" s="29"/>
      <c r="L4290" s="24"/>
      <c r="M4290" s="22"/>
      <c r="N4290" s="22"/>
      <c r="O4290" s="22"/>
      <c r="P4290" s="202" t="str">
        <f t="shared" si="1327"/>
        <v/>
      </c>
      <c r="Q4290" s="22"/>
      <c r="R4290" s="22"/>
      <c r="S4290" s="22"/>
      <c r="T4290" s="22"/>
      <c r="U4290" s="22"/>
      <c r="V4290" s="22"/>
      <c r="W4290" s="22"/>
      <c r="X4290" s="104"/>
      <c r="Y4290" s="195" t="str">
        <f t="shared" si="1324"/>
        <v/>
      </c>
      <c r="Z4290" s="196" t="str">
        <f t="shared" si="1325"/>
        <v/>
      </c>
      <c r="AA4290" s="22"/>
      <c r="AB4290" s="197" t="str">
        <f t="shared" si="1330"/>
        <v/>
      </c>
      <c r="AC4290" s="198" t="str">
        <f t="shared" si="1331"/>
        <v/>
      </c>
      <c r="AD4290" s="162"/>
      <c r="AE4290" s="199" t="str">
        <f t="shared" si="1332"/>
        <v/>
      </c>
      <c r="AF4290" s="199" t="str">
        <f>IF(AND(COUNTIFS($J$18:J4290,J4290)=1,AE4290=1),1,"")</f>
        <v/>
      </c>
      <c r="AG4290" s="199" t="str">
        <f>IF(C4290="","",IF(AND(COUNTIFS($J$18:J4290,J4290)=1,C4290&lt;&gt;""),1,""))</f>
        <v/>
      </c>
      <c r="AH4290" s="199" t="str">
        <f>IF(G4290="","",IF(AND(COUNTIFS($J$18:J4290,J4290)=1,G4290&lt;&gt;""),1,""))</f>
        <v/>
      </c>
      <c r="AI4290" s="200">
        <f t="shared" si="1333"/>
        <v>0</v>
      </c>
      <c r="AJ4290" s="200">
        <f t="shared" si="1334"/>
        <v>0</v>
      </c>
      <c r="AK4290" s="201" t="str">
        <f t="shared" si="1335"/>
        <v/>
      </c>
      <c r="AL4290" s="24"/>
      <c r="AM4290" s="24"/>
      <c r="AN4290" s="24"/>
      <c r="AO4290" s="24"/>
      <c r="AP4290" s="165" t="str">
        <f t="shared" si="1336"/>
        <v/>
      </c>
      <c r="AQ4290" s="203" t="str">
        <f t="shared" si="1337"/>
        <v/>
      </c>
      <c r="AR4290" s="206">
        <f t="shared" si="1338"/>
        <v>0</v>
      </c>
      <c r="AS4290" s="22" t="str">
        <f t="shared" si="1339"/>
        <v/>
      </c>
      <c r="AT4290" s="24" t="str">
        <f t="shared" si="1340"/>
        <v/>
      </c>
      <c r="AU4290" s="22" t="s">
        <v>3240</v>
      </c>
    </row>
    <row r="4291" spans="1:47">
      <c r="A4291" s="246" t="str">
        <f t="shared" si="1328"/>
        <v/>
      </c>
      <c r="B4291" s="23"/>
      <c r="C4291" s="23"/>
      <c r="D4291" s="202" t="str">
        <f t="shared" si="1329"/>
        <v/>
      </c>
      <c r="E4291" s="33" t="str">
        <f t="shared" si="1323"/>
        <v/>
      </c>
      <c r="F4291" s="23"/>
      <c r="G4291" s="23"/>
      <c r="H4291" s="29"/>
      <c r="I4291" s="204" t="str">
        <f t="shared" si="1326"/>
        <v/>
      </c>
      <c r="J4291" s="188"/>
      <c r="K4291" s="29"/>
      <c r="L4291" s="24"/>
      <c r="M4291" s="22"/>
      <c r="N4291" s="22"/>
      <c r="O4291" s="22"/>
      <c r="P4291" s="202" t="str">
        <f t="shared" si="1327"/>
        <v/>
      </c>
      <c r="Q4291" s="22"/>
      <c r="R4291" s="22"/>
      <c r="S4291" s="22"/>
      <c r="T4291" s="22"/>
      <c r="U4291" s="22"/>
      <c r="V4291" s="22"/>
      <c r="W4291" s="22"/>
      <c r="X4291" s="104"/>
      <c r="Y4291" s="195" t="str">
        <f t="shared" si="1324"/>
        <v/>
      </c>
      <c r="Z4291" s="196" t="str">
        <f t="shared" si="1325"/>
        <v/>
      </c>
      <c r="AA4291" s="22"/>
      <c r="AB4291" s="197" t="str">
        <f t="shared" si="1330"/>
        <v/>
      </c>
      <c r="AC4291" s="198" t="str">
        <f t="shared" si="1331"/>
        <v/>
      </c>
      <c r="AD4291" s="162"/>
      <c r="AE4291" s="199" t="str">
        <f t="shared" si="1332"/>
        <v/>
      </c>
      <c r="AF4291" s="199" t="str">
        <f>IF(AND(COUNTIFS($J$18:J4291,J4291)=1,AE4291=1),1,"")</f>
        <v/>
      </c>
      <c r="AG4291" s="199" t="str">
        <f>IF(C4291="","",IF(AND(COUNTIFS($J$18:J4291,J4291)=1,C4291&lt;&gt;""),1,""))</f>
        <v/>
      </c>
      <c r="AH4291" s="199" t="str">
        <f>IF(G4291="","",IF(AND(COUNTIFS($J$18:J4291,J4291)=1,G4291&lt;&gt;""),1,""))</f>
        <v/>
      </c>
      <c r="AI4291" s="200">
        <f t="shared" si="1333"/>
        <v>0</v>
      </c>
      <c r="AJ4291" s="200">
        <f t="shared" si="1334"/>
        <v>0</v>
      </c>
      <c r="AK4291" s="201" t="str">
        <f t="shared" si="1335"/>
        <v/>
      </c>
      <c r="AL4291" s="24"/>
      <c r="AM4291" s="24"/>
      <c r="AN4291" s="24"/>
      <c r="AO4291" s="24"/>
      <c r="AP4291" s="165" t="str">
        <f t="shared" si="1336"/>
        <v/>
      </c>
      <c r="AQ4291" s="203" t="str">
        <f t="shared" si="1337"/>
        <v/>
      </c>
      <c r="AR4291" s="206">
        <f t="shared" si="1338"/>
        <v>0</v>
      </c>
      <c r="AS4291" s="22" t="str">
        <f t="shared" si="1339"/>
        <v/>
      </c>
      <c r="AT4291" s="24" t="str">
        <f t="shared" si="1340"/>
        <v/>
      </c>
      <c r="AU4291" s="22" t="s">
        <v>3240</v>
      </c>
    </row>
    <row r="4292" spans="1:47">
      <c r="A4292" s="246" t="str">
        <f t="shared" si="1328"/>
        <v/>
      </c>
      <c r="B4292" s="23"/>
      <c r="C4292" s="23"/>
      <c r="D4292" s="202" t="str">
        <f t="shared" si="1329"/>
        <v/>
      </c>
      <c r="E4292" s="33" t="str">
        <f t="shared" si="1323"/>
        <v/>
      </c>
      <c r="F4292" s="23"/>
      <c r="G4292" s="23"/>
      <c r="H4292" s="29"/>
      <c r="I4292" s="204" t="str">
        <f t="shared" si="1326"/>
        <v/>
      </c>
      <c r="J4292" s="188"/>
      <c r="K4292" s="29"/>
      <c r="L4292" s="24"/>
      <c r="M4292" s="22"/>
      <c r="N4292" s="22"/>
      <c r="O4292" s="22"/>
      <c r="P4292" s="202" t="str">
        <f t="shared" si="1327"/>
        <v/>
      </c>
      <c r="Q4292" s="22"/>
      <c r="R4292" s="22"/>
      <c r="S4292" s="22"/>
      <c r="T4292" s="22"/>
      <c r="U4292" s="22"/>
      <c r="V4292" s="22"/>
      <c r="W4292" s="22"/>
      <c r="X4292" s="104"/>
      <c r="Y4292" s="195" t="str">
        <f t="shared" si="1324"/>
        <v/>
      </c>
      <c r="Z4292" s="196" t="str">
        <f t="shared" si="1325"/>
        <v/>
      </c>
      <c r="AA4292" s="22"/>
      <c r="AB4292" s="197" t="str">
        <f t="shared" si="1330"/>
        <v/>
      </c>
      <c r="AC4292" s="198" t="str">
        <f t="shared" si="1331"/>
        <v/>
      </c>
      <c r="AD4292" s="162"/>
      <c r="AE4292" s="199" t="str">
        <f t="shared" si="1332"/>
        <v/>
      </c>
      <c r="AF4292" s="199" t="str">
        <f>IF(AND(COUNTIFS($J$18:J4292,J4292)=1,AE4292=1),1,"")</f>
        <v/>
      </c>
      <c r="AG4292" s="199" t="str">
        <f>IF(C4292="","",IF(AND(COUNTIFS($J$18:J4292,J4292)=1,C4292&lt;&gt;""),1,""))</f>
        <v/>
      </c>
      <c r="AH4292" s="199" t="str">
        <f>IF(G4292="","",IF(AND(COUNTIFS($J$18:J4292,J4292)=1,G4292&lt;&gt;""),1,""))</f>
        <v/>
      </c>
      <c r="AI4292" s="200">
        <f t="shared" si="1333"/>
        <v>0</v>
      </c>
      <c r="AJ4292" s="200">
        <f t="shared" si="1334"/>
        <v>0</v>
      </c>
      <c r="AK4292" s="201" t="str">
        <f t="shared" si="1335"/>
        <v/>
      </c>
      <c r="AL4292" s="24"/>
      <c r="AM4292" s="24"/>
      <c r="AN4292" s="24"/>
      <c r="AO4292" s="24"/>
      <c r="AP4292" s="165" t="str">
        <f t="shared" si="1336"/>
        <v/>
      </c>
      <c r="AQ4292" s="203" t="str">
        <f t="shared" si="1337"/>
        <v/>
      </c>
      <c r="AR4292" s="206">
        <f t="shared" si="1338"/>
        <v>0</v>
      </c>
      <c r="AS4292" s="22" t="str">
        <f t="shared" si="1339"/>
        <v/>
      </c>
      <c r="AT4292" s="24" t="str">
        <f t="shared" si="1340"/>
        <v/>
      </c>
      <c r="AU4292" s="22" t="s">
        <v>3240</v>
      </c>
    </row>
    <row r="4293" spans="1:47">
      <c r="A4293" s="246" t="str">
        <f t="shared" si="1328"/>
        <v/>
      </c>
      <c r="B4293" s="23"/>
      <c r="C4293" s="23"/>
      <c r="D4293" s="202" t="str">
        <f t="shared" si="1329"/>
        <v/>
      </c>
      <c r="E4293" s="33" t="str">
        <f t="shared" si="1323"/>
        <v/>
      </c>
      <c r="F4293" s="23"/>
      <c r="G4293" s="23"/>
      <c r="H4293" s="29"/>
      <c r="I4293" s="204" t="str">
        <f t="shared" si="1326"/>
        <v/>
      </c>
      <c r="J4293" s="188"/>
      <c r="K4293" s="29"/>
      <c r="L4293" s="24"/>
      <c r="M4293" s="22"/>
      <c r="N4293" s="22"/>
      <c r="O4293" s="22"/>
      <c r="P4293" s="202" t="str">
        <f t="shared" si="1327"/>
        <v/>
      </c>
      <c r="Q4293" s="22"/>
      <c r="R4293" s="22"/>
      <c r="S4293" s="22"/>
      <c r="T4293" s="22"/>
      <c r="U4293" s="22"/>
      <c r="V4293" s="22"/>
      <c r="W4293" s="22"/>
      <c r="X4293" s="104"/>
      <c r="Y4293" s="195" t="str">
        <f t="shared" si="1324"/>
        <v/>
      </c>
      <c r="Z4293" s="196" t="str">
        <f t="shared" si="1325"/>
        <v/>
      </c>
      <c r="AA4293" s="22"/>
      <c r="AB4293" s="197" t="str">
        <f t="shared" si="1330"/>
        <v/>
      </c>
      <c r="AC4293" s="198" t="str">
        <f t="shared" si="1331"/>
        <v/>
      </c>
      <c r="AD4293" s="162"/>
      <c r="AE4293" s="199" t="str">
        <f t="shared" si="1332"/>
        <v/>
      </c>
      <c r="AF4293" s="199" t="str">
        <f>IF(AND(COUNTIFS($J$18:J4293,J4293)=1,AE4293=1),1,"")</f>
        <v/>
      </c>
      <c r="AG4293" s="199" t="str">
        <f>IF(C4293="","",IF(AND(COUNTIFS($J$18:J4293,J4293)=1,C4293&lt;&gt;""),1,""))</f>
        <v/>
      </c>
      <c r="AH4293" s="199" t="str">
        <f>IF(G4293="","",IF(AND(COUNTIFS($J$18:J4293,J4293)=1,G4293&lt;&gt;""),1,""))</f>
        <v/>
      </c>
      <c r="AI4293" s="200">
        <f t="shared" si="1333"/>
        <v>0</v>
      </c>
      <c r="AJ4293" s="200">
        <f t="shared" si="1334"/>
        <v>0</v>
      </c>
      <c r="AK4293" s="201" t="str">
        <f t="shared" si="1335"/>
        <v/>
      </c>
      <c r="AL4293" s="24"/>
      <c r="AM4293" s="24"/>
      <c r="AN4293" s="24"/>
      <c r="AO4293" s="24"/>
      <c r="AP4293" s="165" t="str">
        <f t="shared" si="1336"/>
        <v/>
      </c>
      <c r="AQ4293" s="203" t="str">
        <f t="shared" si="1337"/>
        <v/>
      </c>
      <c r="AR4293" s="206">
        <f t="shared" si="1338"/>
        <v>0</v>
      </c>
      <c r="AS4293" s="22" t="str">
        <f t="shared" si="1339"/>
        <v/>
      </c>
      <c r="AT4293" s="24" t="str">
        <f t="shared" si="1340"/>
        <v/>
      </c>
      <c r="AU4293" s="22" t="s">
        <v>3240</v>
      </c>
    </row>
    <row r="4294" spans="1:47">
      <c r="A4294" s="246" t="str">
        <f t="shared" si="1328"/>
        <v/>
      </c>
      <c r="B4294" s="23"/>
      <c r="C4294" s="23"/>
      <c r="D4294" s="202" t="str">
        <f t="shared" si="1329"/>
        <v/>
      </c>
      <c r="E4294" s="33" t="str">
        <f t="shared" si="1323"/>
        <v/>
      </c>
      <c r="F4294" s="23"/>
      <c r="G4294" s="23"/>
      <c r="H4294" s="29"/>
      <c r="I4294" s="204" t="str">
        <f t="shared" si="1326"/>
        <v/>
      </c>
      <c r="J4294" s="188"/>
      <c r="K4294" s="29"/>
      <c r="L4294" s="24"/>
      <c r="M4294" s="22"/>
      <c r="N4294" s="22"/>
      <c r="O4294" s="22"/>
      <c r="P4294" s="202" t="str">
        <f t="shared" si="1327"/>
        <v/>
      </c>
      <c r="Q4294" s="22"/>
      <c r="R4294" s="22"/>
      <c r="S4294" s="22"/>
      <c r="T4294" s="22"/>
      <c r="U4294" s="22"/>
      <c r="V4294" s="22"/>
      <c r="W4294" s="22"/>
      <c r="X4294" s="104"/>
      <c r="Y4294" s="195" t="str">
        <f t="shared" si="1324"/>
        <v/>
      </c>
      <c r="Z4294" s="196" t="str">
        <f t="shared" si="1325"/>
        <v/>
      </c>
      <c r="AA4294" s="22"/>
      <c r="AB4294" s="197" t="str">
        <f t="shared" si="1330"/>
        <v/>
      </c>
      <c r="AC4294" s="198" t="str">
        <f t="shared" si="1331"/>
        <v/>
      </c>
      <c r="AD4294" s="162"/>
      <c r="AE4294" s="199" t="str">
        <f t="shared" si="1332"/>
        <v/>
      </c>
      <c r="AF4294" s="199" t="str">
        <f>IF(AND(COUNTIFS($J$18:J4294,J4294)=1,AE4294=1),1,"")</f>
        <v/>
      </c>
      <c r="AG4294" s="199" t="str">
        <f>IF(C4294="","",IF(AND(COUNTIFS($J$18:J4294,J4294)=1,C4294&lt;&gt;""),1,""))</f>
        <v/>
      </c>
      <c r="AH4294" s="199" t="str">
        <f>IF(G4294="","",IF(AND(COUNTIFS($J$18:J4294,J4294)=1,G4294&lt;&gt;""),1,""))</f>
        <v/>
      </c>
      <c r="AI4294" s="200">
        <f t="shared" si="1333"/>
        <v>0</v>
      </c>
      <c r="AJ4294" s="200">
        <f t="shared" si="1334"/>
        <v>0</v>
      </c>
      <c r="AK4294" s="201" t="str">
        <f t="shared" si="1335"/>
        <v/>
      </c>
      <c r="AL4294" s="24"/>
      <c r="AM4294" s="24"/>
      <c r="AN4294" s="24"/>
      <c r="AO4294" s="24"/>
      <c r="AP4294" s="165" t="str">
        <f t="shared" si="1336"/>
        <v/>
      </c>
      <c r="AQ4294" s="203" t="str">
        <f t="shared" si="1337"/>
        <v/>
      </c>
      <c r="AR4294" s="206">
        <f t="shared" si="1338"/>
        <v>0</v>
      </c>
      <c r="AS4294" s="22" t="str">
        <f t="shared" si="1339"/>
        <v/>
      </c>
      <c r="AT4294" s="24" t="str">
        <f t="shared" si="1340"/>
        <v/>
      </c>
      <c r="AU4294" s="22" t="s">
        <v>3240</v>
      </c>
    </row>
    <row r="4295" spans="1:47">
      <c r="A4295" s="246" t="str">
        <f t="shared" si="1328"/>
        <v/>
      </c>
      <c r="B4295" s="23"/>
      <c r="C4295" s="23"/>
      <c r="D4295" s="202" t="str">
        <f t="shared" si="1329"/>
        <v/>
      </c>
      <c r="E4295" s="33" t="str">
        <f t="shared" si="1323"/>
        <v/>
      </c>
      <c r="F4295" s="23"/>
      <c r="G4295" s="23"/>
      <c r="H4295" s="29"/>
      <c r="I4295" s="204" t="str">
        <f t="shared" si="1326"/>
        <v/>
      </c>
      <c r="J4295" s="188"/>
      <c r="K4295" s="29"/>
      <c r="L4295" s="24"/>
      <c r="M4295" s="22"/>
      <c r="N4295" s="22"/>
      <c r="O4295" s="22"/>
      <c r="P4295" s="202" t="str">
        <f t="shared" si="1327"/>
        <v/>
      </c>
      <c r="Q4295" s="22"/>
      <c r="R4295" s="22"/>
      <c r="S4295" s="22"/>
      <c r="T4295" s="22"/>
      <c r="U4295" s="22"/>
      <c r="V4295" s="22"/>
      <c r="W4295" s="22"/>
      <c r="X4295" s="104"/>
      <c r="Y4295" s="195" t="str">
        <f t="shared" si="1324"/>
        <v/>
      </c>
      <c r="Z4295" s="196" t="str">
        <f t="shared" si="1325"/>
        <v/>
      </c>
      <c r="AA4295" s="22"/>
      <c r="AB4295" s="197" t="str">
        <f t="shared" si="1330"/>
        <v/>
      </c>
      <c r="AC4295" s="198" t="str">
        <f t="shared" si="1331"/>
        <v/>
      </c>
      <c r="AD4295" s="162"/>
      <c r="AE4295" s="199" t="str">
        <f t="shared" si="1332"/>
        <v/>
      </c>
      <c r="AF4295" s="199" t="str">
        <f>IF(AND(COUNTIFS($J$18:J4295,J4295)=1,AE4295=1),1,"")</f>
        <v/>
      </c>
      <c r="AG4295" s="199" t="str">
        <f>IF(C4295="","",IF(AND(COUNTIFS($J$18:J4295,J4295)=1,C4295&lt;&gt;""),1,""))</f>
        <v/>
      </c>
      <c r="AH4295" s="199" t="str">
        <f>IF(G4295="","",IF(AND(COUNTIFS($J$18:J4295,J4295)=1,G4295&lt;&gt;""),1,""))</f>
        <v/>
      </c>
      <c r="AI4295" s="200">
        <f t="shared" si="1333"/>
        <v>0</v>
      </c>
      <c r="AJ4295" s="200">
        <f t="shared" si="1334"/>
        <v>0</v>
      </c>
      <c r="AK4295" s="201" t="str">
        <f t="shared" si="1335"/>
        <v/>
      </c>
      <c r="AL4295" s="24"/>
      <c r="AM4295" s="24"/>
      <c r="AN4295" s="24"/>
      <c r="AO4295" s="24"/>
      <c r="AP4295" s="165" t="str">
        <f t="shared" si="1336"/>
        <v/>
      </c>
      <c r="AQ4295" s="203" t="str">
        <f t="shared" si="1337"/>
        <v/>
      </c>
      <c r="AR4295" s="206">
        <f t="shared" si="1338"/>
        <v>0</v>
      </c>
      <c r="AS4295" s="22" t="str">
        <f t="shared" si="1339"/>
        <v/>
      </c>
      <c r="AT4295" s="24" t="str">
        <f t="shared" si="1340"/>
        <v/>
      </c>
      <c r="AU4295" s="22" t="s">
        <v>3240</v>
      </c>
    </row>
    <row r="4296" spans="1:47">
      <c r="A4296" s="246" t="str">
        <f t="shared" si="1328"/>
        <v/>
      </c>
      <c r="B4296" s="23"/>
      <c r="C4296" s="23"/>
      <c r="D4296" s="202" t="str">
        <f t="shared" si="1329"/>
        <v/>
      </c>
      <c r="E4296" s="33" t="str">
        <f t="shared" si="1323"/>
        <v/>
      </c>
      <c r="F4296" s="23"/>
      <c r="G4296" s="23"/>
      <c r="H4296" s="29"/>
      <c r="I4296" s="204" t="str">
        <f t="shared" si="1326"/>
        <v/>
      </c>
      <c r="J4296" s="188"/>
      <c r="K4296" s="29"/>
      <c r="L4296" s="24"/>
      <c r="M4296" s="22"/>
      <c r="N4296" s="22"/>
      <c r="O4296" s="22"/>
      <c r="P4296" s="202" t="str">
        <f t="shared" si="1327"/>
        <v/>
      </c>
      <c r="Q4296" s="22"/>
      <c r="R4296" s="22"/>
      <c r="S4296" s="22"/>
      <c r="T4296" s="22"/>
      <c r="U4296" s="22"/>
      <c r="V4296" s="22"/>
      <c r="W4296" s="22"/>
      <c r="X4296" s="104"/>
      <c r="Y4296" s="195" t="str">
        <f t="shared" si="1324"/>
        <v/>
      </c>
      <c r="Z4296" s="196" t="str">
        <f t="shared" si="1325"/>
        <v/>
      </c>
      <c r="AA4296" s="22"/>
      <c r="AB4296" s="197" t="str">
        <f t="shared" si="1330"/>
        <v/>
      </c>
      <c r="AC4296" s="198" t="str">
        <f t="shared" si="1331"/>
        <v/>
      </c>
      <c r="AD4296" s="162"/>
      <c r="AE4296" s="199" t="str">
        <f t="shared" si="1332"/>
        <v/>
      </c>
      <c r="AF4296" s="199" t="str">
        <f>IF(AND(COUNTIFS($J$18:J4296,J4296)=1,AE4296=1),1,"")</f>
        <v/>
      </c>
      <c r="AG4296" s="199" t="str">
        <f>IF(C4296="","",IF(AND(COUNTIFS($J$18:J4296,J4296)=1,C4296&lt;&gt;""),1,""))</f>
        <v/>
      </c>
      <c r="AH4296" s="199" t="str">
        <f>IF(G4296="","",IF(AND(COUNTIFS($J$18:J4296,J4296)=1,G4296&lt;&gt;""),1,""))</f>
        <v/>
      </c>
      <c r="AI4296" s="200">
        <f t="shared" si="1333"/>
        <v>0</v>
      </c>
      <c r="AJ4296" s="200">
        <f t="shared" si="1334"/>
        <v>0</v>
      </c>
      <c r="AK4296" s="201" t="str">
        <f t="shared" si="1335"/>
        <v/>
      </c>
      <c r="AL4296" s="24"/>
      <c r="AM4296" s="24"/>
      <c r="AN4296" s="24"/>
      <c r="AO4296" s="24"/>
      <c r="AP4296" s="165" t="str">
        <f t="shared" si="1336"/>
        <v/>
      </c>
      <c r="AQ4296" s="203" t="str">
        <f t="shared" si="1337"/>
        <v/>
      </c>
      <c r="AR4296" s="206">
        <f t="shared" si="1338"/>
        <v>0</v>
      </c>
      <c r="AS4296" s="22" t="str">
        <f t="shared" si="1339"/>
        <v/>
      </c>
      <c r="AT4296" s="24" t="str">
        <f t="shared" si="1340"/>
        <v/>
      </c>
      <c r="AU4296" s="22" t="s">
        <v>3240</v>
      </c>
    </row>
    <row r="4297" spans="1:47">
      <c r="A4297" s="246" t="str">
        <f t="shared" si="1328"/>
        <v/>
      </c>
      <c r="B4297" s="23"/>
      <c r="C4297" s="23"/>
      <c r="D4297" s="202" t="str">
        <f t="shared" si="1329"/>
        <v/>
      </c>
      <c r="E4297" s="33" t="str">
        <f t="shared" si="1323"/>
        <v/>
      </c>
      <c r="F4297" s="23"/>
      <c r="G4297" s="23"/>
      <c r="H4297" s="29"/>
      <c r="I4297" s="204" t="str">
        <f t="shared" si="1326"/>
        <v/>
      </c>
      <c r="J4297" s="188"/>
      <c r="K4297" s="29"/>
      <c r="L4297" s="24"/>
      <c r="M4297" s="22"/>
      <c r="N4297" s="22"/>
      <c r="O4297" s="22"/>
      <c r="P4297" s="202" t="str">
        <f t="shared" si="1327"/>
        <v/>
      </c>
      <c r="Q4297" s="22"/>
      <c r="R4297" s="22"/>
      <c r="S4297" s="22"/>
      <c r="T4297" s="22"/>
      <c r="U4297" s="22"/>
      <c r="V4297" s="22"/>
      <c r="W4297" s="22"/>
      <c r="X4297" s="104"/>
      <c r="Y4297" s="195" t="str">
        <f t="shared" si="1324"/>
        <v/>
      </c>
      <c r="Z4297" s="196" t="str">
        <f t="shared" si="1325"/>
        <v/>
      </c>
      <c r="AA4297" s="22"/>
      <c r="AB4297" s="197" t="str">
        <f t="shared" si="1330"/>
        <v/>
      </c>
      <c r="AC4297" s="198" t="str">
        <f t="shared" si="1331"/>
        <v/>
      </c>
      <c r="AD4297" s="162"/>
      <c r="AE4297" s="199" t="str">
        <f t="shared" si="1332"/>
        <v/>
      </c>
      <c r="AF4297" s="199" t="str">
        <f>IF(AND(COUNTIFS($J$18:J4297,J4297)=1,AE4297=1),1,"")</f>
        <v/>
      </c>
      <c r="AG4297" s="199" t="str">
        <f>IF(C4297="","",IF(AND(COUNTIFS($J$18:J4297,J4297)=1,C4297&lt;&gt;""),1,""))</f>
        <v/>
      </c>
      <c r="AH4297" s="199" t="str">
        <f>IF(G4297="","",IF(AND(COUNTIFS($J$18:J4297,J4297)=1,G4297&lt;&gt;""),1,""))</f>
        <v/>
      </c>
      <c r="AI4297" s="200">
        <f t="shared" si="1333"/>
        <v>0</v>
      </c>
      <c r="AJ4297" s="200">
        <f t="shared" si="1334"/>
        <v>0</v>
      </c>
      <c r="AK4297" s="201" t="str">
        <f t="shared" si="1335"/>
        <v/>
      </c>
      <c r="AL4297" s="24"/>
      <c r="AM4297" s="24"/>
      <c r="AN4297" s="24"/>
      <c r="AO4297" s="24"/>
      <c r="AP4297" s="165" t="str">
        <f t="shared" si="1336"/>
        <v/>
      </c>
      <c r="AQ4297" s="203" t="str">
        <f t="shared" si="1337"/>
        <v/>
      </c>
      <c r="AR4297" s="206">
        <f t="shared" si="1338"/>
        <v>0</v>
      </c>
      <c r="AS4297" s="22" t="str">
        <f t="shared" si="1339"/>
        <v/>
      </c>
      <c r="AT4297" s="24" t="str">
        <f t="shared" si="1340"/>
        <v/>
      </c>
      <c r="AU4297" s="22" t="s">
        <v>3240</v>
      </c>
    </row>
    <row r="4298" spans="1:47">
      <c r="A4298" s="246" t="str">
        <f t="shared" si="1328"/>
        <v/>
      </c>
      <c r="B4298" s="23"/>
      <c r="C4298" s="23"/>
      <c r="D4298" s="202" t="str">
        <f t="shared" si="1329"/>
        <v/>
      </c>
      <c r="E4298" s="33" t="str">
        <f t="shared" si="1323"/>
        <v/>
      </c>
      <c r="F4298" s="23"/>
      <c r="G4298" s="23"/>
      <c r="H4298" s="29"/>
      <c r="I4298" s="204" t="str">
        <f t="shared" si="1326"/>
        <v/>
      </c>
      <c r="J4298" s="188"/>
      <c r="K4298" s="29"/>
      <c r="L4298" s="24"/>
      <c r="M4298" s="22"/>
      <c r="N4298" s="22"/>
      <c r="O4298" s="22"/>
      <c r="P4298" s="202" t="str">
        <f t="shared" si="1327"/>
        <v/>
      </c>
      <c r="Q4298" s="22"/>
      <c r="R4298" s="22"/>
      <c r="S4298" s="22"/>
      <c r="T4298" s="22"/>
      <c r="U4298" s="22"/>
      <c r="V4298" s="22"/>
      <c r="W4298" s="22"/>
      <c r="X4298" s="104"/>
      <c r="Y4298" s="195" t="str">
        <f t="shared" si="1324"/>
        <v/>
      </c>
      <c r="Z4298" s="196" t="str">
        <f t="shared" si="1325"/>
        <v/>
      </c>
      <c r="AA4298" s="22"/>
      <c r="AB4298" s="197" t="str">
        <f t="shared" si="1330"/>
        <v/>
      </c>
      <c r="AC4298" s="198" t="str">
        <f t="shared" si="1331"/>
        <v/>
      </c>
      <c r="AD4298" s="162"/>
      <c r="AE4298" s="199" t="str">
        <f t="shared" si="1332"/>
        <v/>
      </c>
      <c r="AF4298" s="199" t="str">
        <f>IF(AND(COUNTIFS($J$18:J4298,J4298)=1,AE4298=1),1,"")</f>
        <v/>
      </c>
      <c r="AG4298" s="199" t="str">
        <f>IF(C4298="","",IF(AND(COUNTIFS($J$18:J4298,J4298)=1,C4298&lt;&gt;""),1,""))</f>
        <v/>
      </c>
      <c r="AH4298" s="199" t="str">
        <f>IF(G4298="","",IF(AND(COUNTIFS($J$18:J4298,J4298)=1,G4298&lt;&gt;""),1,""))</f>
        <v/>
      </c>
      <c r="AI4298" s="200">
        <f t="shared" si="1333"/>
        <v>0</v>
      </c>
      <c r="AJ4298" s="200">
        <f t="shared" si="1334"/>
        <v>0</v>
      </c>
      <c r="AK4298" s="201" t="str">
        <f t="shared" si="1335"/>
        <v/>
      </c>
      <c r="AL4298" s="24"/>
      <c r="AM4298" s="24"/>
      <c r="AN4298" s="24"/>
      <c r="AO4298" s="24"/>
      <c r="AP4298" s="165" t="str">
        <f t="shared" si="1336"/>
        <v/>
      </c>
      <c r="AQ4298" s="203" t="str">
        <f t="shared" si="1337"/>
        <v/>
      </c>
      <c r="AR4298" s="206">
        <f t="shared" si="1338"/>
        <v>0</v>
      </c>
      <c r="AS4298" s="22" t="str">
        <f t="shared" si="1339"/>
        <v/>
      </c>
      <c r="AT4298" s="24" t="str">
        <f t="shared" si="1340"/>
        <v/>
      </c>
      <c r="AU4298" s="22" t="s">
        <v>3240</v>
      </c>
    </row>
    <row r="4299" spans="1:47">
      <c r="A4299" s="246" t="str">
        <f t="shared" si="1328"/>
        <v/>
      </c>
      <c r="B4299" s="23"/>
      <c r="C4299" s="23"/>
      <c r="D4299" s="202" t="str">
        <f t="shared" si="1329"/>
        <v/>
      </c>
      <c r="E4299" s="33" t="str">
        <f t="shared" si="1323"/>
        <v/>
      </c>
      <c r="F4299" s="23"/>
      <c r="G4299" s="23"/>
      <c r="H4299" s="29"/>
      <c r="I4299" s="204" t="str">
        <f t="shared" si="1326"/>
        <v/>
      </c>
      <c r="J4299" s="188"/>
      <c r="K4299" s="29"/>
      <c r="L4299" s="24"/>
      <c r="M4299" s="22"/>
      <c r="N4299" s="22"/>
      <c r="O4299" s="22"/>
      <c r="P4299" s="202" t="str">
        <f t="shared" si="1327"/>
        <v/>
      </c>
      <c r="Q4299" s="22"/>
      <c r="R4299" s="22"/>
      <c r="S4299" s="22"/>
      <c r="T4299" s="22"/>
      <c r="U4299" s="22"/>
      <c r="V4299" s="22"/>
      <c r="W4299" s="22"/>
      <c r="X4299" s="104"/>
      <c r="Y4299" s="195" t="str">
        <f t="shared" si="1324"/>
        <v/>
      </c>
      <c r="Z4299" s="196" t="str">
        <f t="shared" si="1325"/>
        <v/>
      </c>
      <c r="AA4299" s="22"/>
      <c r="AB4299" s="197" t="str">
        <f t="shared" si="1330"/>
        <v/>
      </c>
      <c r="AC4299" s="198" t="str">
        <f t="shared" si="1331"/>
        <v/>
      </c>
      <c r="AD4299" s="162"/>
      <c r="AE4299" s="199" t="str">
        <f t="shared" si="1332"/>
        <v/>
      </c>
      <c r="AF4299" s="199" t="str">
        <f>IF(AND(COUNTIFS($J$18:J4299,J4299)=1,AE4299=1),1,"")</f>
        <v/>
      </c>
      <c r="AG4299" s="199" t="str">
        <f>IF(C4299="","",IF(AND(COUNTIFS($J$18:J4299,J4299)=1,C4299&lt;&gt;""),1,""))</f>
        <v/>
      </c>
      <c r="AH4299" s="199" t="str">
        <f>IF(G4299="","",IF(AND(COUNTIFS($J$18:J4299,J4299)=1,G4299&lt;&gt;""),1,""))</f>
        <v/>
      </c>
      <c r="AI4299" s="200">
        <f t="shared" si="1333"/>
        <v>0</v>
      </c>
      <c r="AJ4299" s="200">
        <f t="shared" si="1334"/>
        <v>0</v>
      </c>
      <c r="AK4299" s="201" t="str">
        <f t="shared" si="1335"/>
        <v/>
      </c>
      <c r="AL4299" s="24"/>
      <c r="AM4299" s="24"/>
      <c r="AN4299" s="24"/>
      <c r="AO4299" s="24"/>
      <c r="AP4299" s="165" t="str">
        <f t="shared" si="1336"/>
        <v/>
      </c>
      <c r="AQ4299" s="203" t="str">
        <f t="shared" si="1337"/>
        <v/>
      </c>
      <c r="AR4299" s="206">
        <f t="shared" si="1338"/>
        <v>0</v>
      </c>
      <c r="AS4299" s="22" t="str">
        <f t="shared" si="1339"/>
        <v/>
      </c>
      <c r="AT4299" s="24" t="str">
        <f t="shared" si="1340"/>
        <v/>
      </c>
      <c r="AU4299" s="22" t="s">
        <v>3240</v>
      </c>
    </row>
    <row r="4300" spans="1:47">
      <c r="A4300" s="246" t="str">
        <f t="shared" si="1328"/>
        <v/>
      </c>
      <c r="B4300" s="23"/>
      <c r="C4300" s="23"/>
      <c r="D4300" s="202" t="str">
        <f t="shared" si="1329"/>
        <v/>
      </c>
      <c r="E4300" s="33" t="str">
        <f t="shared" si="1323"/>
        <v/>
      </c>
      <c r="F4300" s="23"/>
      <c r="G4300" s="23"/>
      <c r="H4300" s="29"/>
      <c r="I4300" s="204" t="str">
        <f t="shared" si="1326"/>
        <v/>
      </c>
      <c r="J4300" s="188"/>
      <c r="K4300" s="29"/>
      <c r="L4300" s="24"/>
      <c r="M4300" s="22"/>
      <c r="N4300" s="22"/>
      <c r="O4300" s="22"/>
      <c r="P4300" s="202" t="str">
        <f t="shared" si="1327"/>
        <v/>
      </c>
      <c r="Q4300" s="22"/>
      <c r="R4300" s="22"/>
      <c r="S4300" s="22"/>
      <c r="T4300" s="22"/>
      <c r="U4300" s="22"/>
      <c r="V4300" s="22"/>
      <c r="W4300" s="22"/>
      <c r="X4300" s="104"/>
      <c r="Y4300" s="195" t="str">
        <f t="shared" si="1324"/>
        <v/>
      </c>
      <c r="Z4300" s="196" t="str">
        <f t="shared" si="1325"/>
        <v/>
      </c>
      <c r="AA4300" s="22"/>
      <c r="AB4300" s="197" t="str">
        <f t="shared" si="1330"/>
        <v/>
      </c>
      <c r="AC4300" s="198" t="str">
        <f t="shared" si="1331"/>
        <v/>
      </c>
      <c r="AD4300" s="162"/>
      <c r="AE4300" s="199" t="str">
        <f t="shared" si="1332"/>
        <v/>
      </c>
      <c r="AF4300" s="199" t="str">
        <f>IF(AND(COUNTIFS($J$18:J4300,J4300)=1,AE4300=1),1,"")</f>
        <v/>
      </c>
      <c r="AG4300" s="199" t="str">
        <f>IF(C4300="","",IF(AND(COUNTIFS($J$18:J4300,J4300)=1,C4300&lt;&gt;""),1,""))</f>
        <v/>
      </c>
      <c r="AH4300" s="199" t="str">
        <f>IF(G4300="","",IF(AND(COUNTIFS($J$18:J4300,J4300)=1,G4300&lt;&gt;""),1,""))</f>
        <v/>
      </c>
      <c r="AI4300" s="200">
        <f t="shared" si="1333"/>
        <v>0</v>
      </c>
      <c r="AJ4300" s="200">
        <f t="shared" si="1334"/>
        <v>0</v>
      </c>
      <c r="AK4300" s="201" t="str">
        <f t="shared" si="1335"/>
        <v/>
      </c>
      <c r="AL4300" s="24"/>
      <c r="AM4300" s="24"/>
      <c r="AN4300" s="24"/>
      <c r="AO4300" s="24"/>
      <c r="AP4300" s="165" t="str">
        <f t="shared" si="1336"/>
        <v/>
      </c>
      <c r="AQ4300" s="203" t="str">
        <f t="shared" si="1337"/>
        <v/>
      </c>
      <c r="AR4300" s="206">
        <f t="shared" si="1338"/>
        <v>0</v>
      </c>
      <c r="AS4300" s="22" t="str">
        <f t="shared" si="1339"/>
        <v/>
      </c>
      <c r="AT4300" s="24" t="str">
        <f t="shared" si="1340"/>
        <v/>
      </c>
      <c r="AU4300" s="22" t="s">
        <v>3240</v>
      </c>
    </row>
    <row r="4301" spans="1:47">
      <c r="A4301" s="246" t="str">
        <f t="shared" si="1328"/>
        <v/>
      </c>
      <c r="B4301" s="23"/>
      <c r="C4301" s="23"/>
      <c r="D4301" s="202" t="str">
        <f t="shared" si="1329"/>
        <v/>
      </c>
      <c r="E4301" s="33" t="str">
        <f t="shared" si="1323"/>
        <v/>
      </c>
      <c r="F4301" s="23"/>
      <c r="G4301" s="23"/>
      <c r="H4301" s="29"/>
      <c r="I4301" s="204" t="str">
        <f t="shared" si="1326"/>
        <v/>
      </c>
      <c r="J4301" s="188"/>
      <c r="K4301" s="29"/>
      <c r="L4301" s="24"/>
      <c r="M4301" s="22"/>
      <c r="N4301" s="22"/>
      <c r="O4301" s="22"/>
      <c r="P4301" s="202" t="str">
        <f t="shared" si="1327"/>
        <v/>
      </c>
      <c r="Q4301" s="22"/>
      <c r="R4301" s="22"/>
      <c r="S4301" s="22"/>
      <c r="T4301" s="22"/>
      <c r="U4301" s="22"/>
      <c r="V4301" s="22"/>
      <c r="W4301" s="22"/>
      <c r="X4301" s="104"/>
      <c r="Y4301" s="195" t="str">
        <f t="shared" si="1324"/>
        <v/>
      </c>
      <c r="Z4301" s="196" t="str">
        <f t="shared" si="1325"/>
        <v/>
      </c>
      <c r="AA4301" s="22"/>
      <c r="AB4301" s="197" t="str">
        <f t="shared" si="1330"/>
        <v/>
      </c>
      <c r="AC4301" s="198" t="str">
        <f t="shared" si="1331"/>
        <v/>
      </c>
      <c r="AD4301" s="162"/>
      <c r="AE4301" s="199" t="str">
        <f t="shared" si="1332"/>
        <v/>
      </c>
      <c r="AF4301" s="199" t="str">
        <f>IF(AND(COUNTIFS($J$18:J4301,J4301)=1,AE4301=1),1,"")</f>
        <v/>
      </c>
      <c r="AG4301" s="199" t="str">
        <f>IF(C4301="","",IF(AND(COUNTIFS($J$18:J4301,J4301)=1,C4301&lt;&gt;""),1,""))</f>
        <v/>
      </c>
      <c r="AH4301" s="199" t="str">
        <f>IF(G4301="","",IF(AND(COUNTIFS($J$18:J4301,J4301)=1,G4301&lt;&gt;""),1,""))</f>
        <v/>
      </c>
      <c r="AI4301" s="200">
        <f t="shared" si="1333"/>
        <v>0</v>
      </c>
      <c r="AJ4301" s="200">
        <f t="shared" si="1334"/>
        <v>0</v>
      </c>
      <c r="AK4301" s="201" t="str">
        <f t="shared" si="1335"/>
        <v/>
      </c>
      <c r="AL4301" s="24"/>
      <c r="AM4301" s="24"/>
      <c r="AN4301" s="24"/>
      <c r="AO4301" s="24"/>
      <c r="AP4301" s="165" t="str">
        <f t="shared" si="1336"/>
        <v/>
      </c>
      <c r="AQ4301" s="203" t="str">
        <f t="shared" si="1337"/>
        <v/>
      </c>
      <c r="AR4301" s="206">
        <f t="shared" si="1338"/>
        <v>0</v>
      </c>
      <c r="AS4301" s="22" t="str">
        <f t="shared" si="1339"/>
        <v/>
      </c>
      <c r="AT4301" s="24" t="str">
        <f t="shared" si="1340"/>
        <v/>
      </c>
      <c r="AU4301" s="22" t="s">
        <v>3240</v>
      </c>
    </row>
    <row r="4302" spans="1:47">
      <c r="A4302" s="246" t="str">
        <f t="shared" si="1328"/>
        <v/>
      </c>
      <c r="B4302" s="23"/>
      <c r="C4302" s="23"/>
      <c r="D4302" s="202" t="str">
        <f t="shared" si="1329"/>
        <v/>
      </c>
      <c r="E4302" s="33" t="str">
        <f t="shared" si="1323"/>
        <v/>
      </c>
      <c r="F4302" s="23"/>
      <c r="G4302" s="23"/>
      <c r="H4302" s="29"/>
      <c r="I4302" s="204" t="str">
        <f t="shared" si="1326"/>
        <v/>
      </c>
      <c r="J4302" s="188"/>
      <c r="K4302" s="29"/>
      <c r="L4302" s="24"/>
      <c r="M4302" s="22"/>
      <c r="N4302" s="22"/>
      <c r="O4302" s="22"/>
      <c r="P4302" s="202" t="str">
        <f t="shared" si="1327"/>
        <v/>
      </c>
      <c r="Q4302" s="22"/>
      <c r="R4302" s="22"/>
      <c r="S4302" s="22"/>
      <c r="T4302" s="22"/>
      <c r="U4302" s="22"/>
      <c r="V4302" s="22"/>
      <c r="W4302" s="22"/>
      <c r="X4302" s="104"/>
      <c r="Y4302" s="195" t="str">
        <f t="shared" si="1324"/>
        <v/>
      </c>
      <c r="Z4302" s="196" t="str">
        <f t="shared" si="1325"/>
        <v/>
      </c>
      <c r="AA4302" s="22"/>
      <c r="AB4302" s="197" t="str">
        <f t="shared" si="1330"/>
        <v/>
      </c>
      <c r="AC4302" s="198" t="str">
        <f t="shared" si="1331"/>
        <v/>
      </c>
      <c r="AD4302" s="162"/>
      <c r="AE4302" s="199" t="str">
        <f t="shared" si="1332"/>
        <v/>
      </c>
      <c r="AF4302" s="199" t="str">
        <f>IF(AND(COUNTIFS($J$18:J4302,J4302)=1,AE4302=1),1,"")</f>
        <v/>
      </c>
      <c r="AG4302" s="199" t="str">
        <f>IF(C4302="","",IF(AND(COUNTIFS($J$18:J4302,J4302)=1,C4302&lt;&gt;""),1,""))</f>
        <v/>
      </c>
      <c r="AH4302" s="199" t="str">
        <f>IF(G4302="","",IF(AND(COUNTIFS($J$18:J4302,J4302)=1,G4302&lt;&gt;""),1,""))</f>
        <v/>
      </c>
      <c r="AI4302" s="200">
        <f t="shared" si="1333"/>
        <v>0</v>
      </c>
      <c r="AJ4302" s="200">
        <f t="shared" si="1334"/>
        <v>0</v>
      </c>
      <c r="AK4302" s="201" t="str">
        <f t="shared" si="1335"/>
        <v/>
      </c>
      <c r="AL4302" s="24"/>
      <c r="AM4302" s="24"/>
      <c r="AN4302" s="24"/>
      <c r="AO4302" s="24"/>
      <c r="AP4302" s="165" t="str">
        <f t="shared" si="1336"/>
        <v/>
      </c>
      <c r="AQ4302" s="203" t="str">
        <f t="shared" si="1337"/>
        <v/>
      </c>
      <c r="AR4302" s="206">
        <f t="shared" si="1338"/>
        <v>0</v>
      </c>
      <c r="AS4302" s="22" t="str">
        <f t="shared" si="1339"/>
        <v/>
      </c>
      <c r="AT4302" s="24" t="str">
        <f t="shared" si="1340"/>
        <v/>
      </c>
      <c r="AU4302" s="22" t="s">
        <v>3240</v>
      </c>
    </row>
    <row r="4303" spans="1:47">
      <c r="A4303" s="246" t="str">
        <f t="shared" si="1328"/>
        <v/>
      </c>
      <c r="B4303" s="23"/>
      <c r="C4303" s="23"/>
      <c r="D4303" s="202" t="str">
        <f t="shared" si="1329"/>
        <v/>
      </c>
      <c r="E4303" s="33" t="str">
        <f t="shared" si="1323"/>
        <v/>
      </c>
      <c r="F4303" s="23"/>
      <c r="G4303" s="23"/>
      <c r="H4303" s="29"/>
      <c r="I4303" s="204" t="str">
        <f t="shared" si="1326"/>
        <v/>
      </c>
      <c r="J4303" s="188"/>
      <c r="K4303" s="29"/>
      <c r="L4303" s="24"/>
      <c r="M4303" s="22"/>
      <c r="N4303" s="22"/>
      <c r="O4303" s="22"/>
      <c r="P4303" s="202" t="str">
        <f t="shared" si="1327"/>
        <v/>
      </c>
      <c r="Q4303" s="22"/>
      <c r="R4303" s="22"/>
      <c r="S4303" s="22"/>
      <c r="T4303" s="22"/>
      <c r="U4303" s="22"/>
      <c r="V4303" s="22"/>
      <c r="W4303" s="22"/>
      <c r="X4303" s="104"/>
      <c r="Y4303" s="195" t="str">
        <f t="shared" si="1324"/>
        <v/>
      </c>
      <c r="Z4303" s="196" t="str">
        <f t="shared" si="1325"/>
        <v/>
      </c>
      <c r="AA4303" s="22"/>
      <c r="AB4303" s="197" t="str">
        <f t="shared" si="1330"/>
        <v/>
      </c>
      <c r="AC4303" s="198" t="str">
        <f t="shared" si="1331"/>
        <v/>
      </c>
      <c r="AD4303" s="162"/>
      <c r="AE4303" s="199" t="str">
        <f t="shared" si="1332"/>
        <v/>
      </c>
      <c r="AF4303" s="199" t="str">
        <f>IF(AND(COUNTIFS($J$18:J4303,J4303)=1,AE4303=1),1,"")</f>
        <v/>
      </c>
      <c r="AG4303" s="199" t="str">
        <f>IF(C4303="","",IF(AND(COUNTIFS($J$18:J4303,J4303)=1,C4303&lt;&gt;""),1,""))</f>
        <v/>
      </c>
      <c r="AH4303" s="199" t="str">
        <f>IF(G4303="","",IF(AND(COUNTIFS($J$18:J4303,J4303)=1,G4303&lt;&gt;""),1,""))</f>
        <v/>
      </c>
      <c r="AI4303" s="200">
        <f t="shared" si="1333"/>
        <v>0</v>
      </c>
      <c r="AJ4303" s="200">
        <f t="shared" si="1334"/>
        <v>0</v>
      </c>
      <c r="AK4303" s="201" t="str">
        <f t="shared" si="1335"/>
        <v/>
      </c>
      <c r="AL4303" s="24"/>
      <c r="AM4303" s="24"/>
      <c r="AN4303" s="24"/>
      <c r="AO4303" s="24"/>
      <c r="AP4303" s="165" t="str">
        <f t="shared" si="1336"/>
        <v/>
      </c>
      <c r="AQ4303" s="203" t="str">
        <f t="shared" si="1337"/>
        <v/>
      </c>
      <c r="AR4303" s="206">
        <f t="shared" si="1338"/>
        <v>0</v>
      </c>
      <c r="AS4303" s="22" t="str">
        <f t="shared" si="1339"/>
        <v/>
      </c>
      <c r="AT4303" s="24" t="str">
        <f t="shared" si="1340"/>
        <v/>
      </c>
      <c r="AU4303" s="22" t="s">
        <v>3240</v>
      </c>
    </row>
    <row r="4304" spans="1:47">
      <c r="A4304" s="246" t="str">
        <f t="shared" si="1328"/>
        <v/>
      </c>
      <c r="B4304" s="23"/>
      <c r="C4304" s="23"/>
      <c r="D4304" s="202" t="str">
        <f t="shared" si="1329"/>
        <v/>
      </c>
      <c r="E4304" s="33" t="str">
        <f t="shared" si="1323"/>
        <v/>
      </c>
      <c r="F4304" s="23"/>
      <c r="G4304" s="23"/>
      <c r="H4304" s="29"/>
      <c r="I4304" s="204" t="str">
        <f t="shared" si="1326"/>
        <v/>
      </c>
      <c r="J4304" s="188"/>
      <c r="K4304" s="29"/>
      <c r="L4304" s="24"/>
      <c r="M4304" s="22"/>
      <c r="N4304" s="22"/>
      <c r="O4304" s="22"/>
      <c r="P4304" s="202" t="str">
        <f t="shared" si="1327"/>
        <v/>
      </c>
      <c r="Q4304" s="22"/>
      <c r="R4304" s="22"/>
      <c r="S4304" s="22"/>
      <c r="T4304" s="22"/>
      <c r="U4304" s="22"/>
      <c r="V4304" s="22"/>
      <c r="W4304" s="22"/>
      <c r="X4304" s="104"/>
      <c r="Y4304" s="195" t="str">
        <f t="shared" si="1324"/>
        <v/>
      </c>
      <c r="Z4304" s="196" t="str">
        <f t="shared" si="1325"/>
        <v/>
      </c>
      <c r="AA4304" s="22"/>
      <c r="AB4304" s="197" t="str">
        <f t="shared" si="1330"/>
        <v/>
      </c>
      <c r="AC4304" s="198" t="str">
        <f t="shared" si="1331"/>
        <v/>
      </c>
      <c r="AD4304" s="162"/>
      <c r="AE4304" s="199" t="str">
        <f t="shared" si="1332"/>
        <v/>
      </c>
      <c r="AF4304" s="199" t="str">
        <f>IF(AND(COUNTIFS($J$18:J4304,J4304)=1,AE4304=1),1,"")</f>
        <v/>
      </c>
      <c r="AG4304" s="199" t="str">
        <f>IF(C4304="","",IF(AND(COUNTIFS($J$18:J4304,J4304)=1,C4304&lt;&gt;""),1,""))</f>
        <v/>
      </c>
      <c r="AH4304" s="199" t="str">
        <f>IF(G4304="","",IF(AND(COUNTIFS($J$18:J4304,J4304)=1,G4304&lt;&gt;""),1,""))</f>
        <v/>
      </c>
      <c r="AI4304" s="200">
        <f t="shared" si="1333"/>
        <v>0</v>
      </c>
      <c r="AJ4304" s="200">
        <f t="shared" si="1334"/>
        <v>0</v>
      </c>
      <c r="AK4304" s="201" t="str">
        <f t="shared" si="1335"/>
        <v/>
      </c>
      <c r="AL4304" s="24"/>
      <c r="AM4304" s="24"/>
      <c r="AN4304" s="24"/>
      <c r="AO4304" s="24"/>
      <c r="AP4304" s="165" t="str">
        <f t="shared" si="1336"/>
        <v/>
      </c>
      <c r="AQ4304" s="203" t="str">
        <f t="shared" si="1337"/>
        <v/>
      </c>
      <c r="AR4304" s="206">
        <f t="shared" si="1338"/>
        <v>0</v>
      </c>
      <c r="AS4304" s="22" t="str">
        <f t="shared" si="1339"/>
        <v/>
      </c>
      <c r="AT4304" s="24" t="str">
        <f t="shared" si="1340"/>
        <v/>
      </c>
      <c r="AU4304" s="22" t="s">
        <v>3240</v>
      </c>
    </row>
    <row r="4305" spans="1:47">
      <c r="A4305" s="246" t="str">
        <f t="shared" si="1328"/>
        <v/>
      </c>
      <c r="B4305" s="23"/>
      <c r="C4305" s="23"/>
      <c r="D4305" s="202" t="str">
        <f t="shared" si="1329"/>
        <v/>
      </c>
      <c r="E4305" s="33" t="str">
        <f t="shared" si="1323"/>
        <v/>
      </c>
      <c r="F4305" s="23"/>
      <c r="G4305" s="23"/>
      <c r="H4305" s="29"/>
      <c r="I4305" s="204" t="str">
        <f t="shared" si="1326"/>
        <v/>
      </c>
      <c r="J4305" s="188"/>
      <c r="K4305" s="29"/>
      <c r="L4305" s="24"/>
      <c r="M4305" s="22"/>
      <c r="N4305" s="22"/>
      <c r="O4305" s="22"/>
      <c r="P4305" s="202" t="str">
        <f t="shared" si="1327"/>
        <v/>
      </c>
      <c r="Q4305" s="22"/>
      <c r="R4305" s="22"/>
      <c r="S4305" s="22"/>
      <c r="T4305" s="22"/>
      <c r="U4305" s="22"/>
      <c r="V4305" s="22"/>
      <c r="W4305" s="22"/>
      <c r="X4305" s="104"/>
      <c r="Y4305" s="195" t="str">
        <f t="shared" si="1324"/>
        <v/>
      </c>
      <c r="Z4305" s="196" t="str">
        <f t="shared" si="1325"/>
        <v/>
      </c>
      <c r="AA4305" s="22"/>
      <c r="AB4305" s="197" t="str">
        <f t="shared" si="1330"/>
        <v/>
      </c>
      <c r="AC4305" s="198" t="str">
        <f t="shared" si="1331"/>
        <v/>
      </c>
      <c r="AD4305" s="162"/>
      <c r="AE4305" s="199" t="str">
        <f t="shared" si="1332"/>
        <v/>
      </c>
      <c r="AF4305" s="199" t="str">
        <f>IF(AND(COUNTIFS($J$18:J4305,J4305)=1,AE4305=1),1,"")</f>
        <v/>
      </c>
      <c r="AG4305" s="199" t="str">
        <f>IF(C4305="","",IF(AND(COUNTIFS($J$18:J4305,J4305)=1,C4305&lt;&gt;""),1,""))</f>
        <v/>
      </c>
      <c r="AH4305" s="199" t="str">
        <f>IF(G4305="","",IF(AND(COUNTIFS($J$18:J4305,J4305)=1,G4305&lt;&gt;""),1,""))</f>
        <v/>
      </c>
      <c r="AI4305" s="200">
        <f t="shared" si="1333"/>
        <v>0</v>
      </c>
      <c r="AJ4305" s="200">
        <f t="shared" si="1334"/>
        <v>0</v>
      </c>
      <c r="AK4305" s="201" t="str">
        <f t="shared" si="1335"/>
        <v/>
      </c>
      <c r="AL4305" s="24"/>
      <c r="AM4305" s="24"/>
      <c r="AN4305" s="24"/>
      <c r="AO4305" s="24"/>
      <c r="AP4305" s="165" t="str">
        <f t="shared" si="1336"/>
        <v/>
      </c>
      <c r="AQ4305" s="203" t="str">
        <f t="shared" si="1337"/>
        <v/>
      </c>
      <c r="AR4305" s="206">
        <f t="shared" si="1338"/>
        <v>0</v>
      </c>
      <c r="AS4305" s="22" t="str">
        <f t="shared" si="1339"/>
        <v/>
      </c>
      <c r="AT4305" s="24" t="str">
        <f t="shared" si="1340"/>
        <v/>
      </c>
      <c r="AU4305" s="22" t="s">
        <v>3240</v>
      </c>
    </row>
    <row r="4306" spans="1:47">
      <c r="A4306" s="246" t="str">
        <f t="shared" si="1328"/>
        <v/>
      </c>
      <c r="B4306" s="23"/>
      <c r="C4306" s="23"/>
      <c r="D4306" s="202" t="str">
        <f t="shared" si="1329"/>
        <v/>
      </c>
      <c r="E4306" s="33" t="str">
        <f t="shared" si="1323"/>
        <v/>
      </c>
      <c r="F4306" s="23"/>
      <c r="G4306" s="23"/>
      <c r="H4306" s="29"/>
      <c r="I4306" s="204" t="str">
        <f t="shared" si="1326"/>
        <v/>
      </c>
      <c r="J4306" s="188"/>
      <c r="K4306" s="29"/>
      <c r="L4306" s="24"/>
      <c r="M4306" s="22"/>
      <c r="N4306" s="22"/>
      <c r="O4306" s="22"/>
      <c r="P4306" s="202" t="str">
        <f t="shared" si="1327"/>
        <v/>
      </c>
      <c r="Q4306" s="22"/>
      <c r="R4306" s="22"/>
      <c r="S4306" s="22"/>
      <c r="T4306" s="22"/>
      <c r="U4306" s="22"/>
      <c r="V4306" s="22"/>
      <c r="W4306" s="22"/>
      <c r="X4306" s="104"/>
      <c r="Y4306" s="195" t="str">
        <f t="shared" si="1324"/>
        <v/>
      </c>
      <c r="Z4306" s="196" t="str">
        <f t="shared" si="1325"/>
        <v/>
      </c>
      <c r="AA4306" s="22"/>
      <c r="AB4306" s="197" t="str">
        <f t="shared" si="1330"/>
        <v/>
      </c>
      <c r="AC4306" s="198" t="str">
        <f t="shared" si="1331"/>
        <v/>
      </c>
      <c r="AD4306" s="162"/>
      <c r="AE4306" s="199" t="str">
        <f t="shared" si="1332"/>
        <v/>
      </c>
      <c r="AF4306" s="199" t="str">
        <f>IF(AND(COUNTIFS($J$18:J4306,J4306)=1,AE4306=1),1,"")</f>
        <v/>
      </c>
      <c r="AG4306" s="199" t="str">
        <f>IF(C4306="","",IF(AND(COUNTIFS($J$18:J4306,J4306)=1,C4306&lt;&gt;""),1,""))</f>
        <v/>
      </c>
      <c r="AH4306" s="199" t="str">
        <f>IF(G4306="","",IF(AND(COUNTIFS($J$18:J4306,J4306)=1,G4306&lt;&gt;""),1,""))</f>
        <v/>
      </c>
      <c r="AI4306" s="200">
        <f t="shared" si="1333"/>
        <v>0</v>
      </c>
      <c r="AJ4306" s="200">
        <f t="shared" si="1334"/>
        <v>0</v>
      </c>
      <c r="AK4306" s="201" t="str">
        <f t="shared" si="1335"/>
        <v/>
      </c>
      <c r="AL4306" s="24"/>
      <c r="AM4306" s="24"/>
      <c r="AN4306" s="24"/>
      <c r="AO4306" s="24"/>
      <c r="AP4306" s="165" t="str">
        <f t="shared" si="1336"/>
        <v/>
      </c>
      <c r="AQ4306" s="203" t="str">
        <f t="shared" si="1337"/>
        <v/>
      </c>
      <c r="AR4306" s="206">
        <f t="shared" si="1338"/>
        <v>0</v>
      </c>
      <c r="AS4306" s="22" t="str">
        <f t="shared" si="1339"/>
        <v/>
      </c>
      <c r="AT4306" s="24" t="str">
        <f t="shared" si="1340"/>
        <v/>
      </c>
      <c r="AU4306" s="22" t="s">
        <v>3240</v>
      </c>
    </row>
    <row r="4307" spans="1:47">
      <c r="A4307" s="246" t="str">
        <f t="shared" si="1328"/>
        <v/>
      </c>
      <c r="B4307" s="23"/>
      <c r="C4307" s="23"/>
      <c r="D4307" s="202" t="str">
        <f t="shared" si="1329"/>
        <v/>
      </c>
      <c r="E4307" s="33" t="str">
        <f t="shared" si="1323"/>
        <v/>
      </c>
      <c r="F4307" s="23"/>
      <c r="G4307" s="23"/>
      <c r="H4307" s="29"/>
      <c r="I4307" s="204" t="str">
        <f t="shared" si="1326"/>
        <v/>
      </c>
      <c r="J4307" s="188"/>
      <c r="K4307" s="29"/>
      <c r="L4307" s="24"/>
      <c r="M4307" s="22"/>
      <c r="N4307" s="22"/>
      <c r="O4307" s="22"/>
      <c r="P4307" s="202" t="str">
        <f t="shared" si="1327"/>
        <v/>
      </c>
      <c r="Q4307" s="22"/>
      <c r="R4307" s="22"/>
      <c r="S4307" s="22"/>
      <c r="T4307" s="22"/>
      <c r="U4307" s="22"/>
      <c r="V4307" s="22"/>
      <c r="W4307" s="22"/>
      <c r="X4307" s="104"/>
      <c r="Y4307" s="195" t="str">
        <f t="shared" si="1324"/>
        <v/>
      </c>
      <c r="Z4307" s="196" t="str">
        <f t="shared" si="1325"/>
        <v/>
      </c>
      <c r="AA4307" s="22"/>
      <c r="AB4307" s="197" t="str">
        <f t="shared" si="1330"/>
        <v/>
      </c>
      <c r="AC4307" s="198" t="str">
        <f t="shared" si="1331"/>
        <v/>
      </c>
      <c r="AD4307" s="162"/>
      <c r="AE4307" s="199" t="str">
        <f t="shared" si="1332"/>
        <v/>
      </c>
      <c r="AF4307" s="199" t="str">
        <f>IF(AND(COUNTIFS($J$18:J4307,J4307)=1,AE4307=1),1,"")</f>
        <v/>
      </c>
      <c r="AG4307" s="199" t="str">
        <f>IF(C4307="","",IF(AND(COUNTIFS($J$18:J4307,J4307)=1,C4307&lt;&gt;""),1,""))</f>
        <v/>
      </c>
      <c r="AH4307" s="199" t="str">
        <f>IF(G4307="","",IF(AND(COUNTIFS($J$18:J4307,J4307)=1,G4307&lt;&gt;""),1,""))</f>
        <v/>
      </c>
      <c r="AI4307" s="200">
        <f t="shared" si="1333"/>
        <v>0</v>
      </c>
      <c r="AJ4307" s="200">
        <f t="shared" si="1334"/>
        <v>0</v>
      </c>
      <c r="AK4307" s="201" t="str">
        <f t="shared" si="1335"/>
        <v/>
      </c>
      <c r="AL4307" s="24"/>
      <c r="AM4307" s="24"/>
      <c r="AN4307" s="24"/>
      <c r="AO4307" s="24"/>
      <c r="AP4307" s="165" t="str">
        <f t="shared" si="1336"/>
        <v/>
      </c>
      <c r="AQ4307" s="203" t="str">
        <f t="shared" si="1337"/>
        <v/>
      </c>
      <c r="AR4307" s="206">
        <f t="shared" si="1338"/>
        <v>0</v>
      </c>
      <c r="AS4307" s="22" t="str">
        <f t="shared" si="1339"/>
        <v/>
      </c>
      <c r="AT4307" s="24" t="str">
        <f t="shared" si="1340"/>
        <v/>
      </c>
      <c r="AU4307" s="22" t="s">
        <v>3240</v>
      </c>
    </row>
    <row r="4308" spans="1:47">
      <c r="A4308" s="246" t="str">
        <f t="shared" si="1328"/>
        <v/>
      </c>
      <c r="B4308" s="23"/>
      <c r="C4308" s="23"/>
      <c r="D4308" s="202" t="str">
        <f t="shared" si="1329"/>
        <v/>
      </c>
      <c r="E4308" s="33" t="str">
        <f t="shared" si="1323"/>
        <v/>
      </c>
      <c r="F4308" s="23"/>
      <c r="G4308" s="23"/>
      <c r="H4308" s="29"/>
      <c r="I4308" s="204" t="str">
        <f t="shared" si="1326"/>
        <v/>
      </c>
      <c r="J4308" s="188"/>
      <c r="K4308" s="29"/>
      <c r="L4308" s="24"/>
      <c r="M4308" s="22"/>
      <c r="N4308" s="22"/>
      <c r="O4308" s="22"/>
      <c r="P4308" s="202" t="str">
        <f t="shared" si="1327"/>
        <v/>
      </c>
      <c r="Q4308" s="22"/>
      <c r="R4308" s="22"/>
      <c r="S4308" s="22"/>
      <c r="T4308" s="22"/>
      <c r="U4308" s="22"/>
      <c r="V4308" s="22"/>
      <c r="W4308" s="22"/>
      <c r="X4308" s="104"/>
      <c r="Y4308" s="195" t="str">
        <f t="shared" si="1324"/>
        <v/>
      </c>
      <c r="Z4308" s="196" t="str">
        <f t="shared" si="1325"/>
        <v/>
      </c>
      <c r="AA4308" s="22"/>
      <c r="AB4308" s="197" t="str">
        <f t="shared" si="1330"/>
        <v/>
      </c>
      <c r="AC4308" s="198" t="str">
        <f t="shared" si="1331"/>
        <v/>
      </c>
      <c r="AD4308" s="162"/>
      <c r="AE4308" s="199" t="str">
        <f t="shared" si="1332"/>
        <v/>
      </c>
      <c r="AF4308" s="199" t="str">
        <f>IF(AND(COUNTIFS($J$18:J4308,J4308)=1,AE4308=1),1,"")</f>
        <v/>
      </c>
      <c r="AG4308" s="199" t="str">
        <f>IF(C4308="","",IF(AND(COUNTIFS($J$18:J4308,J4308)=1,C4308&lt;&gt;""),1,""))</f>
        <v/>
      </c>
      <c r="AH4308" s="199" t="str">
        <f>IF(G4308="","",IF(AND(COUNTIFS($J$18:J4308,J4308)=1,G4308&lt;&gt;""),1,""))</f>
        <v/>
      </c>
      <c r="AI4308" s="200">
        <f t="shared" si="1333"/>
        <v>0</v>
      </c>
      <c r="AJ4308" s="200">
        <f t="shared" si="1334"/>
        <v>0</v>
      </c>
      <c r="AK4308" s="201" t="str">
        <f t="shared" si="1335"/>
        <v/>
      </c>
      <c r="AL4308" s="24"/>
      <c r="AM4308" s="24"/>
      <c r="AN4308" s="24"/>
      <c r="AO4308" s="24"/>
      <c r="AP4308" s="165" t="str">
        <f t="shared" si="1336"/>
        <v/>
      </c>
      <c r="AQ4308" s="203" t="str">
        <f t="shared" si="1337"/>
        <v/>
      </c>
      <c r="AR4308" s="206">
        <f t="shared" si="1338"/>
        <v>0</v>
      </c>
      <c r="AS4308" s="22" t="str">
        <f t="shared" si="1339"/>
        <v/>
      </c>
      <c r="AT4308" s="24" t="str">
        <f t="shared" si="1340"/>
        <v/>
      </c>
      <c r="AU4308" s="22" t="s">
        <v>3240</v>
      </c>
    </row>
    <row r="4309" spans="1:47">
      <c r="A4309" s="246" t="str">
        <f t="shared" si="1328"/>
        <v/>
      </c>
      <c r="B4309" s="23"/>
      <c r="C4309" s="23"/>
      <c r="D4309" s="202" t="str">
        <f t="shared" si="1329"/>
        <v/>
      </c>
      <c r="E4309" s="33" t="str">
        <f t="shared" si="1323"/>
        <v/>
      </c>
      <c r="F4309" s="23"/>
      <c r="G4309" s="23"/>
      <c r="H4309" s="29"/>
      <c r="I4309" s="204" t="str">
        <f t="shared" si="1326"/>
        <v/>
      </c>
      <c r="J4309" s="188"/>
      <c r="K4309" s="29"/>
      <c r="L4309" s="24"/>
      <c r="M4309" s="22"/>
      <c r="N4309" s="22"/>
      <c r="O4309" s="22"/>
      <c r="P4309" s="202" t="str">
        <f t="shared" si="1327"/>
        <v/>
      </c>
      <c r="Q4309" s="22"/>
      <c r="R4309" s="22"/>
      <c r="S4309" s="22"/>
      <c r="T4309" s="22"/>
      <c r="U4309" s="22"/>
      <c r="V4309" s="22"/>
      <c r="W4309" s="22"/>
      <c r="X4309" s="104"/>
      <c r="Y4309" s="195" t="str">
        <f t="shared" si="1324"/>
        <v/>
      </c>
      <c r="Z4309" s="196" t="str">
        <f t="shared" si="1325"/>
        <v/>
      </c>
      <c r="AA4309" s="22"/>
      <c r="AB4309" s="197" t="str">
        <f t="shared" si="1330"/>
        <v/>
      </c>
      <c r="AC4309" s="198" t="str">
        <f t="shared" si="1331"/>
        <v/>
      </c>
      <c r="AD4309" s="162"/>
      <c r="AE4309" s="199" t="str">
        <f t="shared" si="1332"/>
        <v/>
      </c>
      <c r="AF4309" s="199" t="str">
        <f>IF(AND(COUNTIFS($J$18:J4309,J4309)=1,AE4309=1),1,"")</f>
        <v/>
      </c>
      <c r="AG4309" s="199" t="str">
        <f>IF(C4309="","",IF(AND(COUNTIFS($J$18:J4309,J4309)=1,C4309&lt;&gt;""),1,""))</f>
        <v/>
      </c>
      <c r="AH4309" s="199" t="str">
        <f>IF(G4309="","",IF(AND(COUNTIFS($J$18:J4309,J4309)=1,G4309&lt;&gt;""),1,""))</f>
        <v/>
      </c>
      <c r="AI4309" s="200">
        <f t="shared" si="1333"/>
        <v>0</v>
      </c>
      <c r="AJ4309" s="200">
        <f t="shared" si="1334"/>
        <v>0</v>
      </c>
      <c r="AK4309" s="201" t="str">
        <f t="shared" si="1335"/>
        <v/>
      </c>
      <c r="AL4309" s="24"/>
      <c r="AM4309" s="24"/>
      <c r="AN4309" s="24"/>
      <c r="AO4309" s="24"/>
      <c r="AP4309" s="165" t="str">
        <f t="shared" si="1336"/>
        <v/>
      </c>
      <c r="AQ4309" s="203" t="str">
        <f t="shared" si="1337"/>
        <v/>
      </c>
      <c r="AR4309" s="206">
        <f t="shared" si="1338"/>
        <v>0</v>
      </c>
      <c r="AS4309" s="22" t="str">
        <f t="shared" si="1339"/>
        <v/>
      </c>
      <c r="AT4309" s="24" t="str">
        <f t="shared" si="1340"/>
        <v/>
      </c>
      <c r="AU4309" s="22" t="s">
        <v>3240</v>
      </c>
    </row>
    <row r="4310" spans="1:47">
      <c r="A4310" s="246" t="str">
        <f t="shared" si="1328"/>
        <v/>
      </c>
      <c r="B4310" s="23"/>
      <c r="C4310" s="23"/>
      <c r="D4310" s="202" t="str">
        <f t="shared" si="1329"/>
        <v/>
      </c>
      <c r="E4310" s="33" t="str">
        <f t="shared" si="1323"/>
        <v/>
      </c>
      <c r="F4310" s="23"/>
      <c r="G4310" s="23"/>
      <c r="H4310" s="29"/>
      <c r="I4310" s="204" t="str">
        <f t="shared" si="1326"/>
        <v/>
      </c>
      <c r="J4310" s="188"/>
      <c r="K4310" s="29"/>
      <c r="L4310" s="24"/>
      <c r="M4310" s="22"/>
      <c r="N4310" s="22"/>
      <c r="O4310" s="22"/>
      <c r="P4310" s="202" t="str">
        <f t="shared" si="1327"/>
        <v/>
      </c>
      <c r="Q4310" s="22"/>
      <c r="R4310" s="22"/>
      <c r="S4310" s="22"/>
      <c r="T4310" s="22"/>
      <c r="U4310" s="22"/>
      <c r="V4310" s="22"/>
      <c r="W4310" s="22"/>
      <c r="X4310" s="104"/>
      <c r="Y4310" s="195" t="str">
        <f t="shared" si="1324"/>
        <v/>
      </c>
      <c r="Z4310" s="196" t="str">
        <f t="shared" si="1325"/>
        <v/>
      </c>
      <c r="AA4310" s="22"/>
      <c r="AB4310" s="197" t="str">
        <f t="shared" si="1330"/>
        <v/>
      </c>
      <c r="AC4310" s="198" t="str">
        <f t="shared" si="1331"/>
        <v/>
      </c>
      <c r="AD4310" s="162"/>
      <c r="AE4310" s="199" t="str">
        <f t="shared" si="1332"/>
        <v/>
      </c>
      <c r="AF4310" s="199" t="str">
        <f>IF(AND(COUNTIFS($J$18:J4310,J4310)=1,AE4310=1),1,"")</f>
        <v/>
      </c>
      <c r="AG4310" s="199" t="str">
        <f>IF(C4310="","",IF(AND(COUNTIFS($J$18:J4310,J4310)=1,C4310&lt;&gt;""),1,""))</f>
        <v/>
      </c>
      <c r="AH4310" s="199" t="str">
        <f>IF(G4310="","",IF(AND(COUNTIFS($J$18:J4310,J4310)=1,G4310&lt;&gt;""),1,""))</f>
        <v/>
      </c>
      <c r="AI4310" s="200">
        <f t="shared" si="1333"/>
        <v>0</v>
      </c>
      <c r="AJ4310" s="200">
        <f t="shared" si="1334"/>
        <v>0</v>
      </c>
      <c r="AK4310" s="201" t="str">
        <f t="shared" si="1335"/>
        <v/>
      </c>
      <c r="AL4310" s="24"/>
      <c r="AM4310" s="24"/>
      <c r="AN4310" s="24"/>
      <c r="AO4310" s="24"/>
      <c r="AP4310" s="165" t="str">
        <f t="shared" si="1336"/>
        <v/>
      </c>
      <c r="AQ4310" s="203" t="str">
        <f t="shared" si="1337"/>
        <v/>
      </c>
      <c r="AR4310" s="206">
        <f t="shared" si="1338"/>
        <v>0</v>
      </c>
      <c r="AS4310" s="22" t="str">
        <f t="shared" si="1339"/>
        <v/>
      </c>
      <c r="AT4310" s="24" t="str">
        <f t="shared" si="1340"/>
        <v/>
      </c>
      <c r="AU4310" s="22" t="s">
        <v>3240</v>
      </c>
    </row>
    <row r="4311" spans="1:47">
      <c r="A4311" s="246" t="str">
        <f t="shared" si="1328"/>
        <v/>
      </c>
      <c r="B4311" s="23"/>
      <c r="C4311" s="23"/>
      <c r="D4311" s="202" t="str">
        <f t="shared" si="1329"/>
        <v/>
      </c>
      <c r="E4311" s="33" t="str">
        <f t="shared" si="1323"/>
        <v/>
      </c>
      <c r="F4311" s="23"/>
      <c r="G4311" s="23"/>
      <c r="H4311" s="29"/>
      <c r="I4311" s="204" t="str">
        <f t="shared" si="1326"/>
        <v/>
      </c>
      <c r="J4311" s="188"/>
      <c r="K4311" s="29"/>
      <c r="L4311" s="24"/>
      <c r="M4311" s="22"/>
      <c r="N4311" s="22"/>
      <c r="O4311" s="22"/>
      <c r="P4311" s="202" t="str">
        <f t="shared" si="1327"/>
        <v/>
      </c>
      <c r="Q4311" s="22"/>
      <c r="R4311" s="22"/>
      <c r="S4311" s="22"/>
      <c r="T4311" s="22"/>
      <c r="U4311" s="22"/>
      <c r="V4311" s="22"/>
      <c r="W4311" s="22"/>
      <c r="X4311" s="104"/>
      <c r="Y4311" s="195" t="str">
        <f t="shared" si="1324"/>
        <v/>
      </c>
      <c r="Z4311" s="196" t="str">
        <f t="shared" si="1325"/>
        <v/>
      </c>
      <c r="AA4311" s="22"/>
      <c r="AB4311" s="197" t="str">
        <f t="shared" si="1330"/>
        <v/>
      </c>
      <c r="AC4311" s="198" t="str">
        <f t="shared" si="1331"/>
        <v/>
      </c>
      <c r="AD4311" s="162"/>
      <c r="AE4311" s="199" t="str">
        <f t="shared" si="1332"/>
        <v/>
      </c>
      <c r="AF4311" s="199" t="str">
        <f>IF(AND(COUNTIFS($J$18:J4311,J4311)=1,AE4311=1),1,"")</f>
        <v/>
      </c>
      <c r="AG4311" s="199" t="str">
        <f>IF(C4311="","",IF(AND(COUNTIFS($J$18:J4311,J4311)=1,C4311&lt;&gt;""),1,""))</f>
        <v/>
      </c>
      <c r="AH4311" s="199" t="str">
        <f>IF(G4311="","",IF(AND(COUNTIFS($J$18:J4311,J4311)=1,G4311&lt;&gt;""),1,""))</f>
        <v/>
      </c>
      <c r="AI4311" s="200">
        <f t="shared" si="1333"/>
        <v>0</v>
      </c>
      <c r="AJ4311" s="200">
        <f t="shared" si="1334"/>
        <v>0</v>
      </c>
      <c r="AK4311" s="201" t="str">
        <f t="shared" si="1335"/>
        <v/>
      </c>
      <c r="AL4311" s="24"/>
      <c r="AM4311" s="24"/>
      <c r="AN4311" s="24"/>
      <c r="AO4311" s="24"/>
      <c r="AP4311" s="165" t="str">
        <f t="shared" si="1336"/>
        <v/>
      </c>
      <c r="AQ4311" s="203" t="str">
        <f t="shared" si="1337"/>
        <v/>
      </c>
      <c r="AR4311" s="206">
        <f t="shared" si="1338"/>
        <v>0</v>
      </c>
      <c r="AS4311" s="22" t="str">
        <f t="shared" si="1339"/>
        <v/>
      </c>
      <c r="AT4311" s="24" t="str">
        <f t="shared" si="1340"/>
        <v/>
      </c>
      <c r="AU4311" s="22" t="s">
        <v>3240</v>
      </c>
    </row>
    <row r="4312" spans="1:47">
      <c r="A4312" s="246" t="str">
        <f t="shared" si="1328"/>
        <v/>
      </c>
      <c r="B4312" s="23"/>
      <c r="C4312" s="23"/>
      <c r="D4312" s="202" t="str">
        <f t="shared" si="1329"/>
        <v/>
      </c>
      <c r="E4312" s="33" t="str">
        <f t="shared" ref="E4312:E4375" si="1341">IF(G4312="Cancel","Cancel",IF(G4312="TBA","TBA",IFERROR(IF(I4312="Q4","FY "&amp;RIGHT(F4312,2)-1&amp;"/"&amp;RIGHT(F4312,2),"FY "&amp;RIGHT(F4312,2)&amp;"/"&amp;RIGHT(F4312,2)+1),"")))</f>
        <v/>
      </c>
      <c r="F4312" s="23"/>
      <c r="G4312" s="23"/>
      <c r="H4312" s="29"/>
      <c r="I4312" s="204" t="str">
        <f t="shared" si="1326"/>
        <v/>
      </c>
      <c r="J4312" s="188"/>
      <c r="K4312" s="29"/>
      <c r="L4312" s="24"/>
      <c r="M4312" s="22"/>
      <c r="N4312" s="22"/>
      <c r="O4312" s="22"/>
      <c r="P4312" s="202" t="str">
        <f t="shared" si="1327"/>
        <v/>
      </c>
      <c r="Q4312" s="22"/>
      <c r="R4312" s="22"/>
      <c r="S4312" s="22"/>
      <c r="T4312" s="22"/>
      <c r="U4312" s="22"/>
      <c r="V4312" s="22"/>
      <c r="W4312" s="22"/>
      <c r="X4312" s="104"/>
      <c r="Y4312" s="195" t="str">
        <f t="shared" si="1324"/>
        <v/>
      </c>
      <c r="Z4312" s="196" t="str">
        <f t="shared" si="1325"/>
        <v/>
      </c>
      <c r="AA4312" s="22"/>
      <c r="AB4312" s="197" t="str">
        <f t="shared" si="1330"/>
        <v/>
      </c>
      <c r="AC4312" s="198" t="str">
        <f t="shared" si="1331"/>
        <v/>
      </c>
      <c r="AD4312" s="162"/>
      <c r="AE4312" s="199" t="str">
        <f t="shared" si="1332"/>
        <v/>
      </c>
      <c r="AF4312" s="199" t="str">
        <f>IF(AND(COUNTIFS($J$18:J4312,J4312)=1,AE4312=1),1,"")</f>
        <v/>
      </c>
      <c r="AG4312" s="199" t="str">
        <f>IF(C4312="","",IF(AND(COUNTIFS($J$18:J4312,J4312)=1,C4312&lt;&gt;""),1,""))</f>
        <v/>
      </c>
      <c r="AH4312" s="199" t="str">
        <f>IF(G4312="","",IF(AND(COUNTIFS($J$18:J4312,J4312)=1,G4312&lt;&gt;""),1,""))</f>
        <v/>
      </c>
      <c r="AI4312" s="200">
        <f t="shared" si="1333"/>
        <v>0</v>
      </c>
      <c r="AJ4312" s="200">
        <f t="shared" si="1334"/>
        <v>0</v>
      </c>
      <c r="AK4312" s="201" t="str">
        <f t="shared" si="1335"/>
        <v/>
      </c>
      <c r="AL4312" s="24"/>
      <c r="AM4312" s="24"/>
      <c r="AN4312" s="24"/>
      <c r="AO4312" s="24"/>
      <c r="AP4312" s="165" t="str">
        <f t="shared" si="1336"/>
        <v/>
      </c>
      <c r="AQ4312" s="203" t="str">
        <f t="shared" si="1337"/>
        <v/>
      </c>
      <c r="AR4312" s="206">
        <f t="shared" si="1338"/>
        <v>0</v>
      </c>
      <c r="AS4312" s="22" t="str">
        <f t="shared" si="1339"/>
        <v/>
      </c>
      <c r="AT4312" s="24" t="str">
        <f t="shared" si="1340"/>
        <v/>
      </c>
      <c r="AU4312" s="22" t="s">
        <v>3240</v>
      </c>
    </row>
    <row r="4313" spans="1:47">
      <c r="A4313" s="246" t="str">
        <f t="shared" si="1328"/>
        <v/>
      </c>
      <c r="B4313" s="23"/>
      <c r="C4313" s="23"/>
      <c r="D4313" s="202" t="str">
        <f t="shared" si="1329"/>
        <v/>
      </c>
      <c r="E4313" s="33" t="str">
        <f t="shared" si="1341"/>
        <v/>
      </c>
      <c r="F4313" s="23"/>
      <c r="G4313" s="23"/>
      <c r="H4313" s="29"/>
      <c r="I4313" s="204" t="str">
        <f t="shared" si="1326"/>
        <v/>
      </c>
      <c r="J4313" s="188"/>
      <c r="K4313" s="29"/>
      <c r="L4313" s="24"/>
      <c r="M4313" s="22"/>
      <c r="N4313" s="22"/>
      <c r="O4313" s="22"/>
      <c r="P4313" s="202" t="str">
        <f t="shared" si="1327"/>
        <v/>
      </c>
      <c r="Q4313" s="22"/>
      <c r="R4313" s="22"/>
      <c r="S4313" s="22"/>
      <c r="T4313" s="22"/>
      <c r="U4313" s="22"/>
      <c r="V4313" s="22"/>
      <c r="W4313" s="22"/>
      <c r="X4313" s="104"/>
      <c r="Y4313" s="195" t="str">
        <f t="shared" si="1324"/>
        <v/>
      </c>
      <c r="Z4313" s="196" t="str">
        <f t="shared" si="1325"/>
        <v/>
      </c>
      <c r="AA4313" s="22"/>
      <c r="AB4313" s="197" t="str">
        <f t="shared" si="1330"/>
        <v/>
      </c>
      <c r="AC4313" s="198" t="str">
        <f t="shared" si="1331"/>
        <v/>
      </c>
      <c r="AD4313" s="162"/>
      <c r="AE4313" s="199" t="str">
        <f t="shared" si="1332"/>
        <v/>
      </c>
      <c r="AF4313" s="199" t="str">
        <f>IF(AND(COUNTIFS($J$18:J4313,J4313)=1,AE4313=1),1,"")</f>
        <v/>
      </c>
      <c r="AG4313" s="199" t="str">
        <f>IF(C4313="","",IF(AND(COUNTIFS($J$18:J4313,J4313)=1,C4313&lt;&gt;""),1,""))</f>
        <v/>
      </c>
      <c r="AH4313" s="199" t="str">
        <f>IF(G4313="","",IF(AND(COUNTIFS($J$18:J4313,J4313)=1,G4313&lt;&gt;""),1,""))</f>
        <v/>
      </c>
      <c r="AI4313" s="200">
        <f t="shared" si="1333"/>
        <v>0</v>
      </c>
      <c r="AJ4313" s="200">
        <f t="shared" si="1334"/>
        <v>0</v>
      </c>
      <c r="AK4313" s="201" t="str">
        <f t="shared" si="1335"/>
        <v/>
      </c>
      <c r="AL4313" s="24"/>
      <c r="AM4313" s="24"/>
      <c r="AN4313" s="24"/>
      <c r="AO4313" s="24"/>
      <c r="AP4313" s="165" t="str">
        <f t="shared" si="1336"/>
        <v/>
      </c>
      <c r="AQ4313" s="203" t="str">
        <f t="shared" si="1337"/>
        <v/>
      </c>
      <c r="AR4313" s="206">
        <f t="shared" si="1338"/>
        <v>0</v>
      </c>
      <c r="AS4313" s="22" t="str">
        <f t="shared" si="1339"/>
        <v/>
      </c>
      <c r="AT4313" s="24" t="str">
        <f t="shared" si="1340"/>
        <v/>
      </c>
      <c r="AU4313" s="22" t="s">
        <v>3240</v>
      </c>
    </row>
    <row r="4314" spans="1:47">
      <c r="A4314" s="246" t="str">
        <f t="shared" si="1328"/>
        <v/>
      </c>
      <c r="B4314" s="23"/>
      <c r="C4314" s="23"/>
      <c r="D4314" s="202" t="str">
        <f t="shared" si="1329"/>
        <v/>
      </c>
      <c r="E4314" s="33" t="str">
        <f t="shared" si="1341"/>
        <v/>
      </c>
      <c r="F4314" s="23"/>
      <c r="G4314" s="23"/>
      <c r="H4314" s="29"/>
      <c r="I4314" s="204" t="str">
        <f t="shared" si="1326"/>
        <v/>
      </c>
      <c r="J4314" s="188"/>
      <c r="K4314" s="29"/>
      <c r="L4314" s="24"/>
      <c r="M4314" s="22"/>
      <c r="N4314" s="22"/>
      <c r="O4314" s="22"/>
      <c r="P4314" s="202" t="str">
        <f t="shared" si="1327"/>
        <v/>
      </c>
      <c r="Q4314" s="22"/>
      <c r="R4314" s="22"/>
      <c r="S4314" s="22"/>
      <c r="T4314" s="22"/>
      <c r="U4314" s="22"/>
      <c r="V4314" s="22"/>
      <c r="W4314" s="22"/>
      <c r="X4314" s="104"/>
      <c r="Y4314" s="195" t="str">
        <f t="shared" si="1324"/>
        <v/>
      </c>
      <c r="Z4314" s="196" t="str">
        <f t="shared" si="1325"/>
        <v/>
      </c>
      <c r="AA4314" s="22"/>
      <c r="AB4314" s="197" t="str">
        <f t="shared" si="1330"/>
        <v/>
      </c>
      <c r="AC4314" s="198" t="str">
        <f t="shared" si="1331"/>
        <v/>
      </c>
      <c r="AD4314" s="162"/>
      <c r="AE4314" s="199" t="str">
        <f t="shared" si="1332"/>
        <v/>
      </c>
      <c r="AF4314" s="199" t="str">
        <f>IF(AND(COUNTIFS($J$18:J4314,J4314)=1,AE4314=1),1,"")</f>
        <v/>
      </c>
      <c r="AG4314" s="199" t="str">
        <f>IF(C4314="","",IF(AND(COUNTIFS($J$18:J4314,J4314)=1,C4314&lt;&gt;""),1,""))</f>
        <v/>
      </c>
      <c r="AH4314" s="199" t="str">
        <f>IF(G4314="","",IF(AND(COUNTIFS($J$18:J4314,J4314)=1,G4314&lt;&gt;""),1,""))</f>
        <v/>
      </c>
      <c r="AI4314" s="200">
        <f t="shared" si="1333"/>
        <v>0</v>
      </c>
      <c r="AJ4314" s="200">
        <f t="shared" si="1334"/>
        <v>0</v>
      </c>
      <c r="AK4314" s="201" t="str">
        <f t="shared" si="1335"/>
        <v/>
      </c>
      <c r="AL4314" s="24"/>
      <c r="AM4314" s="24"/>
      <c r="AN4314" s="24"/>
      <c r="AO4314" s="24"/>
      <c r="AP4314" s="165" t="str">
        <f t="shared" si="1336"/>
        <v/>
      </c>
      <c r="AQ4314" s="203" t="str">
        <f t="shared" si="1337"/>
        <v/>
      </c>
      <c r="AR4314" s="206">
        <f t="shared" si="1338"/>
        <v>0</v>
      </c>
      <c r="AS4314" s="22" t="str">
        <f t="shared" si="1339"/>
        <v/>
      </c>
      <c r="AT4314" s="24" t="str">
        <f t="shared" si="1340"/>
        <v/>
      </c>
      <c r="AU4314" s="22" t="s">
        <v>3240</v>
      </c>
    </row>
    <row r="4315" spans="1:47">
      <c r="A4315" s="246" t="str">
        <f t="shared" si="1328"/>
        <v/>
      </c>
      <c r="B4315" s="23"/>
      <c r="C4315" s="23"/>
      <c r="D4315" s="202" t="str">
        <f t="shared" si="1329"/>
        <v/>
      </c>
      <c r="E4315" s="33" t="str">
        <f t="shared" si="1341"/>
        <v/>
      </c>
      <c r="F4315" s="23"/>
      <c r="G4315" s="23"/>
      <c r="H4315" s="29"/>
      <c r="I4315" s="204" t="str">
        <f t="shared" si="1326"/>
        <v/>
      </c>
      <c r="J4315" s="188"/>
      <c r="K4315" s="29"/>
      <c r="L4315" s="24"/>
      <c r="M4315" s="22"/>
      <c r="N4315" s="22"/>
      <c r="O4315" s="22"/>
      <c r="P4315" s="202" t="str">
        <f t="shared" si="1327"/>
        <v/>
      </c>
      <c r="Q4315" s="22"/>
      <c r="R4315" s="22"/>
      <c r="S4315" s="22"/>
      <c r="T4315" s="22"/>
      <c r="U4315" s="22"/>
      <c r="V4315" s="22"/>
      <c r="W4315" s="22"/>
      <c r="X4315" s="104"/>
      <c r="Y4315" s="195" t="str">
        <f t="shared" ref="Y4315:Y4378" si="1342">IF(W4315="","",IF(W4315="RMB","1.13", "1"))</f>
        <v/>
      </c>
      <c r="Z4315" s="196" t="str">
        <f t="shared" ref="Z4315:Z4378" si="1343">IF(X4315="","",X4315*MAX(O4315,N4315))</f>
        <v/>
      </c>
      <c r="AA4315" s="22"/>
      <c r="AB4315" s="197" t="str">
        <f t="shared" si="1330"/>
        <v/>
      </c>
      <c r="AC4315" s="198" t="str">
        <f t="shared" si="1331"/>
        <v/>
      </c>
      <c r="AD4315" s="162"/>
      <c r="AE4315" s="199" t="str">
        <f t="shared" si="1332"/>
        <v/>
      </c>
      <c r="AF4315" s="199" t="str">
        <f>IF(AND(COUNTIFS($J$18:J4315,J4315)=1,AE4315=1),1,"")</f>
        <v/>
      </c>
      <c r="AG4315" s="199" t="str">
        <f>IF(C4315="","",IF(AND(COUNTIFS($J$18:J4315,J4315)=1,C4315&lt;&gt;""),1,""))</f>
        <v/>
      </c>
      <c r="AH4315" s="199" t="str">
        <f>IF(G4315="","",IF(AND(COUNTIFS($J$18:J4315,J4315)=1,G4315&lt;&gt;""),1,""))</f>
        <v/>
      </c>
      <c r="AI4315" s="200">
        <f t="shared" si="1333"/>
        <v>0</v>
      </c>
      <c r="AJ4315" s="200">
        <f t="shared" si="1334"/>
        <v>0</v>
      </c>
      <c r="AK4315" s="201" t="str">
        <f t="shared" si="1335"/>
        <v/>
      </c>
      <c r="AL4315" s="24"/>
      <c r="AM4315" s="24"/>
      <c r="AN4315" s="24"/>
      <c r="AO4315" s="24"/>
      <c r="AP4315" s="165" t="str">
        <f t="shared" si="1336"/>
        <v/>
      </c>
      <c r="AQ4315" s="203" t="str">
        <f t="shared" si="1337"/>
        <v/>
      </c>
      <c r="AR4315" s="206">
        <f t="shared" si="1338"/>
        <v>0</v>
      </c>
      <c r="AS4315" s="22" t="str">
        <f t="shared" si="1339"/>
        <v/>
      </c>
      <c r="AT4315" s="24" t="str">
        <f t="shared" si="1340"/>
        <v/>
      </c>
      <c r="AU4315" s="22" t="s">
        <v>3240</v>
      </c>
    </row>
    <row r="4316" spans="1:47">
      <c r="A4316" s="246" t="str">
        <f t="shared" si="1328"/>
        <v/>
      </c>
      <c r="B4316" s="23"/>
      <c r="C4316" s="23"/>
      <c r="D4316" s="202" t="str">
        <f t="shared" si="1329"/>
        <v/>
      </c>
      <c r="E4316" s="33" t="str">
        <f t="shared" si="1341"/>
        <v/>
      </c>
      <c r="F4316" s="23"/>
      <c r="G4316" s="23"/>
      <c r="H4316" s="29"/>
      <c r="I4316" s="204" t="str">
        <f t="shared" si="1326"/>
        <v/>
      </c>
      <c r="J4316" s="188"/>
      <c r="K4316" s="29"/>
      <c r="L4316" s="24"/>
      <c r="M4316" s="22"/>
      <c r="N4316" s="22"/>
      <c r="O4316" s="22"/>
      <c r="P4316" s="202" t="str">
        <f t="shared" si="1327"/>
        <v/>
      </c>
      <c r="Q4316" s="22"/>
      <c r="R4316" s="22"/>
      <c r="S4316" s="22"/>
      <c r="T4316" s="22"/>
      <c r="U4316" s="22"/>
      <c r="V4316" s="22"/>
      <c r="W4316" s="22"/>
      <c r="X4316" s="104"/>
      <c r="Y4316" s="195" t="str">
        <f t="shared" si="1342"/>
        <v/>
      </c>
      <c r="Z4316" s="196" t="str">
        <f t="shared" si="1343"/>
        <v/>
      </c>
      <c r="AA4316" s="22"/>
      <c r="AB4316" s="197" t="str">
        <f t="shared" si="1330"/>
        <v/>
      </c>
      <c r="AC4316" s="198" t="str">
        <f t="shared" si="1331"/>
        <v/>
      </c>
      <c r="AD4316" s="162"/>
      <c r="AE4316" s="199" t="str">
        <f t="shared" si="1332"/>
        <v/>
      </c>
      <c r="AF4316" s="199" t="str">
        <f>IF(AND(COUNTIFS($J$18:J4316,J4316)=1,AE4316=1),1,"")</f>
        <v/>
      </c>
      <c r="AG4316" s="199" t="str">
        <f>IF(C4316="","",IF(AND(COUNTIFS($J$18:J4316,J4316)=1,C4316&lt;&gt;""),1,""))</f>
        <v/>
      </c>
      <c r="AH4316" s="199" t="str">
        <f>IF(G4316="","",IF(AND(COUNTIFS($J$18:J4316,J4316)=1,G4316&lt;&gt;""),1,""))</f>
        <v/>
      </c>
      <c r="AI4316" s="200">
        <f t="shared" si="1333"/>
        <v>0</v>
      </c>
      <c r="AJ4316" s="200">
        <f t="shared" si="1334"/>
        <v>0</v>
      </c>
      <c r="AK4316" s="201" t="str">
        <f t="shared" si="1335"/>
        <v/>
      </c>
      <c r="AL4316" s="24"/>
      <c r="AM4316" s="24"/>
      <c r="AN4316" s="24"/>
      <c r="AO4316" s="24"/>
      <c r="AP4316" s="165" t="str">
        <f t="shared" si="1336"/>
        <v/>
      </c>
      <c r="AQ4316" s="203" t="str">
        <f t="shared" si="1337"/>
        <v/>
      </c>
      <c r="AR4316" s="206">
        <f t="shared" si="1338"/>
        <v>0</v>
      </c>
      <c r="AS4316" s="22" t="str">
        <f t="shared" si="1339"/>
        <v/>
      </c>
      <c r="AT4316" s="24" t="str">
        <f t="shared" si="1340"/>
        <v/>
      </c>
      <c r="AU4316" s="22" t="s">
        <v>3240</v>
      </c>
    </row>
    <row r="4317" spans="1:47">
      <c r="A4317" s="246" t="str">
        <f t="shared" si="1328"/>
        <v/>
      </c>
      <c r="B4317" s="23"/>
      <c r="C4317" s="23"/>
      <c r="D4317" s="202" t="str">
        <f t="shared" si="1329"/>
        <v/>
      </c>
      <c r="E4317" s="33" t="str">
        <f t="shared" si="1341"/>
        <v/>
      </c>
      <c r="F4317" s="23"/>
      <c r="G4317" s="23"/>
      <c r="H4317" s="29"/>
      <c r="I4317" s="204" t="str">
        <f t="shared" si="1326"/>
        <v/>
      </c>
      <c r="J4317" s="188"/>
      <c r="K4317" s="29"/>
      <c r="L4317" s="24"/>
      <c r="M4317" s="22"/>
      <c r="N4317" s="22"/>
      <c r="O4317" s="22"/>
      <c r="P4317" s="202" t="str">
        <f t="shared" si="1327"/>
        <v/>
      </c>
      <c r="Q4317" s="22"/>
      <c r="R4317" s="22"/>
      <c r="S4317" s="22"/>
      <c r="T4317" s="22"/>
      <c r="U4317" s="22"/>
      <c r="V4317" s="22"/>
      <c r="W4317" s="22"/>
      <c r="X4317" s="104"/>
      <c r="Y4317" s="195" t="str">
        <f t="shared" si="1342"/>
        <v/>
      </c>
      <c r="Z4317" s="196" t="str">
        <f t="shared" si="1343"/>
        <v/>
      </c>
      <c r="AA4317" s="22"/>
      <c r="AB4317" s="197" t="str">
        <f t="shared" si="1330"/>
        <v/>
      </c>
      <c r="AC4317" s="198" t="str">
        <f t="shared" si="1331"/>
        <v/>
      </c>
      <c r="AD4317" s="162"/>
      <c r="AE4317" s="199" t="str">
        <f t="shared" si="1332"/>
        <v/>
      </c>
      <c r="AF4317" s="199" t="str">
        <f>IF(AND(COUNTIFS($J$18:J4317,J4317)=1,AE4317=1),1,"")</f>
        <v/>
      </c>
      <c r="AG4317" s="199" t="str">
        <f>IF(C4317="","",IF(AND(COUNTIFS($J$18:J4317,J4317)=1,C4317&lt;&gt;""),1,""))</f>
        <v/>
      </c>
      <c r="AH4317" s="199" t="str">
        <f>IF(G4317="","",IF(AND(COUNTIFS($J$18:J4317,J4317)=1,G4317&lt;&gt;""),1,""))</f>
        <v/>
      </c>
      <c r="AI4317" s="200">
        <f t="shared" si="1333"/>
        <v>0</v>
      </c>
      <c r="AJ4317" s="200">
        <f t="shared" si="1334"/>
        <v>0</v>
      </c>
      <c r="AK4317" s="201" t="str">
        <f t="shared" si="1335"/>
        <v/>
      </c>
      <c r="AL4317" s="24"/>
      <c r="AM4317" s="24"/>
      <c r="AN4317" s="24"/>
      <c r="AO4317" s="24"/>
      <c r="AP4317" s="165" t="str">
        <f t="shared" si="1336"/>
        <v/>
      </c>
      <c r="AQ4317" s="203" t="str">
        <f t="shared" si="1337"/>
        <v/>
      </c>
      <c r="AR4317" s="206">
        <f t="shared" si="1338"/>
        <v>0</v>
      </c>
      <c r="AS4317" s="22" t="str">
        <f t="shared" si="1339"/>
        <v/>
      </c>
      <c r="AT4317" s="24" t="str">
        <f t="shared" si="1340"/>
        <v/>
      </c>
      <c r="AU4317" s="22" t="s">
        <v>3240</v>
      </c>
    </row>
    <row r="4318" spans="1:47">
      <c r="A4318" s="246" t="str">
        <f t="shared" si="1328"/>
        <v/>
      </c>
      <c r="B4318" s="23"/>
      <c r="C4318" s="23"/>
      <c r="D4318" s="202" t="str">
        <f t="shared" si="1329"/>
        <v/>
      </c>
      <c r="E4318" s="33" t="str">
        <f t="shared" si="1341"/>
        <v/>
      </c>
      <c r="F4318" s="23"/>
      <c r="G4318" s="23"/>
      <c r="H4318" s="29"/>
      <c r="I4318" s="204" t="str">
        <f t="shared" si="1326"/>
        <v/>
      </c>
      <c r="J4318" s="188"/>
      <c r="K4318" s="29"/>
      <c r="L4318" s="24"/>
      <c r="M4318" s="22"/>
      <c r="N4318" s="22"/>
      <c r="O4318" s="22"/>
      <c r="P4318" s="202" t="str">
        <f t="shared" si="1327"/>
        <v/>
      </c>
      <c r="Q4318" s="22"/>
      <c r="R4318" s="22"/>
      <c r="S4318" s="22"/>
      <c r="T4318" s="22"/>
      <c r="U4318" s="22"/>
      <c r="V4318" s="22"/>
      <c r="W4318" s="22"/>
      <c r="X4318" s="104"/>
      <c r="Y4318" s="195" t="str">
        <f t="shared" si="1342"/>
        <v/>
      </c>
      <c r="Z4318" s="196" t="str">
        <f t="shared" si="1343"/>
        <v/>
      </c>
      <c r="AA4318" s="22"/>
      <c r="AB4318" s="197" t="str">
        <f t="shared" si="1330"/>
        <v/>
      </c>
      <c r="AC4318" s="198" t="str">
        <f t="shared" si="1331"/>
        <v/>
      </c>
      <c r="AD4318" s="162"/>
      <c r="AE4318" s="199" t="str">
        <f t="shared" si="1332"/>
        <v/>
      </c>
      <c r="AF4318" s="199" t="str">
        <f>IF(AND(COUNTIFS($J$18:J4318,J4318)=1,AE4318=1),1,"")</f>
        <v/>
      </c>
      <c r="AG4318" s="199" t="str">
        <f>IF(C4318="","",IF(AND(COUNTIFS($J$18:J4318,J4318)=1,C4318&lt;&gt;""),1,""))</f>
        <v/>
      </c>
      <c r="AH4318" s="199" t="str">
        <f>IF(G4318="","",IF(AND(COUNTIFS($J$18:J4318,J4318)=1,G4318&lt;&gt;""),1,""))</f>
        <v/>
      </c>
      <c r="AI4318" s="200">
        <f t="shared" si="1333"/>
        <v>0</v>
      </c>
      <c r="AJ4318" s="200">
        <f t="shared" si="1334"/>
        <v>0</v>
      </c>
      <c r="AK4318" s="201" t="str">
        <f t="shared" si="1335"/>
        <v/>
      </c>
      <c r="AL4318" s="24"/>
      <c r="AM4318" s="24"/>
      <c r="AN4318" s="24"/>
      <c r="AO4318" s="24"/>
      <c r="AP4318" s="165" t="str">
        <f t="shared" si="1336"/>
        <v/>
      </c>
      <c r="AQ4318" s="203" t="str">
        <f t="shared" si="1337"/>
        <v/>
      </c>
      <c r="AR4318" s="206">
        <f t="shared" si="1338"/>
        <v>0</v>
      </c>
      <c r="AS4318" s="22" t="str">
        <f t="shared" si="1339"/>
        <v/>
      </c>
      <c r="AT4318" s="24" t="str">
        <f t="shared" si="1340"/>
        <v/>
      </c>
      <c r="AU4318" s="22" t="s">
        <v>3240</v>
      </c>
    </row>
    <row r="4319" spans="1:47">
      <c r="A4319" s="246" t="str">
        <f t="shared" si="1328"/>
        <v/>
      </c>
      <c r="B4319" s="23"/>
      <c r="C4319" s="23"/>
      <c r="D4319" s="202" t="str">
        <f t="shared" si="1329"/>
        <v/>
      </c>
      <c r="E4319" s="33" t="str">
        <f t="shared" si="1341"/>
        <v/>
      </c>
      <c r="F4319" s="23"/>
      <c r="G4319" s="23"/>
      <c r="H4319" s="29"/>
      <c r="I4319" s="204" t="str">
        <f t="shared" si="1326"/>
        <v/>
      </c>
      <c r="J4319" s="188"/>
      <c r="K4319" s="29"/>
      <c r="L4319" s="24"/>
      <c r="M4319" s="22"/>
      <c r="N4319" s="22"/>
      <c r="O4319" s="22"/>
      <c r="P4319" s="202" t="str">
        <f t="shared" si="1327"/>
        <v/>
      </c>
      <c r="Q4319" s="22"/>
      <c r="R4319" s="22"/>
      <c r="S4319" s="22"/>
      <c r="T4319" s="22"/>
      <c r="U4319" s="22"/>
      <c r="V4319" s="22"/>
      <c r="W4319" s="22"/>
      <c r="X4319" s="104"/>
      <c r="Y4319" s="195" t="str">
        <f t="shared" si="1342"/>
        <v/>
      </c>
      <c r="Z4319" s="196" t="str">
        <f t="shared" si="1343"/>
        <v/>
      </c>
      <c r="AA4319" s="22"/>
      <c r="AB4319" s="197" t="str">
        <f t="shared" si="1330"/>
        <v/>
      </c>
      <c r="AC4319" s="198" t="str">
        <f t="shared" si="1331"/>
        <v/>
      </c>
      <c r="AD4319" s="162"/>
      <c r="AE4319" s="199" t="str">
        <f t="shared" si="1332"/>
        <v/>
      </c>
      <c r="AF4319" s="199" t="str">
        <f>IF(AND(COUNTIFS($J$18:J4319,J4319)=1,AE4319=1),1,"")</f>
        <v/>
      </c>
      <c r="AG4319" s="199" t="str">
        <f>IF(C4319="","",IF(AND(COUNTIFS($J$18:J4319,J4319)=1,C4319&lt;&gt;""),1,""))</f>
        <v/>
      </c>
      <c r="AH4319" s="199" t="str">
        <f>IF(G4319="","",IF(AND(COUNTIFS($J$18:J4319,J4319)=1,G4319&lt;&gt;""),1,""))</f>
        <v/>
      </c>
      <c r="AI4319" s="200">
        <f t="shared" si="1333"/>
        <v>0</v>
      </c>
      <c r="AJ4319" s="200">
        <f t="shared" si="1334"/>
        <v>0</v>
      </c>
      <c r="AK4319" s="201" t="str">
        <f t="shared" si="1335"/>
        <v/>
      </c>
      <c r="AL4319" s="24"/>
      <c r="AM4319" s="24"/>
      <c r="AN4319" s="24"/>
      <c r="AO4319" s="24"/>
      <c r="AP4319" s="165" t="str">
        <f t="shared" si="1336"/>
        <v/>
      </c>
      <c r="AQ4319" s="203" t="str">
        <f t="shared" si="1337"/>
        <v/>
      </c>
      <c r="AR4319" s="206">
        <f t="shared" si="1338"/>
        <v>0</v>
      </c>
      <c r="AS4319" s="22" t="str">
        <f t="shared" si="1339"/>
        <v/>
      </c>
      <c r="AT4319" s="24" t="str">
        <f t="shared" si="1340"/>
        <v/>
      </c>
      <c r="AU4319" s="22" t="s">
        <v>3240</v>
      </c>
    </row>
    <row r="4320" spans="1:47">
      <c r="A4320" s="246" t="str">
        <f t="shared" si="1328"/>
        <v/>
      </c>
      <c r="B4320" s="23"/>
      <c r="C4320" s="23"/>
      <c r="D4320" s="202" t="str">
        <f t="shared" si="1329"/>
        <v/>
      </c>
      <c r="E4320" s="33" t="str">
        <f t="shared" si="1341"/>
        <v/>
      </c>
      <c r="F4320" s="23"/>
      <c r="G4320" s="23"/>
      <c r="H4320" s="29"/>
      <c r="I4320" s="204" t="str">
        <f t="shared" ref="I4320:I4383" si="1344">IFERROR(IF(F4320="","",IF(F4320="TBA","TBA",IF(F4320="Cancel","Cancel",IF(AND(G4320&gt;=10,G4320&lt;=12),"Q3",IF(AND(G4320&gt;=1,G4320&lt;=3),"Q4",IF(AND(G4320&gt;=7,G4320&lt;=9),"Q2",IF(AND(G4320&gt;=4,G4320&lt;=6),"Q1"))))))),"")</f>
        <v/>
      </c>
      <c r="J4320" s="188"/>
      <c r="K4320" s="29"/>
      <c r="L4320" s="24"/>
      <c r="M4320" s="22"/>
      <c r="N4320" s="22"/>
      <c r="O4320" s="22"/>
      <c r="P4320" s="202" t="str">
        <f t="shared" si="1327"/>
        <v/>
      </c>
      <c r="Q4320" s="22"/>
      <c r="R4320" s="22"/>
      <c r="S4320" s="22"/>
      <c r="T4320" s="22"/>
      <c r="U4320" s="22"/>
      <c r="V4320" s="22"/>
      <c r="W4320" s="22"/>
      <c r="X4320" s="104"/>
      <c r="Y4320" s="195" t="str">
        <f t="shared" si="1342"/>
        <v/>
      </c>
      <c r="Z4320" s="196" t="str">
        <f t="shared" si="1343"/>
        <v/>
      </c>
      <c r="AA4320" s="22"/>
      <c r="AB4320" s="197" t="str">
        <f t="shared" si="1330"/>
        <v/>
      </c>
      <c r="AC4320" s="198" t="str">
        <f t="shared" si="1331"/>
        <v/>
      </c>
      <c r="AD4320" s="162"/>
      <c r="AE4320" s="199" t="str">
        <f t="shared" si="1332"/>
        <v/>
      </c>
      <c r="AF4320" s="199" t="str">
        <f>IF(AND(COUNTIFS($J$18:J4320,J4320)=1,AE4320=1),1,"")</f>
        <v/>
      </c>
      <c r="AG4320" s="199" t="str">
        <f>IF(C4320="","",IF(AND(COUNTIFS($J$18:J4320,J4320)=1,C4320&lt;&gt;""),1,""))</f>
        <v/>
      </c>
      <c r="AH4320" s="199" t="str">
        <f>IF(G4320="","",IF(AND(COUNTIFS($J$18:J4320,J4320)=1,G4320&lt;&gt;""),1,""))</f>
        <v/>
      </c>
      <c r="AI4320" s="200">
        <f t="shared" si="1333"/>
        <v>0</v>
      </c>
      <c r="AJ4320" s="200">
        <f t="shared" si="1334"/>
        <v>0</v>
      </c>
      <c r="AK4320" s="201" t="str">
        <f t="shared" si="1335"/>
        <v/>
      </c>
      <c r="AL4320" s="24"/>
      <c r="AM4320" s="24"/>
      <c r="AN4320" s="24"/>
      <c r="AO4320" s="24"/>
      <c r="AP4320" s="165" t="str">
        <f t="shared" si="1336"/>
        <v/>
      </c>
      <c r="AQ4320" s="203" t="str">
        <f t="shared" si="1337"/>
        <v/>
      </c>
      <c r="AR4320" s="206">
        <f t="shared" si="1338"/>
        <v>0</v>
      </c>
      <c r="AS4320" s="22" t="str">
        <f t="shared" si="1339"/>
        <v/>
      </c>
      <c r="AT4320" s="24" t="str">
        <f t="shared" si="1340"/>
        <v/>
      </c>
      <c r="AU4320" s="22" t="s">
        <v>3240</v>
      </c>
    </row>
    <row r="4321" spans="1:47">
      <c r="A4321" s="246" t="str">
        <f t="shared" si="1328"/>
        <v/>
      </c>
      <c r="B4321" s="23"/>
      <c r="C4321" s="23"/>
      <c r="D4321" s="202" t="str">
        <f t="shared" si="1329"/>
        <v/>
      </c>
      <c r="E4321" s="33" t="str">
        <f t="shared" si="1341"/>
        <v/>
      </c>
      <c r="F4321" s="23"/>
      <c r="G4321" s="23"/>
      <c r="H4321" s="29"/>
      <c r="I4321" s="204" t="str">
        <f t="shared" si="1344"/>
        <v/>
      </c>
      <c r="J4321" s="188"/>
      <c r="K4321" s="29"/>
      <c r="L4321" s="24"/>
      <c r="M4321" s="22"/>
      <c r="N4321" s="22"/>
      <c r="O4321" s="22"/>
      <c r="P4321" s="202" t="str">
        <f t="shared" ref="P4321:P4384" si="1345">IF(M4321="","",IF(AND(N4321&gt;0,L4321&lt;&gt;""),"MAIN UNIT",IF(AND(O4321&gt;0,L4321&lt;&gt;""),"SERVICE/ PARTS","C66 SERVICE/OTHERS")))</f>
        <v/>
      </c>
      <c r="Q4321" s="22"/>
      <c r="R4321" s="22"/>
      <c r="S4321" s="22"/>
      <c r="T4321" s="22"/>
      <c r="U4321" s="22"/>
      <c r="V4321" s="22"/>
      <c r="W4321" s="22"/>
      <c r="X4321" s="104"/>
      <c r="Y4321" s="195" t="str">
        <f t="shared" si="1342"/>
        <v/>
      </c>
      <c r="Z4321" s="196" t="str">
        <f t="shared" si="1343"/>
        <v/>
      </c>
      <c r="AA4321" s="22"/>
      <c r="AB4321" s="197" t="str">
        <f t="shared" si="1330"/>
        <v/>
      </c>
      <c r="AC4321" s="198" t="str">
        <f t="shared" si="1331"/>
        <v/>
      </c>
      <c r="AD4321" s="162"/>
      <c r="AE4321" s="199" t="str">
        <f t="shared" si="1332"/>
        <v/>
      </c>
      <c r="AF4321" s="199" t="str">
        <f>IF(AND(COUNTIFS($J$18:J4321,J4321)=1,AE4321=1),1,"")</f>
        <v/>
      </c>
      <c r="AG4321" s="199" t="str">
        <f>IF(C4321="","",IF(AND(COUNTIFS($J$18:J4321,J4321)=1,C4321&lt;&gt;""),1,""))</f>
        <v/>
      </c>
      <c r="AH4321" s="199" t="str">
        <f>IF(G4321="","",IF(AND(COUNTIFS($J$18:J4321,J4321)=1,G4321&lt;&gt;""),1,""))</f>
        <v/>
      </c>
      <c r="AI4321" s="200">
        <f t="shared" si="1333"/>
        <v>0</v>
      </c>
      <c r="AJ4321" s="200">
        <f t="shared" si="1334"/>
        <v>0</v>
      </c>
      <c r="AK4321" s="201" t="str">
        <f t="shared" si="1335"/>
        <v/>
      </c>
      <c r="AL4321" s="24"/>
      <c r="AM4321" s="24"/>
      <c r="AN4321" s="24"/>
      <c r="AO4321" s="24"/>
      <c r="AP4321" s="165" t="str">
        <f t="shared" si="1336"/>
        <v/>
      </c>
      <c r="AQ4321" s="203" t="str">
        <f t="shared" si="1337"/>
        <v/>
      </c>
      <c r="AR4321" s="206">
        <f t="shared" si="1338"/>
        <v>0</v>
      </c>
      <c r="AS4321" s="22" t="str">
        <f t="shared" si="1339"/>
        <v/>
      </c>
      <c r="AT4321" s="24" t="str">
        <f t="shared" si="1340"/>
        <v/>
      </c>
      <c r="AU4321" s="22" t="s">
        <v>3240</v>
      </c>
    </row>
    <row r="4322" spans="1:47">
      <c r="A4322" s="246" t="str">
        <f t="shared" ref="A4322:A4385" si="1346">IF(C4322="cancel","cancel",IFERROR(IF(D4322="Q4","FY "&amp;RIGHT(B4322,2)-1&amp;"/"&amp;RIGHT(B4322,2),"FY "&amp;RIGHT(B4322,2)&amp;"/"&amp;RIGHT(B4322,2)+1),""))</f>
        <v/>
      </c>
      <c r="B4322" s="23"/>
      <c r="C4322" s="23"/>
      <c r="D4322" s="202" t="str">
        <f t="shared" ref="D4322:D4385" si="1347">IF(B4322="","",IF(AND(C4322&gt;=10,C4322&lt;=12),"Q3",IF(AND(C4322&gt;=1,C4322&lt;=3),"Q4",IF(AND(C4322&gt;=7,C4322&lt;=9),"Q2",IF(AND(C4322&gt;=4,C4322&lt;=6),"Q1")))))</f>
        <v/>
      </c>
      <c r="E4322" s="33" t="str">
        <f t="shared" si="1341"/>
        <v/>
      </c>
      <c r="F4322" s="23"/>
      <c r="G4322" s="23"/>
      <c r="H4322" s="29"/>
      <c r="I4322" s="204" t="str">
        <f t="shared" si="1344"/>
        <v/>
      </c>
      <c r="J4322" s="188"/>
      <c r="K4322" s="29"/>
      <c r="L4322" s="24"/>
      <c r="M4322" s="22"/>
      <c r="N4322" s="22"/>
      <c r="O4322" s="22"/>
      <c r="P4322" s="202" t="str">
        <f t="shared" si="1345"/>
        <v/>
      </c>
      <c r="Q4322" s="22"/>
      <c r="R4322" s="22"/>
      <c r="S4322" s="22"/>
      <c r="T4322" s="22"/>
      <c r="U4322" s="22"/>
      <c r="V4322" s="22"/>
      <c r="W4322" s="22"/>
      <c r="X4322" s="104"/>
      <c r="Y4322" s="195" t="str">
        <f t="shared" si="1342"/>
        <v/>
      </c>
      <c r="Z4322" s="196" t="str">
        <f t="shared" si="1343"/>
        <v/>
      </c>
      <c r="AA4322" s="22"/>
      <c r="AB4322" s="197" t="str">
        <f t="shared" ref="AB4322:AB4385" si="1348">IF(AND(R4322&lt;&gt;"C66",R4322&lt;&gt;""),Z4322/Y4322*AA4322,"")</f>
        <v/>
      </c>
      <c r="AC4322" s="198" t="str">
        <f t="shared" ref="AC4322:AC4385" si="1349">IF(R4322&lt;&gt;"",AB4322*AD4322,"")</f>
        <v/>
      </c>
      <c r="AD4322" s="162"/>
      <c r="AE4322" s="199" t="str">
        <f t="shared" ref="AE4322:AE4385" si="1350">IF(Q4322="","",IF(Q4322="Yes",1,0))</f>
        <v/>
      </c>
      <c r="AF4322" s="199" t="str">
        <f>IF(AND(COUNTIFS($J$18:J4322,J4322)=1,AE4322=1),1,"")</f>
        <v/>
      </c>
      <c r="AG4322" s="199" t="str">
        <f>IF(C4322="","",IF(AND(COUNTIFS($J$18:J4322,J4322)=1,C4322&lt;&gt;""),1,""))</f>
        <v/>
      </c>
      <c r="AH4322" s="199" t="str">
        <f>IF(G4322="","",IF(AND(COUNTIFS($J$18:J4322,J4322)=1,G4322&lt;&gt;""),1,""))</f>
        <v/>
      </c>
      <c r="AI4322" s="200">
        <f t="shared" ref="AI4322:AI4385" si="1351">IF(P4322="C66 SERVICE","",SUMIFS(AB:AB,F:F,F4322,G:G,G4322,E:E,E4322))</f>
        <v>0</v>
      </c>
      <c r="AJ4322" s="200">
        <f t="shared" ref="AJ4322:AJ4385" si="1352">IF(P4322="C66 SERVICE","",SUMIFS(AC:AC,F:F,F4322,G:G,G4322,E:E,E4322))</f>
        <v>0</v>
      </c>
      <c r="AK4322" s="201" t="str">
        <f t="shared" ref="AK4322:AK4385" si="1353">IF(AJ4322&gt;0,AJ4322/AI4322,"")</f>
        <v/>
      </c>
      <c r="AL4322" s="24"/>
      <c r="AM4322" s="24"/>
      <c r="AN4322" s="24"/>
      <c r="AO4322" s="24"/>
      <c r="AP4322" s="165" t="str">
        <f t="shared" ref="AP4322:AP4385" si="1354">IF(F4322="","",F4322&amp;G4322)</f>
        <v/>
      </c>
      <c r="AQ4322" s="203" t="str">
        <f t="shared" ref="AQ4322:AQ4385" si="1355">IF(W4322="","",F4322&amp;G4322&amp;W4322)</f>
        <v/>
      </c>
      <c r="AR4322" s="206">
        <f t="shared" ref="AR4322:AR4385" si="1356">IFERROR(IF(AND(M4322="YAMAHA", R4322="C28"), "YAMAHA_Non_Mounter", IF(AND(M4322="YAMAHA", R4322="C49"), "YAMAHA_Mounter", M4322)),"")</f>
        <v>0</v>
      </c>
      <c r="AS4322" s="22" t="str">
        <f t="shared" ref="AS4322:AS4385" si="1357">IFERROR(IF(OR(G4322="TBA", G4322=""), "", DATEDIF(DATE(B4322, C4322, 1), DATE(F4322, G4322, 1), "M")),"")</f>
        <v/>
      </c>
      <c r="AT4322" s="24" t="str">
        <f t="shared" ref="AT4322:AT4385" si="1358">IF(ISNUMBER(AS4322), IF(AS4322&gt;=0, IF(AS4322&lt;=3, "0-3 months", IF(AS4322&lt;=6, "4-6 months", "&gt; 6 months"))), "")</f>
        <v/>
      </c>
      <c r="AU4322" s="22" t="s">
        <v>3240</v>
      </c>
    </row>
    <row r="4323" spans="1:47">
      <c r="A4323" s="246" t="str">
        <f t="shared" si="1346"/>
        <v/>
      </c>
      <c r="B4323" s="23"/>
      <c r="C4323" s="23"/>
      <c r="D4323" s="202" t="str">
        <f t="shared" si="1347"/>
        <v/>
      </c>
      <c r="E4323" s="33" t="str">
        <f t="shared" si="1341"/>
        <v/>
      </c>
      <c r="F4323" s="23"/>
      <c r="G4323" s="23"/>
      <c r="H4323" s="29"/>
      <c r="I4323" s="204" t="str">
        <f t="shared" si="1344"/>
        <v/>
      </c>
      <c r="J4323" s="188"/>
      <c r="K4323" s="29"/>
      <c r="L4323" s="24"/>
      <c r="M4323" s="22"/>
      <c r="N4323" s="22"/>
      <c r="O4323" s="22"/>
      <c r="P4323" s="202" t="str">
        <f t="shared" si="1345"/>
        <v/>
      </c>
      <c r="Q4323" s="22"/>
      <c r="R4323" s="22"/>
      <c r="S4323" s="22"/>
      <c r="T4323" s="22"/>
      <c r="U4323" s="22"/>
      <c r="V4323" s="22"/>
      <c r="W4323" s="22"/>
      <c r="X4323" s="104"/>
      <c r="Y4323" s="195" t="str">
        <f t="shared" si="1342"/>
        <v/>
      </c>
      <c r="Z4323" s="196" t="str">
        <f t="shared" si="1343"/>
        <v/>
      </c>
      <c r="AA4323" s="22"/>
      <c r="AB4323" s="197" t="str">
        <f t="shared" si="1348"/>
        <v/>
      </c>
      <c r="AC4323" s="198" t="str">
        <f t="shared" si="1349"/>
        <v/>
      </c>
      <c r="AD4323" s="162"/>
      <c r="AE4323" s="199" t="str">
        <f t="shared" si="1350"/>
        <v/>
      </c>
      <c r="AF4323" s="199" t="str">
        <f>IF(AND(COUNTIFS($J$18:J4323,J4323)=1,AE4323=1),1,"")</f>
        <v/>
      </c>
      <c r="AG4323" s="199" t="str">
        <f>IF(C4323="","",IF(AND(COUNTIFS($J$18:J4323,J4323)=1,C4323&lt;&gt;""),1,""))</f>
        <v/>
      </c>
      <c r="AH4323" s="199" t="str">
        <f>IF(G4323="","",IF(AND(COUNTIFS($J$18:J4323,J4323)=1,G4323&lt;&gt;""),1,""))</f>
        <v/>
      </c>
      <c r="AI4323" s="200">
        <f t="shared" si="1351"/>
        <v>0</v>
      </c>
      <c r="AJ4323" s="200">
        <f t="shared" si="1352"/>
        <v>0</v>
      </c>
      <c r="AK4323" s="201" t="str">
        <f t="shared" si="1353"/>
        <v/>
      </c>
      <c r="AL4323" s="24"/>
      <c r="AM4323" s="24"/>
      <c r="AN4323" s="24"/>
      <c r="AO4323" s="24"/>
      <c r="AP4323" s="165" t="str">
        <f t="shared" si="1354"/>
        <v/>
      </c>
      <c r="AQ4323" s="203" t="str">
        <f t="shared" si="1355"/>
        <v/>
      </c>
      <c r="AR4323" s="206">
        <f t="shared" si="1356"/>
        <v>0</v>
      </c>
      <c r="AS4323" s="22" t="str">
        <f t="shared" si="1357"/>
        <v/>
      </c>
      <c r="AT4323" s="24" t="str">
        <f t="shared" si="1358"/>
        <v/>
      </c>
      <c r="AU4323" s="22" t="s">
        <v>3240</v>
      </c>
    </row>
    <row r="4324" spans="1:47">
      <c r="A4324" s="246" t="str">
        <f t="shared" si="1346"/>
        <v/>
      </c>
      <c r="B4324" s="23"/>
      <c r="C4324" s="23"/>
      <c r="D4324" s="202" t="str">
        <f t="shared" si="1347"/>
        <v/>
      </c>
      <c r="E4324" s="33" t="str">
        <f t="shared" si="1341"/>
        <v/>
      </c>
      <c r="F4324" s="23"/>
      <c r="G4324" s="23"/>
      <c r="H4324" s="29"/>
      <c r="I4324" s="204" t="str">
        <f t="shared" si="1344"/>
        <v/>
      </c>
      <c r="J4324" s="188"/>
      <c r="K4324" s="29"/>
      <c r="L4324" s="24"/>
      <c r="M4324" s="22"/>
      <c r="N4324" s="22"/>
      <c r="O4324" s="22"/>
      <c r="P4324" s="202" t="str">
        <f t="shared" si="1345"/>
        <v/>
      </c>
      <c r="Q4324" s="22"/>
      <c r="R4324" s="22"/>
      <c r="S4324" s="22"/>
      <c r="T4324" s="22"/>
      <c r="U4324" s="22"/>
      <c r="V4324" s="22"/>
      <c r="W4324" s="22"/>
      <c r="X4324" s="104"/>
      <c r="Y4324" s="195" t="str">
        <f t="shared" si="1342"/>
        <v/>
      </c>
      <c r="Z4324" s="196" t="str">
        <f t="shared" si="1343"/>
        <v/>
      </c>
      <c r="AA4324" s="22"/>
      <c r="AB4324" s="197" t="str">
        <f t="shared" si="1348"/>
        <v/>
      </c>
      <c r="AC4324" s="198" t="str">
        <f t="shared" si="1349"/>
        <v/>
      </c>
      <c r="AD4324" s="162"/>
      <c r="AE4324" s="199" t="str">
        <f t="shared" si="1350"/>
        <v/>
      </c>
      <c r="AF4324" s="199" t="str">
        <f>IF(AND(COUNTIFS($J$18:J4324,J4324)=1,AE4324=1),1,"")</f>
        <v/>
      </c>
      <c r="AG4324" s="199" t="str">
        <f>IF(C4324="","",IF(AND(COUNTIFS($J$18:J4324,J4324)=1,C4324&lt;&gt;""),1,""))</f>
        <v/>
      </c>
      <c r="AH4324" s="199" t="str">
        <f>IF(G4324="","",IF(AND(COUNTIFS($J$18:J4324,J4324)=1,G4324&lt;&gt;""),1,""))</f>
        <v/>
      </c>
      <c r="AI4324" s="200">
        <f t="shared" si="1351"/>
        <v>0</v>
      </c>
      <c r="AJ4324" s="200">
        <f t="shared" si="1352"/>
        <v>0</v>
      </c>
      <c r="AK4324" s="201" t="str">
        <f t="shared" si="1353"/>
        <v/>
      </c>
      <c r="AL4324" s="24"/>
      <c r="AM4324" s="24"/>
      <c r="AN4324" s="24"/>
      <c r="AO4324" s="24"/>
      <c r="AP4324" s="165" t="str">
        <f t="shared" si="1354"/>
        <v/>
      </c>
      <c r="AQ4324" s="203" t="str">
        <f t="shared" si="1355"/>
        <v/>
      </c>
      <c r="AR4324" s="206">
        <f t="shared" si="1356"/>
        <v>0</v>
      </c>
      <c r="AS4324" s="22" t="str">
        <f t="shared" si="1357"/>
        <v/>
      </c>
      <c r="AT4324" s="24" t="str">
        <f t="shared" si="1358"/>
        <v/>
      </c>
      <c r="AU4324" s="22" t="s">
        <v>3240</v>
      </c>
    </row>
    <row r="4325" spans="1:47">
      <c r="A4325" s="246" t="str">
        <f t="shared" si="1346"/>
        <v/>
      </c>
      <c r="B4325" s="23"/>
      <c r="C4325" s="23"/>
      <c r="D4325" s="202" t="str">
        <f t="shared" si="1347"/>
        <v/>
      </c>
      <c r="E4325" s="33" t="str">
        <f t="shared" si="1341"/>
        <v/>
      </c>
      <c r="F4325" s="23"/>
      <c r="G4325" s="23"/>
      <c r="H4325" s="29"/>
      <c r="I4325" s="204" t="str">
        <f t="shared" si="1344"/>
        <v/>
      </c>
      <c r="J4325" s="188"/>
      <c r="K4325" s="29"/>
      <c r="L4325" s="24"/>
      <c r="M4325" s="22"/>
      <c r="N4325" s="22"/>
      <c r="O4325" s="22"/>
      <c r="P4325" s="202" t="str">
        <f t="shared" si="1345"/>
        <v/>
      </c>
      <c r="Q4325" s="22"/>
      <c r="R4325" s="22"/>
      <c r="S4325" s="22"/>
      <c r="T4325" s="22"/>
      <c r="U4325" s="22"/>
      <c r="V4325" s="22"/>
      <c r="W4325" s="22"/>
      <c r="X4325" s="104"/>
      <c r="Y4325" s="195" t="str">
        <f t="shared" si="1342"/>
        <v/>
      </c>
      <c r="Z4325" s="196" t="str">
        <f t="shared" si="1343"/>
        <v/>
      </c>
      <c r="AA4325" s="22"/>
      <c r="AB4325" s="197" t="str">
        <f t="shared" si="1348"/>
        <v/>
      </c>
      <c r="AC4325" s="198" t="str">
        <f t="shared" si="1349"/>
        <v/>
      </c>
      <c r="AD4325" s="162"/>
      <c r="AE4325" s="199" t="str">
        <f t="shared" si="1350"/>
        <v/>
      </c>
      <c r="AF4325" s="199" t="str">
        <f>IF(AND(COUNTIFS($J$18:J4325,J4325)=1,AE4325=1),1,"")</f>
        <v/>
      </c>
      <c r="AG4325" s="199" t="str">
        <f>IF(C4325="","",IF(AND(COUNTIFS($J$18:J4325,J4325)=1,C4325&lt;&gt;""),1,""))</f>
        <v/>
      </c>
      <c r="AH4325" s="199" t="str">
        <f>IF(G4325="","",IF(AND(COUNTIFS($J$18:J4325,J4325)=1,G4325&lt;&gt;""),1,""))</f>
        <v/>
      </c>
      <c r="AI4325" s="200">
        <f t="shared" si="1351"/>
        <v>0</v>
      </c>
      <c r="AJ4325" s="200">
        <f t="shared" si="1352"/>
        <v>0</v>
      </c>
      <c r="AK4325" s="201" t="str">
        <f t="shared" si="1353"/>
        <v/>
      </c>
      <c r="AL4325" s="24"/>
      <c r="AM4325" s="24"/>
      <c r="AN4325" s="24"/>
      <c r="AO4325" s="24"/>
      <c r="AP4325" s="165" t="str">
        <f t="shared" si="1354"/>
        <v/>
      </c>
      <c r="AQ4325" s="203" t="str">
        <f t="shared" si="1355"/>
        <v/>
      </c>
      <c r="AR4325" s="206">
        <f t="shared" si="1356"/>
        <v>0</v>
      </c>
      <c r="AS4325" s="22" t="str">
        <f t="shared" si="1357"/>
        <v/>
      </c>
      <c r="AT4325" s="24" t="str">
        <f t="shared" si="1358"/>
        <v/>
      </c>
      <c r="AU4325" s="22" t="s">
        <v>3240</v>
      </c>
    </row>
    <row r="4326" spans="1:47">
      <c r="A4326" s="246" t="str">
        <f t="shared" si="1346"/>
        <v/>
      </c>
      <c r="B4326" s="23"/>
      <c r="C4326" s="23"/>
      <c r="D4326" s="202" t="str">
        <f t="shared" si="1347"/>
        <v/>
      </c>
      <c r="E4326" s="33" t="str">
        <f t="shared" si="1341"/>
        <v/>
      </c>
      <c r="F4326" s="23"/>
      <c r="G4326" s="23"/>
      <c r="H4326" s="29"/>
      <c r="I4326" s="204" t="str">
        <f t="shared" si="1344"/>
        <v/>
      </c>
      <c r="J4326" s="188"/>
      <c r="K4326" s="29"/>
      <c r="L4326" s="24"/>
      <c r="M4326" s="22"/>
      <c r="N4326" s="22"/>
      <c r="O4326" s="22"/>
      <c r="P4326" s="202" t="str">
        <f t="shared" si="1345"/>
        <v/>
      </c>
      <c r="Q4326" s="22"/>
      <c r="R4326" s="22"/>
      <c r="S4326" s="22"/>
      <c r="T4326" s="22"/>
      <c r="U4326" s="22"/>
      <c r="V4326" s="22"/>
      <c r="W4326" s="22"/>
      <c r="X4326" s="104"/>
      <c r="Y4326" s="195" t="str">
        <f t="shared" si="1342"/>
        <v/>
      </c>
      <c r="Z4326" s="196" t="str">
        <f t="shared" si="1343"/>
        <v/>
      </c>
      <c r="AA4326" s="22"/>
      <c r="AB4326" s="197" t="str">
        <f t="shared" si="1348"/>
        <v/>
      </c>
      <c r="AC4326" s="198" t="str">
        <f t="shared" si="1349"/>
        <v/>
      </c>
      <c r="AD4326" s="162"/>
      <c r="AE4326" s="199" t="str">
        <f t="shared" si="1350"/>
        <v/>
      </c>
      <c r="AF4326" s="199" t="str">
        <f>IF(AND(COUNTIFS($J$18:J4326,J4326)=1,AE4326=1),1,"")</f>
        <v/>
      </c>
      <c r="AG4326" s="199" t="str">
        <f>IF(C4326="","",IF(AND(COUNTIFS($J$18:J4326,J4326)=1,C4326&lt;&gt;""),1,""))</f>
        <v/>
      </c>
      <c r="AH4326" s="199" t="str">
        <f>IF(G4326="","",IF(AND(COUNTIFS($J$18:J4326,J4326)=1,G4326&lt;&gt;""),1,""))</f>
        <v/>
      </c>
      <c r="AI4326" s="200">
        <f t="shared" si="1351"/>
        <v>0</v>
      </c>
      <c r="AJ4326" s="200">
        <f t="shared" si="1352"/>
        <v>0</v>
      </c>
      <c r="AK4326" s="201" t="str">
        <f t="shared" si="1353"/>
        <v/>
      </c>
      <c r="AL4326" s="24"/>
      <c r="AM4326" s="24"/>
      <c r="AN4326" s="24"/>
      <c r="AO4326" s="24"/>
      <c r="AP4326" s="165" t="str">
        <f t="shared" si="1354"/>
        <v/>
      </c>
      <c r="AQ4326" s="203" t="str">
        <f t="shared" si="1355"/>
        <v/>
      </c>
      <c r="AR4326" s="206">
        <f t="shared" si="1356"/>
        <v>0</v>
      </c>
      <c r="AS4326" s="22" t="str">
        <f t="shared" si="1357"/>
        <v/>
      </c>
      <c r="AT4326" s="24" t="str">
        <f t="shared" si="1358"/>
        <v/>
      </c>
      <c r="AU4326" s="22" t="s">
        <v>3240</v>
      </c>
    </row>
    <row r="4327" spans="1:47">
      <c r="A4327" s="246" t="str">
        <f t="shared" si="1346"/>
        <v/>
      </c>
      <c r="B4327" s="23"/>
      <c r="C4327" s="23"/>
      <c r="D4327" s="202" t="str">
        <f t="shared" si="1347"/>
        <v/>
      </c>
      <c r="E4327" s="33" t="str">
        <f t="shared" si="1341"/>
        <v/>
      </c>
      <c r="F4327" s="23"/>
      <c r="G4327" s="23"/>
      <c r="H4327" s="29"/>
      <c r="I4327" s="204" t="str">
        <f t="shared" si="1344"/>
        <v/>
      </c>
      <c r="J4327" s="188"/>
      <c r="K4327" s="29"/>
      <c r="L4327" s="24"/>
      <c r="M4327" s="22"/>
      <c r="N4327" s="22"/>
      <c r="O4327" s="22"/>
      <c r="P4327" s="202" t="str">
        <f t="shared" si="1345"/>
        <v/>
      </c>
      <c r="Q4327" s="22"/>
      <c r="R4327" s="22"/>
      <c r="S4327" s="22"/>
      <c r="T4327" s="22"/>
      <c r="U4327" s="22"/>
      <c r="V4327" s="22"/>
      <c r="W4327" s="22"/>
      <c r="X4327" s="104"/>
      <c r="Y4327" s="195" t="str">
        <f t="shared" si="1342"/>
        <v/>
      </c>
      <c r="Z4327" s="196" t="str">
        <f t="shared" si="1343"/>
        <v/>
      </c>
      <c r="AA4327" s="22"/>
      <c r="AB4327" s="197" t="str">
        <f t="shared" si="1348"/>
        <v/>
      </c>
      <c r="AC4327" s="198" t="str">
        <f t="shared" si="1349"/>
        <v/>
      </c>
      <c r="AD4327" s="162"/>
      <c r="AE4327" s="199" t="str">
        <f t="shared" si="1350"/>
        <v/>
      </c>
      <c r="AF4327" s="199" t="str">
        <f>IF(AND(COUNTIFS($J$18:J4327,J4327)=1,AE4327=1),1,"")</f>
        <v/>
      </c>
      <c r="AG4327" s="199" t="str">
        <f>IF(C4327="","",IF(AND(COUNTIFS($J$18:J4327,J4327)=1,C4327&lt;&gt;""),1,""))</f>
        <v/>
      </c>
      <c r="AH4327" s="199" t="str">
        <f>IF(G4327="","",IF(AND(COUNTIFS($J$18:J4327,J4327)=1,G4327&lt;&gt;""),1,""))</f>
        <v/>
      </c>
      <c r="AI4327" s="200">
        <f t="shared" si="1351"/>
        <v>0</v>
      </c>
      <c r="AJ4327" s="200">
        <f t="shared" si="1352"/>
        <v>0</v>
      </c>
      <c r="AK4327" s="201" t="str">
        <f t="shared" si="1353"/>
        <v/>
      </c>
      <c r="AL4327" s="24"/>
      <c r="AM4327" s="24"/>
      <c r="AN4327" s="24"/>
      <c r="AO4327" s="24"/>
      <c r="AP4327" s="165" t="str">
        <f t="shared" si="1354"/>
        <v/>
      </c>
      <c r="AQ4327" s="203" t="str">
        <f t="shared" si="1355"/>
        <v/>
      </c>
      <c r="AR4327" s="206">
        <f t="shared" si="1356"/>
        <v>0</v>
      </c>
      <c r="AS4327" s="22" t="str">
        <f t="shared" si="1357"/>
        <v/>
      </c>
      <c r="AT4327" s="24" t="str">
        <f t="shared" si="1358"/>
        <v/>
      </c>
      <c r="AU4327" s="22" t="s">
        <v>3240</v>
      </c>
    </row>
    <row r="4328" spans="1:47">
      <c r="A4328" s="246" t="str">
        <f t="shared" si="1346"/>
        <v/>
      </c>
      <c r="B4328" s="23"/>
      <c r="C4328" s="23"/>
      <c r="D4328" s="202" t="str">
        <f t="shared" si="1347"/>
        <v/>
      </c>
      <c r="E4328" s="33" t="str">
        <f t="shared" si="1341"/>
        <v/>
      </c>
      <c r="F4328" s="23"/>
      <c r="G4328" s="23"/>
      <c r="H4328" s="29"/>
      <c r="I4328" s="204" t="str">
        <f t="shared" si="1344"/>
        <v/>
      </c>
      <c r="J4328" s="188"/>
      <c r="K4328" s="29"/>
      <c r="L4328" s="24"/>
      <c r="M4328" s="22"/>
      <c r="N4328" s="22"/>
      <c r="O4328" s="22"/>
      <c r="P4328" s="202" t="str">
        <f t="shared" si="1345"/>
        <v/>
      </c>
      <c r="Q4328" s="22"/>
      <c r="R4328" s="22"/>
      <c r="S4328" s="22"/>
      <c r="T4328" s="22"/>
      <c r="U4328" s="22"/>
      <c r="V4328" s="22"/>
      <c r="W4328" s="22"/>
      <c r="X4328" s="104"/>
      <c r="Y4328" s="195" t="str">
        <f t="shared" si="1342"/>
        <v/>
      </c>
      <c r="Z4328" s="196" t="str">
        <f t="shared" si="1343"/>
        <v/>
      </c>
      <c r="AA4328" s="22"/>
      <c r="AB4328" s="197" t="str">
        <f t="shared" si="1348"/>
        <v/>
      </c>
      <c r="AC4328" s="198" t="str">
        <f t="shared" si="1349"/>
        <v/>
      </c>
      <c r="AD4328" s="162"/>
      <c r="AE4328" s="199" t="str">
        <f t="shared" si="1350"/>
        <v/>
      </c>
      <c r="AF4328" s="199" t="str">
        <f>IF(AND(COUNTIFS($J$18:J4328,J4328)=1,AE4328=1),1,"")</f>
        <v/>
      </c>
      <c r="AG4328" s="199" t="str">
        <f>IF(C4328="","",IF(AND(COUNTIFS($J$18:J4328,J4328)=1,C4328&lt;&gt;""),1,""))</f>
        <v/>
      </c>
      <c r="AH4328" s="199" t="str">
        <f>IF(G4328="","",IF(AND(COUNTIFS($J$18:J4328,J4328)=1,G4328&lt;&gt;""),1,""))</f>
        <v/>
      </c>
      <c r="AI4328" s="200">
        <f t="shared" si="1351"/>
        <v>0</v>
      </c>
      <c r="AJ4328" s="200">
        <f t="shared" si="1352"/>
        <v>0</v>
      </c>
      <c r="AK4328" s="201" t="str">
        <f t="shared" si="1353"/>
        <v/>
      </c>
      <c r="AL4328" s="24"/>
      <c r="AM4328" s="24"/>
      <c r="AN4328" s="24"/>
      <c r="AO4328" s="24"/>
      <c r="AP4328" s="165" t="str">
        <f t="shared" si="1354"/>
        <v/>
      </c>
      <c r="AQ4328" s="203" t="str">
        <f t="shared" si="1355"/>
        <v/>
      </c>
      <c r="AR4328" s="206">
        <f t="shared" si="1356"/>
        <v>0</v>
      </c>
      <c r="AS4328" s="22" t="str">
        <f t="shared" si="1357"/>
        <v/>
      </c>
      <c r="AT4328" s="24" t="str">
        <f t="shared" si="1358"/>
        <v/>
      </c>
      <c r="AU4328" s="22" t="s">
        <v>3240</v>
      </c>
    </row>
    <row r="4329" spans="1:47">
      <c r="A4329" s="246" t="str">
        <f t="shared" si="1346"/>
        <v/>
      </c>
      <c r="B4329" s="23"/>
      <c r="C4329" s="23"/>
      <c r="D4329" s="202" t="str">
        <f t="shared" si="1347"/>
        <v/>
      </c>
      <c r="E4329" s="33" t="str">
        <f t="shared" si="1341"/>
        <v/>
      </c>
      <c r="F4329" s="23"/>
      <c r="G4329" s="23"/>
      <c r="H4329" s="29"/>
      <c r="I4329" s="204" t="str">
        <f t="shared" si="1344"/>
        <v/>
      </c>
      <c r="J4329" s="188"/>
      <c r="K4329" s="29"/>
      <c r="L4329" s="24"/>
      <c r="M4329" s="22"/>
      <c r="N4329" s="22"/>
      <c r="O4329" s="22"/>
      <c r="P4329" s="202" t="str">
        <f t="shared" si="1345"/>
        <v/>
      </c>
      <c r="Q4329" s="22"/>
      <c r="R4329" s="22"/>
      <c r="S4329" s="22"/>
      <c r="T4329" s="22"/>
      <c r="U4329" s="22"/>
      <c r="V4329" s="22"/>
      <c r="W4329" s="22"/>
      <c r="X4329" s="104"/>
      <c r="Y4329" s="195" t="str">
        <f t="shared" si="1342"/>
        <v/>
      </c>
      <c r="Z4329" s="196" t="str">
        <f t="shared" si="1343"/>
        <v/>
      </c>
      <c r="AA4329" s="22"/>
      <c r="AB4329" s="197" t="str">
        <f t="shared" si="1348"/>
        <v/>
      </c>
      <c r="AC4329" s="198" t="str">
        <f t="shared" si="1349"/>
        <v/>
      </c>
      <c r="AD4329" s="162"/>
      <c r="AE4329" s="199" t="str">
        <f t="shared" si="1350"/>
        <v/>
      </c>
      <c r="AF4329" s="199" t="str">
        <f>IF(AND(COUNTIFS($J$18:J4329,J4329)=1,AE4329=1),1,"")</f>
        <v/>
      </c>
      <c r="AG4329" s="199" t="str">
        <f>IF(C4329="","",IF(AND(COUNTIFS($J$18:J4329,J4329)=1,C4329&lt;&gt;""),1,""))</f>
        <v/>
      </c>
      <c r="AH4329" s="199" t="str">
        <f>IF(G4329="","",IF(AND(COUNTIFS($J$18:J4329,J4329)=1,G4329&lt;&gt;""),1,""))</f>
        <v/>
      </c>
      <c r="AI4329" s="200">
        <f t="shared" si="1351"/>
        <v>0</v>
      </c>
      <c r="AJ4329" s="200">
        <f t="shared" si="1352"/>
        <v>0</v>
      </c>
      <c r="AK4329" s="201" t="str">
        <f t="shared" si="1353"/>
        <v/>
      </c>
      <c r="AL4329" s="24"/>
      <c r="AM4329" s="24"/>
      <c r="AN4329" s="24"/>
      <c r="AO4329" s="24"/>
      <c r="AP4329" s="165" t="str">
        <f t="shared" si="1354"/>
        <v/>
      </c>
      <c r="AQ4329" s="203" t="str">
        <f t="shared" si="1355"/>
        <v/>
      </c>
      <c r="AR4329" s="206">
        <f t="shared" si="1356"/>
        <v>0</v>
      </c>
      <c r="AS4329" s="22" t="str">
        <f t="shared" si="1357"/>
        <v/>
      </c>
      <c r="AT4329" s="24" t="str">
        <f t="shared" si="1358"/>
        <v/>
      </c>
      <c r="AU4329" s="22" t="s">
        <v>3240</v>
      </c>
    </row>
    <row r="4330" spans="1:47">
      <c r="A4330" s="246" t="str">
        <f t="shared" si="1346"/>
        <v/>
      </c>
      <c r="B4330" s="23"/>
      <c r="C4330" s="23"/>
      <c r="D4330" s="202" t="str">
        <f t="shared" si="1347"/>
        <v/>
      </c>
      <c r="E4330" s="33" t="str">
        <f t="shared" si="1341"/>
        <v/>
      </c>
      <c r="F4330" s="23"/>
      <c r="G4330" s="23"/>
      <c r="H4330" s="29"/>
      <c r="I4330" s="204" t="str">
        <f t="shared" si="1344"/>
        <v/>
      </c>
      <c r="J4330" s="188"/>
      <c r="K4330" s="29"/>
      <c r="L4330" s="24"/>
      <c r="M4330" s="22"/>
      <c r="N4330" s="22"/>
      <c r="O4330" s="22"/>
      <c r="P4330" s="202" t="str">
        <f t="shared" si="1345"/>
        <v/>
      </c>
      <c r="Q4330" s="22"/>
      <c r="R4330" s="22"/>
      <c r="S4330" s="22"/>
      <c r="T4330" s="22"/>
      <c r="U4330" s="22"/>
      <c r="V4330" s="22"/>
      <c r="W4330" s="22"/>
      <c r="X4330" s="104"/>
      <c r="Y4330" s="195" t="str">
        <f t="shared" si="1342"/>
        <v/>
      </c>
      <c r="Z4330" s="196" t="str">
        <f t="shared" si="1343"/>
        <v/>
      </c>
      <c r="AA4330" s="22"/>
      <c r="AB4330" s="197" t="str">
        <f t="shared" si="1348"/>
        <v/>
      </c>
      <c r="AC4330" s="198" t="str">
        <f t="shared" si="1349"/>
        <v/>
      </c>
      <c r="AD4330" s="162"/>
      <c r="AE4330" s="199" t="str">
        <f t="shared" si="1350"/>
        <v/>
      </c>
      <c r="AF4330" s="199" t="str">
        <f>IF(AND(COUNTIFS($J$18:J4330,J4330)=1,AE4330=1),1,"")</f>
        <v/>
      </c>
      <c r="AG4330" s="199" t="str">
        <f>IF(C4330="","",IF(AND(COUNTIFS($J$18:J4330,J4330)=1,C4330&lt;&gt;""),1,""))</f>
        <v/>
      </c>
      <c r="AH4330" s="199" t="str">
        <f>IF(G4330="","",IF(AND(COUNTIFS($J$18:J4330,J4330)=1,G4330&lt;&gt;""),1,""))</f>
        <v/>
      </c>
      <c r="AI4330" s="200">
        <f t="shared" si="1351"/>
        <v>0</v>
      </c>
      <c r="AJ4330" s="200">
        <f t="shared" si="1352"/>
        <v>0</v>
      </c>
      <c r="AK4330" s="201" t="str">
        <f t="shared" si="1353"/>
        <v/>
      </c>
      <c r="AL4330" s="24"/>
      <c r="AM4330" s="24"/>
      <c r="AN4330" s="24"/>
      <c r="AO4330" s="24"/>
      <c r="AP4330" s="165" t="str">
        <f t="shared" si="1354"/>
        <v/>
      </c>
      <c r="AQ4330" s="203" t="str">
        <f t="shared" si="1355"/>
        <v/>
      </c>
      <c r="AR4330" s="206">
        <f t="shared" si="1356"/>
        <v>0</v>
      </c>
      <c r="AS4330" s="22" t="str">
        <f t="shared" si="1357"/>
        <v/>
      </c>
      <c r="AT4330" s="24" t="str">
        <f t="shared" si="1358"/>
        <v/>
      </c>
      <c r="AU4330" s="22" t="s">
        <v>3240</v>
      </c>
    </row>
    <row r="4331" spans="1:47">
      <c r="A4331" s="246" t="str">
        <f t="shared" si="1346"/>
        <v/>
      </c>
      <c r="B4331" s="23"/>
      <c r="C4331" s="23"/>
      <c r="D4331" s="202" t="str">
        <f t="shared" si="1347"/>
        <v/>
      </c>
      <c r="E4331" s="33" t="str">
        <f t="shared" si="1341"/>
        <v/>
      </c>
      <c r="F4331" s="23"/>
      <c r="G4331" s="23"/>
      <c r="H4331" s="29"/>
      <c r="I4331" s="204" t="str">
        <f t="shared" si="1344"/>
        <v/>
      </c>
      <c r="J4331" s="188"/>
      <c r="K4331" s="29"/>
      <c r="L4331" s="24"/>
      <c r="M4331" s="22"/>
      <c r="N4331" s="22"/>
      <c r="O4331" s="22"/>
      <c r="P4331" s="202" t="str">
        <f t="shared" si="1345"/>
        <v/>
      </c>
      <c r="Q4331" s="22"/>
      <c r="R4331" s="22"/>
      <c r="S4331" s="22"/>
      <c r="T4331" s="22"/>
      <c r="U4331" s="22"/>
      <c r="V4331" s="22"/>
      <c r="W4331" s="22"/>
      <c r="X4331" s="104"/>
      <c r="Y4331" s="195" t="str">
        <f t="shared" si="1342"/>
        <v/>
      </c>
      <c r="Z4331" s="196" t="str">
        <f t="shared" si="1343"/>
        <v/>
      </c>
      <c r="AA4331" s="22"/>
      <c r="AB4331" s="197" t="str">
        <f t="shared" si="1348"/>
        <v/>
      </c>
      <c r="AC4331" s="198" t="str">
        <f t="shared" si="1349"/>
        <v/>
      </c>
      <c r="AD4331" s="162"/>
      <c r="AE4331" s="199" t="str">
        <f t="shared" si="1350"/>
        <v/>
      </c>
      <c r="AF4331" s="199" t="str">
        <f>IF(AND(COUNTIFS($J$18:J4331,J4331)=1,AE4331=1),1,"")</f>
        <v/>
      </c>
      <c r="AG4331" s="199" t="str">
        <f>IF(C4331="","",IF(AND(COUNTIFS($J$18:J4331,J4331)=1,C4331&lt;&gt;""),1,""))</f>
        <v/>
      </c>
      <c r="AH4331" s="199" t="str">
        <f>IF(G4331="","",IF(AND(COUNTIFS($J$18:J4331,J4331)=1,G4331&lt;&gt;""),1,""))</f>
        <v/>
      </c>
      <c r="AI4331" s="200">
        <f t="shared" si="1351"/>
        <v>0</v>
      </c>
      <c r="AJ4331" s="200">
        <f t="shared" si="1352"/>
        <v>0</v>
      </c>
      <c r="AK4331" s="201" t="str">
        <f t="shared" si="1353"/>
        <v/>
      </c>
      <c r="AL4331" s="24"/>
      <c r="AM4331" s="24"/>
      <c r="AN4331" s="24"/>
      <c r="AO4331" s="24"/>
      <c r="AP4331" s="165" t="str">
        <f t="shared" si="1354"/>
        <v/>
      </c>
      <c r="AQ4331" s="203" t="str">
        <f t="shared" si="1355"/>
        <v/>
      </c>
      <c r="AR4331" s="206">
        <f t="shared" si="1356"/>
        <v>0</v>
      </c>
      <c r="AS4331" s="22" t="str">
        <f t="shared" si="1357"/>
        <v/>
      </c>
      <c r="AT4331" s="24" t="str">
        <f t="shared" si="1358"/>
        <v/>
      </c>
      <c r="AU4331" s="22" t="s">
        <v>3240</v>
      </c>
    </row>
    <row r="4332" spans="1:47">
      <c r="A4332" s="246" t="str">
        <f t="shared" si="1346"/>
        <v/>
      </c>
      <c r="B4332" s="23"/>
      <c r="C4332" s="23"/>
      <c r="D4332" s="202" t="str">
        <f t="shared" si="1347"/>
        <v/>
      </c>
      <c r="E4332" s="33" t="str">
        <f t="shared" si="1341"/>
        <v/>
      </c>
      <c r="F4332" s="23"/>
      <c r="G4332" s="23"/>
      <c r="H4332" s="29"/>
      <c r="I4332" s="204" t="str">
        <f t="shared" si="1344"/>
        <v/>
      </c>
      <c r="J4332" s="188"/>
      <c r="K4332" s="29"/>
      <c r="L4332" s="24"/>
      <c r="M4332" s="22"/>
      <c r="N4332" s="22"/>
      <c r="O4332" s="22"/>
      <c r="P4332" s="202" t="str">
        <f t="shared" si="1345"/>
        <v/>
      </c>
      <c r="Q4332" s="22"/>
      <c r="R4332" s="22"/>
      <c r="S4332" s="22"/>
      <c r="T4332" s="22"/>
      <c r="U4332" s="22"/>
      <c r="V4332" s="22"/>
      <c r="W4332" s="22"/>
      <c r="X4332" s="104"/>
      <c r="Y4332" s="195" t="str">
        <f t="shared" si="1342"/>
        <v/>
      </c>
      <c r="Z4332" s="196" t="str">
        <f t="shared" si="1343"/>
        <v/>
      </c>
      <c r="AA4332" s="22"/>
      <c r="AB4332" s="197" t="str">
        <f t="shared" si="1348"/>
        <v/>
      </c>
      <c r="AC4332" s="198" t="str">
        <f t="shared" si="1349"/>
        <v/>
      </c>
      <c r="AD4332" s="162"/>
      <c r="AE4332" s="199" t="str">
        <f t="shared" si="1350"/>
        <v/>
      </c>
      <c r="AF4332" s="199" t="str">
        <f>IF(AND(COUNTIFS($J$18:J4332,J4332)=1,AE4332=1),1,"")</f>
        <v/>
      </c>
      <c r="AG4332" s="199" t="str">
        <f>IF(C4332="","",IF(AND(COUNTIFS($J$18:J4332,J4332)=1,C4332&lt;&gt;""),1,""))</f>
        <v/>
      </c>
      <c r="AH4332" s="199" t="str">
        <f>IF(G4332="","",IF(AND(COUNTIFS($J$18:J4332,J4332)=1,G4332&lt;&gt;""),1,""))</f>
        <v/>
      </c>
      <c r="AI4332" s="200">
        <f t="shared" si="1351"/>
        <v>0</v>
      </c>
      <c r="AJ4332" s="200">
        <f t="shared" si="1352"/>
        <v>0</v>
      </c>
      <c r="AK4332" s="201" t="str">
        <f t="shared" si="1353"/>
        <v/>
      </c>
      <c r="AL4332" s="24"/>
      <c r="AM4332" s="24"/>
      <c r="AN4332" s="24"/>
      <c r="AO4332" s="24"/>
      <c r="AP4332" s="165" t="str">
        <f t="shared" si="1354"/>
        <v/>
      </c>
      <c r="AQ4332" s="203" t="str">
        <f t="shared" si="1355"/>
        <v/>
      </c>
      <c r="AR4332" s="206">
        <f t="shared" si="1356"/>
        <v>0</v>
      </c>
      <c r="AS4332" s="22" t="str">
        <f t="shared" si="1357"/>
        <v/>
      </c>
      <c r="AT4332" s="24" t="str">
        <f t="shared" si="1358"/>
        <v/>
      </c>
      <c r="AU4332" s="22" t="s">
        <v>3240</v>
      </c>
    </row>
    <row r="4333" spans="1:47">
      <c r="A4333" s="246" t="str">
        <f t="shared" si="1346"/>
        <v/>
      </c>
      <c r="B4333" s="23"/>
      <c r="C4333" s="23"/>
      <c r="D4333" s="202" t="str">
        <f t="shared" si="1347"/>
        <v/>
      </c>
      <c r="E4333" s="33" t="str">
        <f t="shared" si="1341"/>
        <v/>
      </c>
      <c r="F4333" s="23"/>
      <c r="G4333" s="23"/>
      <c r="H4333" s="29"/>
      <c r="I4333" s="204" t="str">
        <f t="shared" si="1344"/>
        <v/>
      </c>
      <c r="J4333" s="188"/>
      <c r="K4333" s="29"/>
      <c r="L4333" s="24"/>
      <c r="M4333" s="22"/>
      <c r="N4333" s="22"/>
      <c r="O4333" s="22"/>
      <c r="P4333" s="202" t="str">
        <f t="shared" si="1345"/>
        <v/>
      </c>
      <c r="Q4333" s="22"/>
      <c r="R4333" s="22"/>
      <c r="S4333" s="22"/>
      <c r="T4333" s="22"/>
      <c r="U4333" s="22"/>
      <c r="V4333" s="22"/>
      <c r="W4333" s="22"/>
      <c r="X4333" s="104"/>
      <c r="Y4333" s="195" t="str">
        <f t="shared" si="1342"/>
        <v/>
      </c>
      <c r="Z4333" s="196" t="str">
        <f t="shared" si="1343"/>
        <v/>
      </c>
      <c r="AA4333" s="22"/>
      <c r="AB4333" s="197" t="str">
        <f t="shared" si="1348"/>
        <v/>
      </c>
      <c r="AC4333" s="198" t="str">
        <f t="shared" si="1349"/>
        <v/>
      </c>
      <c r="AD4333" s="162"/>
      <c r="AE4333" s="199" t="str">
        <f t="shared" si="1350"/>
        <v/>
      </c>
      <c r="AF4333" s="199" t="str">
        <f>IF(AND(COUNTIFS($J$18:J4333,J4333)=1,AE4333=1),1,"")</f>
        <v/>
      </c>
      <c r="AG4333" s="199" t="str">
        <f>IF(C4333="","",IF(AND(COUNTIFS($J$18:J4333,J4333)=1,C4333&lt;&gt;""),1,""))</f>
        <v/>
      </c>
      <c r="AH4333" s="199" t="str">
        <f>IF(G4333="","",IF(AND(COUNTIFS($J$18:J4333,J4333)=1,G4333&lt;&gt;""),1,""))</f>
        <v/>
      </c>
      <c r="AI4333" s="200">
        <f t="shared" si="1351"/>
        <v>0</v>
      </c>
      <c r="AJ4333" s="200">
        <f t="shared" si="1352"/>
        <v>0</v>
      </c>
      <c r="AK4333" s="201" t="str">
        <f t="shared" si="1353"/>
        <v/>
      </c>
      <c r="AL4333" s="24"/>
      <c r="AM4333" s="24"/>
      <c r="AN4333" s="24"/>
      <c r="AO4333" s="24"/>
      <c r="AP4333" s="165" t="str">
        <f t="shared" si="1354"/>
        <v/>
      </c>
      <c r="AQ4333" s="203" t="str">
        <f t="shared" si="1355"/>
        <v/>
      </c>
      <c r="AR4333" s="206">
        <f t="shared" si="1356"/>
        <v>0</v>
      </c>
      <c r="AS4333" s="22" t="str">
        <f t="shared" si="1357"/>
        <v/>
      </c>
      <c r="AT4333" s="24" t="str">
        <f t="shared" si="1358"/>
        <v/>
      </c>
      <c r="AU4333" s="22" t="s">
        <v>3240</v>
      </c>
    </row>
    <row r="4334" spans="1:47">
      <c r="A4334" s="246" t="str">
        <f t="shared" si="1346"/>
        <v/>
      </c>
      <c r="B4334" s="23"/>
      <c r="C4334" s="23"/>
      <c r="D4334" s="202" t="str">
        <f t="shared" si="1347"/>
        <v/>
      </c>
      <c r="E4334" s="33" t="str">
        <f t="shared" si="1341"/>
        <v/>
      </c>
      <c r="F4334" s="23"/>
      <c r="G4334" s="23"/>
      <c r="H4334" s="29"/>
      <c r="I4334" s="204" t="str">
        <f t="shared" si="1344"/>
        <v/>
      </c>
      <c r="J4334" s="188"/>
      <c r="K4334" s="29"/>
      <c r="L4334" s="24"/>
      <c r="M4334" s="22"/>
      <c r="N4334" s="22"/>
      <c r="O4334" s="22"/>
      <c r="P4334" s="202" t="str">
        <f t="shared" si="1345"/>
        <v/>
      </c>
      <c r="Q4334" s="22"/>
      <c r="R4334" s="22"/>
      <c r="S4334" s="22"/>
      <c r="T4334" s="22"/>
      <c r="U4334" s="22"/>
      <c r="V4334" s="22"/>
      <c r="W4334" s="22"/>
      <c r="X4334" s="104"/>
      <c r="Y4334" s="195" t="str">
        <f t="shared" si="1342"/>
        <v/>
      </c>
      <c r="Z4334" s="196" t="str">
        <f t="shared" si="1343"/>
        <v/>
      </c>
      <c r="AA4334" s="22"/>
      <c r="AB4334" s="197" t="str">
        <f t="shared" si="1348"/>
        <v/>
      </c>
      <c r="AC4334" s="198" t="str">
        <f t="shared" si="1349"/>
        <v/>
      </c>
      <c r="AD4334" s="162"/>
      <c r="AE4334" s="199" t="str">
        <f t="shared" si="1350"/>
        <v/>
      </c>
      <c r="AF4334" s="199" t="str">
        <f>IF(AND(COUNTIFS($J$18:J4334,J4334)=1,AE4334=1),1,"")</f>
        <v/>
      </c>
      <c r="AG4334" s="199" t="str">
        <f>IF(C4334="","",IF(AND(COUNTIFS($J$18:J4334,J4334)=1,C4334&lt;&gt;""),1,""))</f>
        <v/>
      </c>
      <c r="AH4334" s="199" t="str">
        <f>IF(G4334="","",IF(AND(COUNTIFS($J$18:J4334,J4334)=1,G4334&lt;&gt;""),1,""))</f>
        <v/>
      </c>
      <c r="AI4334" s="200">
        <f t="shared" si="1351"/>
        <v>0</v>
      </c>
      <c r="AJ4334" s="200">
        <f t="shared" si="1352"/>
        <v>0</v>
      </c>
      <c r="AK4334" s="201" t="str">
        <f t="shared" si="1353"/>
        <v/>
      </c>
      <c r="AL4334" s="24"/>
      <c r="AM4334" s="24"/>
      <c r="AN4334" s="24"/>
      <c r="AO4334" s="24"/>
      <c r="AP4334" s="165" t="str">
        <f t="shared" si="1354"/>
        <v/>
      </c>
      <c r="AQ4334" s="203" t="str">
        <f t="shared" si="1355"/>
        <v/>
      </c>
      <c r="AR4334" s="206">
        <f t="shared" si="1356"/>
        <v>0</v>
      </c>
      <c r="AS4334" s="22" t="str">
        <f t="shared" si="1357"/>
        <v/>
      </c>
      <c r="AT4334" s="24" t="str">
        <f t="shared" si="1358"/>
        <v/>
      </c>
      <c r="AU4334" s="22" t="s">
        <v>3240</v>
      </c>
    </row>
    <row r="4335" spans="1:47">
      <c r="A4335" s="246" t="str">
        <f t="shared" si="1346"/>
        <v/>
      </c>
      <c r="B4335" s="23"/>
      <c r="C4335" s="23"/>
      <c r="D4335" s="202" t="str">
        <f t="shared" si="1347"/>
        <v/>
      </c>
      <c r="E4335" s="33" t="str">
        <f t="shared" si="1341"/>
        <v/>
      </c>
      <c r="F4335" s="23"/>
      <c r="G4335" s="23"/>
      <c r="H4335" s="29"/>
      <c r="I4335" s="204" t="str">
        <f t="shared" si="1344"/>
        <v/>
      </c>
      <c r="J4335" s="188"/>
      <c r="K4335" s="29"/>
      <c r="L4335" s="24"/>
      <c r="M4335" s="22"/>
      <c r="N4335" s="22"/>
      <c r="O4335" s="22"/>
      <c r="P4335" s="202" t="str">
        <f t="shared" si="1345"/>
        <v/>
      </c>
      <c r="Q4335" s="22"/>
      <c r="R4335" s="22"/>
      <c r="S4335" s="22"/>
      <c r="T4335" s="22"/>
      <c r="U4335" s="22"/>
      <c r="V4335" s="22"/>
      <c r="W4335" s="22"/>
      <c r="X4335" s="104"/>
      <c r="Y4335" s="195" t="str">
        <f t="shared" si="1342"/>
        <v/>
      </c>
      <c r="Z4335" s="196" t="str">
        <f t="shared" si="1343"/>
        <v/>
      </c>
      <c r="AA4335" s="22"/>
      <c r="AB4335" s="197" t="str">
        <f t="shared" si="1348"/>
        <v/>
      </c>
      <c r="AC4335" s="198" t="str">
        <f t="shared" si="1349"/>
        <v/>
      </c>
      <c r="AD4335" s="162"/>
      <c r="AE4335" s="199" t="str">
        <f t="shared" si="1350"/>
        <v/>
      </c>
      <c r="AF4335" s="199" t="str">
        <f>IF(AND(COUNTIFS($J$18:J4335,J4335)=1,AE4335=1),1,"")</f>
        <v/>
      </c>
      <c r="AG4335" s="199" t="str">
        <f>IF(C4335="","",IF(AND(COUNTIFS($J$18:J4335,J4335)=1,C4335&lt;&gt;""),1,""))</f>
        <v/>
      </c>
      <c r="AH4335" s="199" t="str">
        <f>IF(G4335="","",IF(AND(COUNTIFS($J$18:J4335,J4335)=1,G4335&lt;&gt;""),1,""))</f>
        <v/>
      </c>
      <c r="AI4335" s="200">
        <f t="shared" si="1351"/>
        <v>0</v>
      </c>
      <c r="AJ4335" s="200">
        <f t="shared" si="1352"/>
        <v>0</v>
      </c>
      <c r="AK4335" s="201" t="str">
        <f t="shared" si="1353"/>
        <v/>
      </c>
      <c r="AL4335" s="24"/>
      <c r="AM4335" s="24"/>
      <c r="AN4335" s="24"/>
      <c r="AO4335" s="24"/>
      <c r="AP4335" s="165" t="str">
        <f t="shared" si="1354"/>
        <v/>
      </c>
      <c r="AQ4335" s="203" t="str">
        <f t="shared" si="1355"/>
        <v/>
      </c>
      <c r="AR4335" s="206">
        <f t="shared" si="1356"/>
        <v>0</v>
      </c>
      <c r="AS4335" s="22" t="str">
        <f t="shared" si="1357"/>
        <v/>
      </c>
      <c r="AT4335" s="24" t="str">
        <f t="shared" si="1358"/>
        <v/>
      </c>
      <c r="AU4335" s="22" t="s">
        <v>3240</v>
      </c>
    </row>
    <row r="4336" spans="1:47">
      <c r="A4336" s="246" t="str">
        <f t="shared" si="1346"/>
        <v/>
      </c>
      <c r="B4336" s="23"/>
      <c r="C4336" s="23"/>
      <c r="D4336" s="202" t="str">
        <f t="shared" si="1347"/>
        <v/>
      </c>
      <c r="E4336" s="33" t="str">
        <f t="shared" si="1341"/>
        <v/>
      </c>
      <c r="F4336" s="23"/>
      <c r="G4336" s="23"/>
      <c r="H4336" s="29"/>
      <c r="I4336" s="204" t="str">
        <f t="shared" si="1344"/>
        <v/>
      </c>
      <c r="J4336" s="188"/>
      <c r="K4336" s="29"/>
      <c r="L4336" s="24"/>
      <c r="M4336" s="22"/>
      <c r="N4336" s="22"/>
      <c r="O4336" s="22"/>
      <c r="P4336" s="202" t="str">
        <f t="shared" si="1345"/>
        <v/>
      </c>
      <c r="Q4336" s="22"/>
      <c r="R4336" s="22"/>
      <c r="S4336" s="22"/>
      <c r="T4336" s="22"/>
      <c r="U4336" s="22"/>
      <c r="V4336" s="22"/>
      <c r="W4336" s="22"/>
      <c r="X4336" s="104"/>
      <c r="Y4336" s="195" t="str">
        <f t="shared" si="1342"/>
        <v/>
      </c>
      <c r="Z4336" s="196" t="str">
        <f t="shared" si="1343"/>
        <v/>
      </c>
      <c r="AA4336" s="22"/>
      <c r="AB4336" s="197" t="str">
        <f t="shared" si="1348"/>
        <v/>
      </c>
      <c r="AC4336" s="198" t="str">
        <f t="shared" si="1349"/>
        <v/>
      </c>
      <c r="AD4336" s="162"/>
      <c r="AE4336" s="199" t="str">
        <f t="shared" si="1350"/>
        <v/>
      </c>
      <c r="AF4336" s="199" t="str">
        <f>IF(AND(COUNTIFS($J$18:J4336,J4336)=1,AE4336=1),1,"")</f>
        <v/>
      </c>
      <c r="AG4336" s="199" t="str">
        <f>IF(C4336="","",IF(AND(COUNTIFS($J$18:J4336,J4336)=1,C4336&lt;&gt;""),1,""))</f>
        <v/>
      </c>
      <c r="AH4336" s="199" t="str">
        <f>IF(G4336="","",IF(AND(COUNTIFS($J$18:J4336,J4336)=1,G4336&lt;&gt;""),1,""))</f>
        <v/>
      </c>
      <c r="AI4336" s="200">
        <f t="shared" si="1351"/>
        <v>0</v>
      </c>
      <c r="AJ4336" s="200">
        <f t="shared" si="1352"/>
        <v>0</v>
      </c>
      <c r="AK4336" s="201" t="str">
        <f t="shared" si="1353"/>
        <v/>
      </c>
      <c r="AL4336" s="24"/>
      <c r="AM4336" s="24"/>
      <c r="AN4336" s="24"/>
      <c r="AO4336" s="24"/>
      <c r="AP4336" s="165" t="str">
        <f t="shared" si="1354"/>
        <v/>
      </c>
      <c r="AQ4336" s="203" t="str">
        <f t="shared" si="1355"/>
        <v/>
      </c>
      <c r="AR4336" s="206">
        <f t="shared" si="1356"/>
        <v>0</v>
      </c>
      <c r="AS4336" s="22" t="str">
        <f t="shared" si="1357"/>
        <v/>
      </c>
      <c r="AT4336" s="24" t="str">
        <f t="shared" si="1358"/>
        <v/>
      </c>
      <c r="AU4336" s="22" t="s">
        <v>3240</v>
      </c>
    </row>
    <row r="4337" spans="1:47">
      <c r="A4337" s="246" t="str">
        <f t="shared" si="1346"/>
        <v/>
      </c>
      <c r="B4337" s="23"/>
      <c r="C4337" s="23"/>
      <c r="D4337" s="202" t="str">
        <f t="shared" si="1347"/>
        <v/>
      </c>
      <c r="E4337" s="33" t="str">
        <f t="shared" si="1341"/>
        <v/>
      </c>
      <c r="F4337" s="23"/>
      <c r="G4337" s="23"/>
      <c r="H4337" s="29"/>
      <c r="I4337" s="204" t="str">
        <f t="shared" si="1344"/>
        <v/>
      </c>
      <c r="J4337" s="188"/>
      <c r="K4337" s="29"/>
      <c r="L4337" s="24"/>
      <c r="M4337" s="22"/>
      <c r="N4337" s="22"/>
      <c r="O4337" s="22"/>
      <c r="P4337" s="202" t="str">
        <f t="shared" si="1345"/>
        <v/>
      </c>
      <c r="Q4337" s="22"/>
      <c r="R4337" s="22"/>
      <c r="S4337" s="22"/>
      <c r="T4337" s="22"/>
      <c r="U4337" s="22"/>
      <c r="V4337" s="22"/>
      <c r="W4337" s="22"/>
      <c r="X4337" s="104"/>
      <c r="Y4337" s="195" t="str">
        <f t="shared" si="1342"/>
        <v/>
      </c>
      <c r="Z4337" s="196" t="str">
        <f t="shared" si="1343"/>
        <v/>
      </c>
      <c r="AA4337" s="22"/>
      <c r="AB4337" s="197" t="str">
        <f t="shared" si="1348"/>
        <v/>
      </c>
      <c r="AC4337" s="198" t="str">
        <f t="shared" si="1349"/>
        <v/>
      </c>
      <c r="AD4337" s="162"/>
      <c r="AE4337" s="199" t="str">
        <f t="shared" si="1350"/>
        <v/>
      </c>
      <c r="AF4337" s="199" t="str">
        <f>IF(AND(COUNTIFS($J$18:J4337,J4337)=1,AE4337=1),1,"")</f>
        <v/>
      </c>
      <c r="AG4337" s="199" t="str">
        <f>IF(C4337="","",IF(AND(COUNTIFS($J$18:J4337,J4337)=1,C4337&lt;&gt;""),1,""))</f>
        <v/>
      </c>
      <c r="AH4337" s="199" t="str">
        <f>IF(G4337="","",IF(AND(COUNTIFS($J$18:J4337,J4337)=1,G4337&lt;&gt;""),1,""))</f>
        <v/>
      </c>
      <c r="AI4337" s="200">
        <f t="shared" si="1351"/>
        <v>0</v>
      </c>
      <c r="AJ4337" s="200">
        <f t="shared" si="1352"/>
        <v>0</v>
      </c>
      <c r="AK4337" s="201" t="str">
        <f t="shared" si="1353"/>
        <v/>
      </c>
      <c r="AL4337" s="24"/>
      <c r="AM4337" s="24"/>
      <c r="AN4337" s="24"/>
      <c r="AO4337" s="24"/>
      <c r="AP4337" s="165" t="str">
        <f t="shared" si="1354"/>
        <v/>
      </c>
      <c r="AQ4337" s="203" t="str">
        <f t="shared" si="1355"/>
        <v/>
      </c>
      <c r="AR4337" s="206">
        <f t="shared" si="1356"/>
        <v>0</v>
      </c>
      <c r="AS4337" s="22" t="str">
        <f t="shared" si="1357"/>
        <v/>
      </c>
      <c r="AT4337" s="24" t="str">
        <f t="shared" si="1358"/>
        <v/>
      </c>
      <c r="AU4337" s="22" t="s">
        <v>3240</v>
      </c>
    </row>
    <row r="4338" spans="1:47">
      <c r="A4338" s="246" t="str">
        <f t="shared" si="1346"/>
        <v/>
      </c>
      <c r="B4338" s="23"/>
      <c r="C4338" s="23"/>
      <c r="D4338" s="202" t="str">
        <f t="shared" si="1347"/>
        <v/>
      </c>
      <c r="E4338" s="33" t="str">
        <f t="shared" si="1341"/>
        <v/>
      </c>
      <c r="F4338" s="23"/>
      <c r="G4338" s="23"/>
      <c r="H4338" s="29"/>
      <c r="I4338" s="204" t="str">
        <f t="shared" si="1344"/>
        <v/>
      </c>
      <c r="J4338" s="188"/>
      <c r="K4338" s="29"/>
      <c r="L4338" s="24"/>
      <c r="M4338" s="22"/>
      <c r="N4338" s="22"/>
      <c r="O4338" s="22"/>
      <c r="P4338" s="202" t="str">
        <f t="shared" si="1345"/>
        <v/>
      </c>
      <c r="Q4338" s="22"/>
      <c r="R4338" s="22"/>
      <c r="S4338" s="22"/>
      <c r="T4338" s="22"/>
      <c r="U4338" s="22"/>
      <c r="V4338" s="22"/>
      <c r="W4338" s="22"/>
      <c r="X4338" s="104"/>
      <c r="Y4338" s="195" t="str">
        <f t="shared" si="1342"/>
        <v/>
      </c>
      <c r="Z4338" s="196" t="str">
        <f t="shared" si="1343"/>
        <v/>
      </c>
      <c r="AA4338" s="22"/>
      <c r="AB4338" s="197" t="str">
        <f t="shared" si="1348"/>
        <v/>
      </c>
      <c r="AC4338" s="198" t="str">
        <f t="shared" si="1349"/>
        <v/>
      </c>
      <c r="AD4338" s="162"/>
      <c r="AE4338" s="199" t="str">
        <f t="shared" si="1350"/>
        <v/>
      </c>
      <c r="AF4338" s="199" t="str">
        <f>IF(AND(COUNTIFS($J$18:J4338,J4338)=1,AE4338=1),1,"")</f>
        <v/>
      </c>
      <c r="AG4338" s="199" t="str">
        <f>IF(C4338="","",IF(AND(COUNTIFS($J$18:J4338,J4338)=1,C4338&lt;&gt;""),1,""))</f>
        <v/>
      </c>
      <c r="AH4338" s="199" t="str">
        <f>IF(G4338="","",IF(AND(COUNTIFS($J$18:J4338,J4338)=1,G4338&lt;&gt;""),1,""))</f>
        <v/>
      </c>
      <c r="AI4338" s="200">
        <f t="shared" si="1351"/>
        <v>0</v>
      </c>
      <c r="AJ4338" s="200">
        <f t="shared" si="1352"/>
        <v>0</v>
      </c>
      <c r="AK4338" s="201" t="str">
        <f t="shared" si="1353"/>
        <v/>
      </c>
      <c r="AL4338" s="24"/>
      <c r="AM4338" s="24"/>
      <c r="AN4338" s="24"/>
      <c r="AO4338" s="24"/>
      <c r="AP4338" s="165" t="str">
        <f t="shared" si="1354"/>
        <v/>
      </c>
      <c r="AQ4338" s="203" t="str">
        <f t="shared" si="1355"/>
        <v/>
      </c>
      <c r="AR4338" s="206">
        <f t="shared" si="1356"/>
        <v>0</v>
      </c>
      <c r="AS4338" s="22" t="str">
        <f t="shared" si="1357"/>
        <v/>
      </c>
      <c r="AT4338" s="24" t="str">
        <f t="shared" si="1358"/>
        <v/>
      </c>
      <c r="AU4338" s="22" t="s">
        <v>3240</v>
      </c>
    </row>
    <row r="4339" spans="1:47">
      <c r="A4339" s="246" t="str">
        <f t="shared" si="1346"/>
        <v/>
      </c>
      <c r="B4339" s="23"/>
      <c r="C4339" s="23"/>
      <c r="D4339" s="202" t="str">
        <f t="shared" si="1347"/>
        <v/>
      </c>
      <c r="E4339" s="33" t="str">
        <f t="shared" si="1341"/>
        <v/>
      </c>
      <c r="F4339" s="23"/>
      <c r="G4339" s="23"/>
      <c r="H4339" s="29"/>
      <c r="I4339" s="204" t="str">
        <f t="shared" si="1344"/>
        <v/>
      </c>
      <c r="J4339" s="188"/>
      <c r="K4339" s="29"/>
      <c r="L4339" s="24"/>
      <c r="M4339" s="22"/>
      <c r="N4339" s="22"/>
      <c r="O4339" s="22"/>
      <c r="P4339" s="202" t="str">
        <f t="shared" si="1345"/>
        <v/>
      </c>
      <c r="Q4339" s="22"/>
      <c r="R4339" s="22"/>
      <c r="S4339" s="22"/>
      <c r="T4339" s="22"/>
      <c r="U4339" s="22"/>
      <c r="V4339" s="22"/>
      <c r="W4339" s="22"/>
      <c r="X4339" s="104"/>
      <c r="Y4339" s="195" t="str">
        <f t="shared" si="1342"/>
        <v/>
      </c>
      <c r="Z4339" s="196" t="str">
        <f t="shared" si="1343"/>
        <v/>
      </c>
      <c r="AA4339" s="22"/>
      <c r="AB4339" s="197" t="str">
        <f t="shared" si="1348"/>
        <v/>
      </c>
      <c r="AC4339" s="198" t="str">
        <f t="shared" si="1349"/>
        <v/>
      </c>
      <c r="AD4339" s="162"/>
      <c r="AE4339" s="199" t="str">
        <f t="shared" si="1350"/>
        <v/>
      </c>
      <c r="AF4339" s="199" t="str">
        <f>IF(AND(COUNTIFS($J$18:J4339,J4339)=1,AE4339=1),1,"")</f>
        <v/>
      </c>
      <c r="AG4339" s="199" t="str">
        <f>IF(C4339="","",IF(AND(COUNTIFS($J$18:J4339,J4339)=1,C4339&lt;&gt;""),1,""))</f>
        <v/>
      </c>
      <c r="AH4339" s="199" t="str">
        <f>IF(G4339="","",IF(AND(COUNTIFS($J$18:J4339,J4339)=1,G4339&lt;&gt;""),1,""))</f>
        <v/>
      </c>
      <c r="AI4339" s="200">
        <f t="shared" si="1351"/>
        <v>0</v>
      </c>
      <c r="AJ4339" s="200">
        <f t="shared" si="1352"/>
        <v>0</v>
      </c>
      <c r="AK4339" s="201" t="str">
        <f t="shared" si="1353"/>
        <v/>
      </c>
      <c r="AL4339" s="24"/>
      <c r="AM4339" s="24"/>
      <c r="AN4339" s="24"/>
      <c r="AO4339" s="24"/>
      <c r="AP4339" s="165" t="str">
        <f t="shared" si="1354"/>
        <v/>
      </c>
      <c r="AQ4339" s="203" t="str">
        <f t="shared" si="1355"/>
        <v/>
      </c>
      <c r="AR4339" s="206">
        <f t="shared" si="1356"/>
        <v>0</v>
      </c>
      <c r="AS4339" s="22" t="str">
        <f t="shared" si="1357"/>
        <v/>
      </c>
      <c r="AT4339" s="24" t="str">
        <f t="shared" si="1358"/>
        <v/>
      </c>
      <c r="AU4339" s="22" t="s">
        <v>3240</v>
      </c>
    </row>
    <row r="4340" spans="1:47">
      <c r="A4340" s="246" t="str">
        <f t="shared" si="1346"/>
        <v/>
      </c>
      <c r="B4340" s="23"/>
      <c r="C4340" s="23"/>
      <c r="D4340" s="202" t="str">
        <f t="shared" si="1347"/>
        <v/>
      </c>
      <c r="E4340" s="33" t="str">
        <f t="shared" si="1341"/>
        <v/>
      </c>
      <c r="F4340" s="23"/>
      <c r="G4340" s="23"/>
      <c r="H4340" s="29"/>
      <c r="I4340" s="204" t="str">
        <f t="shared" si="1344"/>
        <v/>
      </c>
      <c r="J4340" s="188"/>
      <c r="K4340" s="29"/>
      <c r="L4340" s="24"/>
      <c r="M4340" s="22"/>
      <c r="N4340" s="22"/>
      <c r="O4340" s="22"/>
      <c r="P4340" s="202" t="str">
        <f t="shared" si="1345"/>
        <v/>
      </c>
      <c r="Q4340" s="22"/>
      <c r="R4340" s="22"/>
      <c r="S4340" s="22"/>
      <c r="T4340" s="22"/>
      <c r="U4340" s="22"/>
      <c r="V4340" s="22"/>
      <c r="W4340" s="22"/>
      <c r="X4340" s="104"/>
      <c r="Y4340" s="195" t="str">
        <f t="shared" si="1342"/>
        <v/>
      </c>
      <c r="Z4340" s="196" t="str">
        <f t="shared" si="1343"/>
        <v/>
      </c>
      <c r="AA4340" s="22"/>
      <c r="AB4340" s="197" t="str">
        <f t="shared" si="1348"/>
        <v/>
      </c>
      <c r="AC4340" s="198" t="str">
        <f t="shared" si="1349"/>
        <v/>
      </c>
      <c r="AD4340" s="162"/>
      <c r="AE4340" s="199" t="str">
        <f t="shared" si="1350"/>
        <v/>
      </c>
      <c r="AF4340" s="199" t="str">
        <f>IF(AND(COUNTIFS($J$18:J4340,J4340)=1,AE4340=1),1,"")</f>
        <v/>
      </c>
      <c r="AG4340" s="199" t="str">
        <f>IF(C4340="","",IF(AND(COUNTIFS($J$18:J4340,J4340)=1,C4340&lt;&gt;""),1,""))</f>
        <v/>
      </c>
      <c r="AH4340" s="199" t="str">
        <f>IF(G4340="","",IF(AND(COUNTIFS($J$18:J4340,J4340)=1,G4340&lt;&gt;""),1,""))</f>
        <v/>
      </c>
      <c r="AI4340" s="200">
        <f t="shared" si="1351"/>
        <v>0</v>
      </c>
      <c r="AJ4340" s="200">
        <f t="shared" si="1352"/>
        <v>0</v>
      </c>
      <c r="AK4340" s="201" t="str">
        <f t="shared" si="1353"/>
        <v/>
      </c>
      <c r="AL4340" s="24"/>
      <c r="AM4340" s="24"/>
      <c r="AN4340" s="24"/>
      <c r="AO4340" s="24"/>
      <c r="AP4340" s="165" t="str">
        <f t="shared" si="1354"/>
        <v/>
      </c>
      <c r="AQ4340" s="203" t="str">
        <f t="shared" si="1355"/>
        <v/>
      </c>
      <c r="AR4340" s="206">
        <f t="shared" si="1356"/>
        <v>0</v>
      </c>
      <c r="AS4340" s="22" t="str">
        <f t="shared" si="1357"/>
        <v/>
      </c>
      <c r="AT4340" s="24" t="str">
        <f t="shared" si="1358"/>
        <v/>
      </c>
      <c r="AU4340" s="22" t="s">
        <v>3240</v>
      </c>
    </row>
    <row r="4341" spans="1:47">
      <c r="A4341" s="246" t="str">
        <f t="shared" si="1346"/>
        <v/>
      </c>
      <c r="B4341" s="23"/>
      <c r="C4341" s="23"/>
      <c r="D4341" s="202" t="str">
        <f t="shared" si="1347"/>
        <v/>
      </c>
      <c r="E4341" s="33" t="str">
        <f t="shared" si="1341"/>
        <v/>
      </c>
      <c r="F4341" s="23"/>
      <c r="G4341" s="23"/>
      <c r="H4341" s="29"/>
      <c r="I4341" s="204" t="str">
        <f t="shared" si="1344"/>
        <v/>
      </c>
      <c r="J4341" s="188"/>
      <c r="K4341" s="29"/>
      <c r="L4341" s="24"/>
      <c r="M4341" s="22"/>
      <c r="N4341" s="22"/>
      <c r="O4341" s="22"/>
      <c r="P4341" s="202" t="str">
        <f t="shared" si="1345"/>
        <v/>
      </c>
      <c r="Q4341" s="22"/>
      <c r="R4341" s="22"/>
      <c r="S4341" s="22"/>
      <c r="T4341" s="22"/>
      <c r="U4341" s="22"/>
      <c r="V4341" s="22"/>
      <c r="W4341" s="22"/>
      <c r="X4341" s="104"/>
      <c r="Y4341" s="195" t="str">
        <f t="shared" si="1342"/>
        <v/>
      </c>
      <c r="Z4341" s="196" t="str">
        <f t="shared" si="1343"/>
        <v/>
      </c>
      <c r="AA4341" s="22"/>
      <c r="AB4341" s="197" t="str">
        <f t="shared" si="1348"/>
        <v/>
      </c>
      <c r="AC4341" s="198" t="str">
        <f t="shared" si="1349"/>
        <v/>
      </c>
      <c r="AD4341" s="162"/>
      <c r="AE4341" s="199" t="str">
        <f t="shared" si="1350"/>
        <v/>
      </c>
      <c r="AF4341" s="199" t="str">
        <f>IF(AND(COUNTIFS($J$18:J4341,J4341)=1,AE4341=1),1,"")</f>
        <v/>
      </c>
      <c r="AG4341" s="199" t="str">
        <f>IF(C4341="","",IF(AND(COUNTIFS($J$18:J4341,J4341)=1,C4341&lt;&gt;""),1,""))</f>
        <v/>
      </c>
      <c r="AH4341" s="199" t="str">
        <f>IF(G4341="","",IF(AND(COUNTIFS($J$18:J4341,J4341)=1,G4341&lt;&gt;""),1,""))</f>
        <v/>
      </c>
      <c r="AI4341" s="200">
        <f t="shared" si="1351"/>
        <v>0</v>
      </c>
      <c r="AJ4341" s="200">
        <f t="shared" si="1352"/>
        <v>0</v>
      </c>
      <c r="AK4341" s="201" t="str">
        <f t="shared" si="1353"/>
        <v/>
      </c>
      <c r="AL4341" s="24"/>
      <c r="AM4341" s="24"/>
      <c r="AN4341" s="24"/>
      <c r="AO4341" s="24"/>
      <c r="AP4341" s="165" t="str">
        <f t="shared" si="1354"/>
        <v/>
      </c>
      <c r="AQ4341" s="203" t="str">
        <f t="shared" si="1355"/>
        <v/>
      </c>
      <c r="AR4341" s="206">
        <f t="shared" si="1356"/>
        <v>0</v>
      </c>
      <c r="AS4341" s="22" t="str">
        <f t="shared" si="1357"/>
        <v/>
      </c>
      <c r="AT4341" s="24" t="str">
        <f t="shared" si="1358"/>
        <v/>
      </c>
      <c r="AU4341" s="22" t="s">
        <v>3240</v>
      </c>
    </row>
    <row r="4342" spans="1:47">
      <c r="A4342" s="246" t="str">
        <f t="shared" si="1346"/>
        <v/>
      </c>
      <c r="B4342" s="23"/>
      <c r="C4342" s="23"/>
      <c r="D4342" s="202" t="str">
        <f t="shared" si="1347"/>
        <v/>
      </c>
      <c r="E4342" s="33" t="str">
        <f t="shared" si="1341"/>
        <v/>
      </c>
      <c r="F4342" s="23"/>
      <c r="G4342" s="23"/>
      <c r="H4342" s="29"/>
      <c r="I4342" s="204" t="str">
        <f t="shared" si="1344"/>
        <v/>
      </c>
      <c r="J4342" s="188"/>
      <c r="K4342" s="29"/>
      <c r="L4342" s="24"/>
      <c r="M4342" s="22"/>
      <c r="N4342" s="22"/>
      <c r="O4342" s="22"/>
      <c r="P4342" s="202" t="str">
        <f t="shared" si="1345"/>
        <v/>
      </c>
      <c r="Q4342" s="22"/>
      <c r="R4342" s="22"/>
      <c r="S4342" s="22"/>
      <c r="T4342" s="22"/>
      <c r="U4342" s="22"/>
      <c r="V4342" s="22"/>
      <c r="W4342" s="22"/>
      <c r="X4342" s="104"/>
      <c r="Y4342" s="195" t="str">
        <f t="shared" si="1342"/>
        <v/>
      </c>
      <c r="Z4342" s="196" t="str">
        <f t="shared" si="1343"/>
        <v/>
      </c>
      <c r="AA4342" s="22"/>
      <c r="AB4342" s="197" t="str">
        <f t="shared" si="1348"/>
        <v/>
      </c>
      <c r="AC4342" s="198" t="str">
        <f t="shared" si="1349"/>
        <v/>
      </c>
      <c r="AD4342" s="162"/>
      <c r="AE4342" s="199" t="str">
        <f t="shared" si="1350"/>
        <v/>
      </c>
      <c r="AF4342" s="199" t="str">
        <f>IF(AND(COUNTIFS($J$18:J4342,J4342)=1,AE4342=1),1,"")</f>
        <v/>
      </c>
      <c r="AG4342" s="199" t="str">
        <f>IF(C4342="","",IF(AND(COUNTIFS($J$18:J4342,J4342)=1,C4342&lt;&gt;""),1,""))</f>
        <v/>
      </c>
      <c r="AH4342" s="199" t="str">
        <f>IF(G4342="","",IF(AND(COUNTIFS($J$18:J4342,J4342)=1,G4342&lt;&gt;""),1,""))</f>
        <v/>
      </c>
      <c r="AI4342" s="200">
        <f t="shared" si="1351"/>
        <v>0</v>
      </c>
      <c r="AJ4342" s="200">
        <f t="shared" si="1352"/>
        <v>0</v>
      </c>
      <c r="AK4342" s="201" t="str">
        <f t="shared" si="1353"/>
        <v/>
      </c>
      <c r="AL4342" s="24"/>
      <c r="AM4342" s="24"/>
      <c r="AN4342" s="24"/>
      <c r="AO4342" s="24"/>
      <c r="AP4342" s="165" t="str">
        <f t="shared" si="1354"/>
        <v/>
      </c>
      <c r="AQ4342" s="203" t="str">
        <f t="shared" si="1355"/>
        <v/>
      </c>
      <c r="AR4342" s="206">
        <f t="shared" si="1356"/>
        <v>0</v>
      </c>
      <c r="AS4342" s="22" t="str">
        <f t="shared" si="1357"/>
        <v/>
      </c>
      <c r="AT4342" s="24" t="str">
        <f t="shared" si="1358"/>
        <v/>
      </c>
      <c r="AU4342" s="22" t="s">
        <v>3240</v>
      </c>
    </row>
    <row r="4343" spans="1:47">
      <c r="A4343" s="246" t="str">
        <f t="shared" si="1346"/>
        <v/>
      </c>
      <c r="B4343" s="23"/>
      <c r="C4343" s="23"/>
      <c r="D4343" s="202" t="str">
        <f t="shared" si="1347"/>
        <v/>
      </c>
      <c r="E4343" s="33" t="str">
        <f t="shared" si="1341"/>
        <v/>
      </c>
      <c r="F4343" s="23"/>
      <c r="G4343" s="23"/>
      <c r="H4343" s="29"/>
      <c r="I4343" s="204" t="str">
        <f t="shared" si="1344"/>
        <v/>
      </c>
      <c r="J4343" s="188"/>
      <c r="K4343" s="29"/>
      <c r="L4343" s="24"/>
      <c r="M4343" s="22"/>
      <c r="N4343" s="22"/>
      <c r="O4343" s="22"/>
      <c r="P4343" s="202" t="str">
        <f t="shared" si="1345"/>
        <v/>
      </c>
      <c r="Q4343" s="22"/>
      <c r="R4343" s="22"/>
      <c r="S4343" s="22"/>
      <c r="T4343" s="22"/>
      <c r="U4343" s="22"/>
      <c r="V4343" s="22"/>
      <c r="W4343" s="22"/>
      <c r="X4343" s="104"/>
      <c r="Y4343" s="195" t="str">
        <f t="shared" si="1342"/>
        <v/>
      </c>
      <c r="Z4343" s="196" t="str">
        <f t="shared" si="1343"/>
        <v/>
      </c>
      <c r="AA4343" s="22"/>
      <c r="AB4343" s="197" t="str">
        <f t="shared" si="1348"/>
        <v/>
      </c>
      <c r="AC4343" s="198" t="str">
        <f t="shared" si="1349"/>
        <v/>
      </c>
      <c r="AD4343" s="162"/>
      <c r="AE4343" s="199" t="str">
        <f t="shared" si="1350"/>
        <v/>
      </c>
      <c r="AF4343" s="199" t="str">
        <f>IF(AND(COUNTIFS($J$18:J4343,J4343)=1,AE4343=1),1,"")</f>
        <v/>
      </c>
      <c r="AG4343" s="199" t="str">
        <f>IF(C4343="","",IF(AND(COUNTIFS($J$18:J4343,J4343)=1,C4343&lt;&gt;""),1,""))</f>
        <v/>
      </c>
      <c r="AH4343" s="199" t="str">
        <f>IF(G4343="","",IF(AND(COUNTIFS($J$18:J4343,J4343)=1,G4343&lt;&gt;""),1,""))</f>
        <v/>
      </c>
      <c r="AI4343" s="200">
        <f t="shared" si="1351"/>
        <v>0</v>
      </c>
      <c r="AJ4343" s="200">
        <f t="shared" si="1352"/>
        <v>0</v>
      </c>
      <c r="AK4343" s="201" t="str">
        <f t="shared" si="1353"/>
        <v/>
      </c>
      <c r="AL4343" s="24"/>
      <c r="AM4343" s="24"/>
      <c r="AN4343" s="24"/>
      <c r="AO4343" s="24"/>
      <c r="AP4343" s="165" t="str">
        <f t="shared" si="1354"/>
        <v/>
      </c>
      <c r="AQ4343" s="203" t="str">
        <f t="shared" si="1355"/>
        <v/>
      </c>
      <c r="AR4343" s="206">
        <f t="shared" si="1356"/>
        <v>0</v>
      </c>
      <c r="AS4343" s="22" t="str">
        <f t="shared" si="1357"/>
        <v/>
      </c>
      <c r="AT4343" s="24" t="str">
        <f t="shared" si="1358"/>
        <v/>
      </c>
      <c r="AU4343" s="22" t="s">
        <v>3240</v>
      </c>
    </row>
    <row r="4344" spans="1:47">
      <c r="A4344" s="246" t="str">
        <f t="shared" si="1346"/>
        <v/>
      </c>
      <c r="B4344" s="23"/>
      <c r="C4344" s="23"/>
      <c r="D4344" s="202" t="str">
        <f t="shared" si="1347"/>
        <v/>
      </c>
      <c r="E4344" s="33" t="str">
        <f t="shared" si="1341"/>
        <v/>
      </c>
      <c r="F4344" s="23"/>
      <c r="G4344" s="23"/>
      <c r="H4344" s="29"/>
      <c r="I4344" s="204" t="str">
        <f t="shared" si="1344"/>
        <v/>
      </c>
      <c r="J4344" s="188"/>
      <c r="K4344" s="29"/>
      <c r="L4344" s="24"/>
      <c r="M4344" s="22"/>
      <c r="N4344" s="22"/>
      <c r="O4344" s="22"/>
      <c r="P4344" s="202" t="str">
        <f t="shared" si="1345"/>
        <v/>
      </c>
      <c r="Q4344" s="22"/>
      <c r="R4344" s="22"/>
      <c r="S4344" s="22"/>
      <c r="T4344" s="22"/>
      <c r="U4344" s="22"/>
      <c r="V4344" s="22"/>
      <c r="W4344" s="22"/>
      <c r="X4344" s="104"/>
      <c r="Y4344" s="195" t="str">
        <f t="shared" si="1342"/>
        <v/>
      </c>
      <c r="Z4344" s="196" t="str">
        <f t="shared" si="1343"/>
        <v/>
      </c>
      <c r="AA4344" s="22"/>
      <c r="AB4344" s="197" t="str">
        <f t="shared" si="1348"/>
        <v/>
      </c>
      <c r="AC4344" s="198" t="str">
        <f t="shared" si="1349"/>
        <v/>
      </c>
      <c r="AD4344" s="162"/>
      <c r="AE4344" s="199" t="str">
        <f t="shared" si="1350"/>
        <v/>
      </c>
      <c r="AF4344" s="199" t="str">
        <f>IF(AND(COUNTIFS($J$18:J4344,J4344)=1,AE4344=1),1,"")</f>
        <v/>
      </c>
      <c r="AG4344" s="199" t="str">
        <f>IF(C4344="","",IF(AND(COUNTIFS($J$18:J4344,J4344)=1,C4344&lt;&gt;""),1,""))</f>
        <v/>
      </c>
      <c r="AH4344" s="199" t="str">
        <f>IF(G4344="","",IF(AND(COUNTIFS($J$18:J4344,J4344)=1,G4344&lt;&gt;""),1,""))</f>
        <v/>
      </c>
      <c r="AI4344" s="200">
        <f t="shared" si="1351"/>
        <v>0</v>
      </c>
      <c r="AJ4344" s="200">
        <f t="shared" si="1352"/>
        <v>0</v>
      </c>
      <c r="AK4344" s="201" t="str">
        <f t="shared" si="1353"/>
        <v/>
      </c>
      <c r="AL4344" s="24"/>
      <c r="AM4344" s="24"/>
      <c r="AN4344" s="24"/>
      <c r="AO4344" s="24"/>
      <c r="AP4344" s="165" t="str">
        <f t="shared" si="1354"/>
        <v/>
      </c>
      <c r="AQ4344" s="203" t="str">
        <f t="shared" si="1355"/>
        <v/>
      </c>
      <c r="AR4344" s="206">
        <f t="shared" si="1356"/>
        <v>0</v>
      </c>
      <c r="AS4344" s="22" t="str">
        <f t="shared" si="1357"/>
        <v/>
      </c>
      <c r="AT4344" s="24" t="str">
        <f t="shared" si="1358"/>
        <v/>
      </c>
      <c r="AU4344" s="22" t="s">
        <v>3240</v>
      </c>
    </row>
    <row r="4345" spans="1:47">
      <c r="A4345" s="246" t="str">
        <f t="shared" si="1346"/>
        <v/>
      </c>
      <c r="B4345" s="23"/>
      <c r="C4345" s="23"/>
      <c r="D4345" s="202" t="str">
        <f t="shared" si="1347"/>
        <v/>
      </c>
      <c r="E4345" s="33" t="str">
        <f t="shared" si="1341"/>
        <v/>
      </c>
      <c r="F4345" s="23"/>
      <c r="G4345" s="23"/>
      <c r="H4345" s="29"/>
      <c r="I4345" s="204" t="str">
        <f t="shared" si="1344"/>
        <v/>
      </c>
      <c r="J4345" s="188"/>
      <c r="K4345" s="29"/>
      <c r="L4345" s="24"/>
      <c r="M4345" s="22"/>
      <c r="N4345" s="22"/>
      <c r="O4345" s="22"/>
      <c r="P4345" s="202" t="str">
        <f t="shared" si="1345"/>
        <v/>
      </c>
      <c r="Q4345" s="22"/>
      <c r="R4345" s="22"/>
      <c r="S4345" s="22"/>
      <c r="T4345" s="22"/>
      <c r="U4345" s="22"/>
      <c r="V4345" s="22"/>
      <c r="W4345" s="22"/>
      <c r="X4345" s="104"/>
      <c r="Y4345" s="195" t="str">
        <f t="shared" si="1342"/>
        <v/>
      </c>
      <c r="Z4345" s="196" t="str">
        <f t="shared" si="1343"/>
        <v/>
      </c>
      <c r="AA4345" s="22"/>
      <c r="AB4345" s="197" t="str">
        <f t="shared" si="1348"/>
        <v/>
      </c>
      <c r="AC4345" s="198" t="str">
        <f t="shared" si="1349"/>
        <v/>
      </c>
      <c r="AD4345" s="162"/>
      <c r="AE4345" s="199" t="str">
        <f t="shared" si="1350"/>
        <v/>
      </c>
      <c r="AF4345" s="199" t="str">
        <f>IF(AND(COUNTIFS($J$18:J4345,J4345)=1,AE4345=1),1,"")</f>
        <v/>
      </c>
      <c r="AG4345" s="199" t="str">
        <f>IF(C4345="","",IF(AND(COUNTIFS($J$18:J4345,J4345)=1,C4345&lt;&gt;""),1,""))</f>
        <v/>
      </c>
      <c r="AH4345" s="199" t="str">
        <f>IF(G4345="","",IF(AND(COUNTIFS($J$18:J4345,J4345)=1,G4345&lt;&gt;""),1,""))</f>
        <v/>
      </c>
      <c r="AI4345" s="200">
        <f t="shared" si="1351"/>
        <v>0</v>
      </c>
      <c r="AJ4345" s="200">
        <f t="shared" si="1352"/>
        <v>0</v>
      </c>
      <c r="AK4345" s="201" t="str">
        <f t="shared" si="1353"/>
        <v/>
      </c>
      <c r="AL4345" s="24"/>
      <c r="AM4345" s="24"/>
      <c r="AN4345" s="24"/>
      <c r="AO4345" s="24"/>
      <c r="AP4345" s="165" t="str">
        <f t="shared" si="1354"/>
        <v/>
      </c>
      <c r="AQ4345" s="203" t="str">
        <f t="shared" si="1355"/>
        <v/>
      </c>
      <c r="AR4345" s="206">
        <f t="shared" si="1356"/>
        <v>0</v>
      </c>
      <c r="AS4345" s="22" t="str">
        <f t="shared" si="1357"/>
        <v/>
      </c>
      <c r="AT4345" s="24" t="str">
        <f t="shared" si="1358"/>
        <v/>
      </c>
      <c r="AU4345" s="22" t="s">
        <v>3240</v>
      </c>
    </row>
    <row r="4346" spans="1:47">
      <c r="A4346" s="246" t="str">
        <f t="shared" si="1346"/>
        <v/>
      </c>
      <c r="B4346" s="23"/>
      <c r="C4346" s="23"/>
      <c r="D4346" s="202" t="str">
        <f t="shared" si="1347"/>
        <v/>
      </c>
      <c r="E4346" s="33" t="str">
        <f t="shared" si="1341"/>
        <v/>
      </c>
      <c r="F4346" s="23"/>
      <c r="G4346" s="23"/>
      <c r="H4346" s="29"/>
      <c r="I4346" s="204" t="str">
        <f t="shared" si="1344"/>
        <v/>
      </c>
      <c r="J4346" s="188"/>
      <c r="K4346" s="29"/>
      <c r="L4346" s="24"/>
      <c r="M4346" s="22"/>
      <c r="N4346" s="22"/>
      <c r="O4346" s="22"/>
      <c r="P4346" s="202" t="str">
        <f t="shared" si="1345"/>
        <v/>
      </c>
      <c r="Q4346" s="22"/>
      <c r="R4346" s="22"/>
      <c r="S4346" s="22"/>
      <c r="T4346" s="22"/>
      <c r="U4346" s="22"/>
      <c r="V4346" s="22"/>
      <c r="W4346" s="22"/>
      <c r="X4346" s="104"/>
      <c r="Y4346" s="195" t="str">
        <f t="shared" si="1342"/>
        <v/>
      </c>
      <c r="Z4346" s="196" t="str">
        <f t="shared" si="1343"/>
        <v/>
      </c>
      <c r="AA4346" s="22"/>
      <c r="AB4346" s="197" t="str">
        <f t="shared" si="1348"/>
        <v/>
      </c>
      <c r="AC4346" s="198" t="str">
        <f t="shared" si="1349"/>
        <v/>
      </c>
      <c r="AD4346" s="162"/>
      <c r="AE4346" s="199" t="str">
        <f t="shared" si="1350"/>
        <v/>
      </c>
      <c r="AF4346" s="199" t="str">
        <f>IF(AND(COUNTIFS($J$18:J4346,J4346)=1,AE4346=1),1,"")</f>
        <v/>
      </c>
      <c r="AG4346" s="199" t="str">
        <f>IF(C4346="","",IF(AND(COUNTIFS($J$18:J4346,J4346)=1,C4346&lt;&gt;""),1,""))</f>
        <v/>
      </c>
      <c r="AH4346" s="199" t="str">
        <f>IF(G4346="","",IF(AND(COUNTIFS($J$18:J4346,J4346)=1,G4346&lt;&gt;""),1,""))</f>
        <v/>
      </c>
      <c r="AI4346" s="200">
        <f t="shared" si="1351"/>
        <v>0</v>
      </c>
      <c r="AJ4346" s="200">
        <f t="shared" si="1352"/>
        <v>0</v>
      </c>
      <c r="AK4346" s="201" t="str">
        <f t="shared" si="1353"/>
        <v/>
      </c>
      <c r="AL4346" s="24"/>
      <c r="AM4346" s="24"/>
      <c r="AN4346" s="24"/>
      <c r="AO4346" s="24"/>
      <c r="AP4346" s="165" t="str">
        <f t="shared" si="1354"/>
        <v/>
      </c>
      <c r="AQ4346" s="203" t="str">
        <f t="shared" si="1355"/>
        <v/>
      </c>
      <c r="AR4346" s="206">
        <f t="shared" si="1356"/>
        <v>0</v>
      </c>
      <c r="AS4346" s="22" t="str">
        <f t="shared" si="1357"/>
        <v/>
      </c>
      <c r="AT4346" s="24" t="str">
        <f t="shared" si="1358"/>
        <v/>
      </c>
      <c r="AU4346" s="22" t="s">
        <v>3240</v>
      </c>
    </row>
    <row r="4347" spans="1:47">
      <c r="A4347" s="246" t="str">
        <f t="shared" si="1346"/>
        <v/>
      </c>
      <c r="B4347" s="23"/>
      <c r="C4347" s="23"/>
      <c r="D4347" s="202" t="str">
        <f t="shared" si="1347"/>
        <v/>
      </c>
      <c r="E4347" s="33" t="str">
        <f t="shared" si="1341"/>
        <v/>
      </c>
      <c r="F4347" s="23"/>
      <c r="G4347" s="23"/>
      <c r="H4347" s="29"/>
      <c r="I4347" s="204" t="str">
        <f t="shared" si="1344"/>
        <v/>
      </c>
      <c r="J4347" s="188"/>
      <c r="K4347" s="29"/>
      <c r="L4347" s="24"/>
      <c r="M4347" s="22"/>
      <c r="N4347" s="22"/>
      <c r="O4347" s="22"/>
      <c r="P4347" s="202" t="str">
        <f t="shared" si="1345"/>
        <v/>
      </c>
      <c r="Q4347" s="22"/>
      <c r="R4347" s="22"/>
      <c r="S4347" s="22"/>
      <c r="T4347" s="22"/>
      <c r="U4347" s="22"/>
      <c r="V4347" s="22"/>
      <c r="W4347" s="22"/>
      <c r="X4347" s="104"/>
      <c r="Y4347" s="195" t="str">
        <f t="shared" si="1342"/>
        <v/>
      </c>
      <c r="Z4347" s="196" t="str">
        <f t="shared" si="1343"/>
        <v/>
      </c>
      <c r="AA4347" s="22"/>
      <c r="AB4347" s="197" t="str">
        <f t="shared" si="1348"/>
        <v/>
      </c>
      <c r="AC4347" s="198" t="str">
        <f t="shared" si="1349"/>
        <v/>
      </c>
      <c r="AD4347" s="162"/>
      <c r="AE4347" s="199" t="str">
        <f t="shared" si="1350"/>
        <v/>
      </c>
      <c r="AF4347" s="199" t="str">
        <f>IF(AND(COUNTIFS($J$18:J4347,J4347)=1,AE4347=1),1,"")</f>
        <v/>
      </c>
      <c r="AG4347" s="199" t="str">
        <f>IF(C4347="","",IF(AND(COUNTIFS($J$18:J4347,J4347)=1,C4347&lt;&gt;""),1,""))</f>
        <v/>
      </c>
      <c r="AH4347" s="199" t="str">
        <f>IF(G4347="","",IF(AND(COUNTIFS($J$18:J4347,J4347)=1,G4347&lt;&gt;""),1,""))</f>
        <v/>
      </c>
      <c r="AI4347" s="200">
        <f t="shared" si="1351"/>
        <v>0</v>
      </c>
      <c r="AJ4347" s="200">
        <f t="shared" si="1352"/>
        <v>0</v>
      </c>
      <c r="AK4347" s="201" t="str">
        <f t="shared" si="1353"/>
        <v/>
      </c>
      <c r="AL4347" s="24"/>
      <c r="AM4347" s="24"/>
      <c r="AN4347" s="24"/>
      <c r="AO4347" s="24"/>
      <c r="AP4347" s="165" t="str">
        <f t="shared" si="1354"/>
        <v/>
      </c>
      <c r="AQ4347" s="203" t="str">
        <f t="shared" si="1355"/>
        <v/>
      </c>
      <c r="AR4347" s="206">
        <f t="shared" si="1356"/>
        <v>0</v>
      </c>
      <c r="AS4347" s="22" t="str">
        <f t="shared" si="1357"/>
        <v/>
      </c>
      <c r="AT4347" s="24" t="str">
        <f t="shared" si="1358"/>
        <v/>
      </c>
      <c r="AU4347" s="22" t="s">
        <v>3240</v>
      </c>
    </row>
    <row r="4348" spans="1:47">
      <c r="A4348" s="246" t="str">
        <f t="shared" si="1346"/>
        <v/>
      </c>
      <c r="B4348" s="23"/>
      <c r="C4348" s="23"/>
      <c r="D4348" s="202" t="str">
        <f t="shared" si="1347"/>
        <v/>
      </c>
      <c r="E4348" s="33" t="str">
        <f t="shared" si="1341"/>
        <v/>
      </c>
      <c r="F4348" s="23"/>
      <c r="G4348" s="23"/>
      <c r="H4348" s="29"/>
      <c r="I4348" s="204" t="str">
        <f t="shared" si="1344"/>
        <v/>
      </c>
      <c r="J4348" s="188"/>
      <c r="K4348" s="29"/>
      <c r="L4348" s="24"/>
      <c r="M4348" s="22"/>
      <c r="N4348" s="22"/>
      <c r="O4348" s="22"/>
      <c r="P4348" s="202" t="str">
        <f t="shared" si="1345"/>
        <v/>
      </c>
      <c r="Q4348" s="22"/>
      <c r="R4348" s="22"/>
      <c r="S4348" s="22"/>
      <c r="T4348" s="22"/>
      <c r="U4348" s="22"/>
      <c r="V4348" s="22"/>
      <c r="W4348" s="22"/>
      <c r="X4348" s="104"/>
      <c r="Y4348" s="195" t="str">
        <f t="shared" si="1342"/>
        <v/>
      </c>
      <c r="Z4348" s="196" t="str">
        <f t="shared" si="1343"/>
        <v/>
      </c>
      <c r="AA4348" s="22"/>
      <c r="AB4348" s="197" t="str">
        <f t="shared" si="1348"/>
        <v/>
      </c>
      <c r="AC4348" s="198" t="str">
        <f t="shared" si="1349"/>
        <v/>
      </c>
      <c r="AD4348" s="162"/>
      <c r="AE4348" s="199" t="str">
        <f t="shared" si="1350"/>
        <v/>
      </c>
      <c r="AF4348" s="199" t="str">
        <f>IF(AND(COUNTIFS($J$18:J4348,J4348)=1,AE4348=1),1,"")</f>
        <v/>
      </c>
      <c r="AG4348" s="199" t="str">
        <f>IF(C4348="","",IF(AND(COUNTIFS($J$18:J4348,J4348)=1,C4348&lt;&gt;""),1,""))</f>
        <v/>
      </c>
      <c r="AH4348" s="199" t="str">
        <f>IF(G4348="","",IF(AND(COUNTIFS($J$18:J4348,J4348)=1,G4348&lt;&gt;""),1,""))</f>
        <v/>
      </c>
      <c r="AI4348" s="200">
        <f t="shared" si="1351"/>
        <v>0</v>
      </c>
      <c r="AJ4348" s="200">
        <f t="shared" si="1352"/>
        <v>0</v>
      </c>
      <c r="AK4348" s="201" t="str">
        <f t="shared" si="1353"/>
        <v/>
      </c>
      <c r="AL4348" s="24"/>
      <c r="AM4348" s="24"/>
      <c r="AN4348" s="24"/>
      <c r="AO4348" s="24"/>
      <c r="AP4348" s="165" t="str">
        <f t="shared" si="1354"/>
        <v/>
      </c>
      <c r="AQ4348" s="203" t="str">
        <f t="shared" si="1355"/>
        <v/>
      </c>
      <c r="AR4348" s="206">
        <f t="shared" si="1356"/>
        <v>0</v>
      </c>
      <c r="AS4348" s="22" t="str">
        <f t="shared" si="1357"/>
        <v/>
      </c>
      <c r="AT4348" s="24" t="str">
        <f t="shared" si="1358"/>
        <v/>
      </c>
      <c r="AU4348" s="22" t="s">
        <v>3240</v>
      </c>
    </row>
    <row r="4349" spans="1:47">
      <c r="A4349" s="246" t="str">
        <f t="shared" si="1346"/>
        <v/>
      </c>
      <c r="B4349" s="23"/>
      <c r="C4349" s="23"/>
      <c r="D4349" s="202" t="str">
        <f t="shared" si="1347"/>
        <v/>
      </c>
      <c r="E4349" s="33" t="str">
        <f t="shared" si="1341"/>
        <v/>
      </c>
      <c r="F4349" s="23"/>
      <c r="G4349" s="23"/>
      <c r="H4349" s="29"/>
      <c r="I4349" s="204" t="str">
        <f t="shared" si="1344"/>
        <v/>
      </c>
      <c r="J4349" s="188"/>
      <c r="K4349" s="29"/>
      <c r="L4349" s="24"/>
      <c r="M4349" s="22"/>
      <c r="N4349" s="22"/>
      <c r="O4349" s="22"/>
      <c r="P4349" s="202" t="str">
        <f t="shared" si="1345"/>
        <v/>
      </c>
      <c r="Q4349" s="22"/>
      <c r="R4349" s="22"/>
      <c r="S4349" s="22"/>
      <c r="T4349" s="22"/>
      <c r="U4349" s="22"/>
      <c r="V4349" s="22"/>
      <c r="W4349" s="22"/>
      <c r="X4349" s="104"/>
      <c r="Y4349" s="195" t="str">
        <f t="shared" si="1342"/>
        <v/>
      </c>
      <c r="Z4349" s="196" t="str">
        <f t="shared" si="1343"/>
        <v/>
      </c>
      <c r="AA4349" s="22"/>
      <c r="AB4349" s="197" t="str">
        <f t="shared" si="1348"/>
        <v/>
      </c>
      <c r="AC4349" s="198" t="str">
        <f t="shared" si="1349"/>
        <v/>
      </c>
      <c r="AD4349" s="162"/>
      <c r="AE4349" s="199" t="str">
        <f t="shared" si="1350"/>
        <v/>
      </c>
      <c r="AF4349" s="199" t="str">
        <f>IF(AND(COUNTIFS($J$18:J4349,J4349)=1,AE4349=1),1,"")</f>
        <v/>
      </c>
      <c r="AG4349" s="199" t="str">
        <f>IF(C4349="","",IF(AND(COUNTIFS($J$18:J4349,J4349)=1,C4349&lt;&gt;""),1,""))</f>
        <v/>
      </c>
      <c r="AH4349" s="199" t="str">
        <f>IF(G4349="","",IF(AND(COUNTIFS($J$18:J4349,J4349)=1,G4349&lt;&gt;""),1,""))</f>
        <v/>
      </c>
      <c r="AI4349" s="200">
        <f t="shared" si="1351"/>
        <v>0</v>
      </c>
      <c r="AJ4349" s="200">
        <f t="shared" si="1352"/>
        <v>0</v>
      </c>
      <c r="AK4349" s="201" t="str">
        <f t="shared" si="1353"/>
        <v/>
      </c>
      <c r="AL4349" s="24"/>
      <c r="AM4349" s="24"/>
      <c r="AN4349" s="24"/>
      <c r="AO4349" s="24"/>
      <c r="AP4349" s="165" t="str">
        <f t="shared" si="1354"/>
        <v/>
      </c>
      <c r="AQ4349" s="203" t="str">
        <f t="shared" si="1355"/>
        <v/>
      </c>
      <c r="AR4349" s="206">
        <f t="shared" si="1356"/>
        <v>0</v>
      </c>
      <c r="AS4349" s="22" t="str">
        <f t="shared" si="1357"/>
        <v/>
      </c>
      <c r="AT4349" s="24" t="str">
        <f t="shared" si="1358"/>
        <v/>
      </c>
      <c r="AU4349" s="22" t="s">
        <v>3240</v>
      </c>
    </row>
    <row r="4350" spans="1:47">
      <c r="A4350" s="246" t="str">
        <f t="shared" si="1346"/>
        <v/>
      </c>
      <c r="B4350" s="23"/>
      <c r="C4350" s="23"/>
      <c r="D4350" s="202" t="str">
        <f t="shared" si="1347"/>
        <v/>
      </c>
      <c r="E4350" s="33" t="str">
        <f t="shared" si="1341"/>
        <v/>
      </c>
      <c r="F4350" s="23"/>
      <c r="G4350" s="23"/>
      <c r="H4350" s="29"/>
      <c r="I4350" s="204" t="str">
        <f t="shared" si="1344"/>
        <v/>
      </c>
      <c r="J4350" s="188"/>
      <c r="K4350" s="29"/>
      <c r="L4350" s="24"/>
      <c r="M4350" s="22"/>
      <c r="N4350" s="22"/>
      <c r="O4350" s="22"/>
      <c r="P4350" s="202" t="str">
        <f t="shared" si="1345"/>
        <v/>
      </c>
      <c r="Q4350" s="22"/>
      <c r="R4350" s="22"/>
      <c r="S4350" s="22"/>
      <c r="T4350" s="22"/>
      <c r="U4350" s="22"/>
      <c r="V4350" s="22"/>
      <c r="W4350" s="22"/>
      <c r="X4350" s="104"/>
      <c r="Y4350" s="195" t="str">
        <f t="shared" si="1342"/>
        <v/>
      </c>
      <c r="Z4350" s="196" t="str">
        <f t="shared" si="1343"/>
        <v/>
      </c>
      <c r="AA4350" s="22"/>
      <c r="AB4350" s="197" t="str">
        <f t="shared" si="1348"/>
        <v/>
      </c>
      <c r="AC4350" s="198" t="str">
        <f t="shared" si="1349"/>
        <v/>
      </c>
      <c r="AD4350" s="162"/>
      <c r="AE4350" s="199" t="str">
        <f t="shared" si="1350"/>
        <v/>
      </c>
      <c r="AF4350" s="199" t="str">
        <f>IF(AND(COUNTIFS($J$18:J4350,J4350)=1,AE4350=1),1,"")</f>
        <v/>
      </c>
      <c r="AG4350" s="199" t="str">
        <f>IF(C4350="","",IF(AND(COUNTIFS($J$18:J4350,J4350)=1,C4350&lt;&gt;""),1,""))</f>
        <v/>
      </c>
      <c r="AH4350" s="199" t="str">
        <f>IF(G4350="","",IF(AND(COUNTIFS($J$18:J4350,J4350)=1,G4350&lt;&gt;""),1,""))</f>
        <v/>
      </c>
      <c r="AI4350" s="200">
        <f t="shared" si="1351"/>
        <v>0</v>
      </c>
      <c r="AJ4350" s="200">
        <f t="shared" si="1352"/>
        <v>0</v>
      </c>
      <c r="AK4350" s="201" t="str">
        <f t="shared" si="1353"/>
        <v/>
      </c>
      <c r="AL4350" s="24"/>
      <c r="AM4350" s="24"/>
      <c r="AN4350" s="24"/>
      <c r="AO4350" s="24"/>
      <c r="AP4350" s="165" t="str">
        <f t="shared" si="1354"/>
        <v/>
      </c>
      <c r="AQ4350" s="203" t="str">
        <f t="shared" si="1355"/>
        <v/>
      </c>
      <c r="AR4350" s="206">
        <f t="shared" si="1356"/>
        <v>0</v>
      </c>
      <c r="AS4350" s="22" t="str">
        <f t="shared" si="1357"/>
        <v/>
      </c>
      <c r="AT4350" s="24" t="str">
        <f t="shared" si="1358"/>
        <v/>
      </c>
      <c r="AU4350" s="22" t="s">
        <v>3240</v>
      </c>
    </row>
    <row r="4351" spans="1:47">
      <c r="A4351" s="246" t="str">
        <f t="shared" si="1346"/>
        <v/>
      </c>
      <c r="B4351" s="23"/>
      <c r="C4351" s="23"/>
      <c r="D4351" s="202" t="str">
        <f t="shared" si="1347"/>
        <v/>
      </c>
      <c r="E4351" s="33" t="str">
        <f t="shared" si="1341"/>
        <v/>
      </c>
      <c r="F4351" s="23"/>
      <c r="G4351" s="23"/>
      <c r="H4351" s="29"/>
      <c r="I4351" s="204" t="str">
        <f t="shared" si="1344"/>
        <v/>
      </c>
      <c r="J4351" s="188"/>
      <c r="K4351" s="29"/>
      <c r="L4351" s="24"/>
      <c r="M4351" s="22"/>
      <c r="N4351" s="22"/>
      <c r="O4351" s="22"/>
      <c r="P4351" s="202" t="str">
        <f t="shared" si="1345"/>
        <v/>
      </c>
      <c r="Q4351" s="22"/>
      <c r="R4351" s="22"/>
      <c r="S4351" s="22"/>
      <c r="T4351" s="22"/>
      <c r="U4351" s="22"/>
      <c r="V4351" s="22"/>
      <c r="W4351" s="22"/>
      <c r="X4351" s="104"/>
      <c r="Y4351" s="195" t="str">
        <f t="shared" si="1342"/>
        <v/>
      </c>
      <c r="Z4351" s="196" t="str">
        <f t="shared" si="1343"/>
        <v/>
      </c>
      <c r="AA4351" s="22"/>
      <c r="AB4351" s="197" t="str">
        <f t="shared" si="1348"/>
        <v/>
      </c>
      <c r="AC4351" s="198" t="str">
        <f t="shared" si="1349"/>
        <v/>
      </c>
      <c r="AD4351" s="162"/>
      <c r="AE4351" s="199" t="str">
        <f t="shared" si="1350"/>
        <v/>
      </c>
      <c r="AF4351" s="199" t="str">
        <f>IF(AND(COUNTIFS($J$18:J4351,J4351)=1,AE4351=1),1,"")</f>
        <v/>
      </c>
      <c r="AG4351" s="199" t="str">
        <f>IF(C4351="","",IF(AND(COUNTIFS($J$18:J4351,J4351)=1,C4351&lt;&gt;""),1,""))</f>
        <v/>
      </c>
      <c r="AH4351" s="199" t="str">
        <f>IF(G4351="","",IF(AND(COUNTIFS($J$18:J4351,J4351)=1,G4351&lt;&gt;""),1,""))</f>
        <v/>
      </c>
      <c r="AI4351" s="200">
        <f t="shared" si="1351"/>
        <v>0</v>
      </c>
      <c r="AJ4351" s="200">
        <f t="shared" si="1352"/>
        <v>0</v>
      </c>
      <c r="AK4351" s="201" t="str">
        <f t="shared" si="1353"/>
        <v/>
      </c>
      <c r="AL4351" s="24"/>
      <c r="AM4351" s="24"/>
      <c r="AN4351" s="24"/>
      <c r="AO4351" s="24"/>
      <c r="AP4351" s="165" t="str">
        <f t="shared" si="1354"/>
        <v/>
      </c>
      <c r="AQ4351" s="203" t="str">
        <f t="shared" si="1355"/>
        <v/>
      </c>
      <c r="AR4351" s="206">
        <f t="shared" si="1356"/>
        <v>0</v>
      </c>
      <c r="AS4351" s="22" t="str">
        <f t="shared" si="1357"/>
        <v/>
      </c>
      <c r="AT4351" s="24" t="str">
        <f t="shared" si="1358"/>
        <v/>
      </c>
      <c r="AU4351" s="22" t="s">
        <v>3240</v>
      </c>
    </row>
    <row r="4352" spans="1:47">
      <c r="A4352" s="246" t="str">
        <f t="shared" si="1346"/>
        <v/>
      </c>
      <c r="B4352" s="23"/>
      <c r="C4352" s="23"/>
      <c r="D4352" s="202" t="str">
        <f t="shared" si="1347"/>
        <v/>
      </c>
      <c r="E4352" s="33" t="str">
        <f t="shared" si="1341"/>
        <v/>
      </c>
      <c r="F4352" s="23"/>
      <c r="G4352" s="23"/>
      <c r="H4352" s="29"/>
      <c r="I4352" s="204" t="str">
        <f t="shared" si="1344"/>
        <v/>
      </c>
      <c r="J4352" s="188"/>
      <c r="K4352" s="29"/>
      <c r="L4352" s="24"/>
      <c r="M4352" s="22"/>
      <c r="N4352" s="22"/>
      <c r="O4352" s="22"/>
      <c r="P4352" s="202" t="str">
        <f t="shared" si="1345"/>
        <v/>
      </c>
      <c r="Q4352" s="22"/>
      <c r="R4352" s="22"/>
      <c r="S4352" s="22"/>
      <c r="T4352" s="22"/>
      <c r="U4352" s="22"/>
      <c r="V4352" s="22"/>
      <c r="W4352" s="22"/>
      <c r="X4352" s="104"/>
      <c r="Y4352" s="195" t="str">
        <f t="shared" si="1342"/>
        <v/>
      </c>
      <c r="Z4352" s="196" t="str">
        <f t="shared" si="1343"/>
        <v/>
      </c>
      <c r="AA4352" s="22"/>
      <c r="AB4352" s="197" t="str">
        <f t="shared" si="1348"/>
        <v/>
      </c>
      <c r="AC4352" s="198" t="str">
        <f t="shared" si="1349"/>
        <v/>
      </c>
      <c r="AD4352" s="162"/>
      <c r="AE4352" s="199" t="str">
        <f t="shared" si="1350"/>
        <v/>
      </c>
      <c r="AF4352" s="199" t="str">
        <f>IF(AND(COUNTIFS($J$18:J4352,J4352)=1,AE4352=1),1,"")</f>
        <v/>
      </c>
      <c r="AG4352" s="199" t="str">
        <f>IF(C4352="","",IF(AND(COUNTIFS($J$18:J4352,J4352)=1,C4352&lt;&gt;""),1,""))</f>
        <v/>
      </c>
      <c r="AH4352" s="199" t="str">
        <f>IF(G4352="","",IF(AND(COUNTIFS($J$18:J4352,J4352)=1,G4352&lt;&gt;""),1,""))</f>
        <v/>
      </c>
      <c r="AI4352" s="200">
        <f t="shared" si="1351"/>
        <v>0</v>
      </c>
      <c r="AJ4352" s="200">
        <f t="shared" si="1352"/>
        <v>0</v>
      </c>
      <c r="AK4352" s="201" t="str">
        <f t="shared" si="1353"/>
        <v/>
      </c>
      <c r="AL4352" s="24"/>
      <c r="AM4352" s="24"/>
      <c r="AN4352" s="24"/>
      <c r="AO4352" s="24"/>
      <c r="AP4352" s="165" t="str">
        <f t="shared" si="1354"/>
        <v/>
      </c>
      <c r="AQ4352" s="203" t="str">
        <f t="shared" si="1355"/>
        <v/>
      </c>
      <c r="AR4352" s="206">
        <f t="shared" si="1356"/>
        <v>0</v>
      </c>
      <c r="AS4352" s="22" t="str">
        <f t="shared" si="1357"/>
        <v/>
      </c>
      <c r="AT4352" s="24" t="str">
        <f t="shared" si="1358"/>
        <v/>
      </c>
      <c r="AU4352" s="22" t="s">
        <v>3240</v>
      </c>
    </row>
    <row r="4353" spans="1:47">
      <c r="A4353" s="246" t="str">
        <f t="shared" si="1346"/>
        <v/>
      </c>
      <c r="B4353" s="23"/>
      <c r="C4353" s="23"/>
      <c r="D4353" s="202" t="str">
        <f t="shared" si="1347"/>
        <v/>
      </c>
      <c r="E4353" s="33" t="str">
        <f t="shared" si="1341"/>
        <v/>
      </c>
      <c r="F4353" s="23"/>
      <c r="G4353" s="23"/>
      <c r="H4353" s="29"/>
      <c r="I4353" s="204" t="str">
        <f t="shared" si="1344"/>
        <v/>
      </c>
      <c r="J4353" s="188"/>
      <c r="K4353" s="29"/>
      <c r="L4353" s="24"/>
      <c r="M4353" s="22"/>
      <c r="N4353" s="22"/>
      <c r="O4353" s="22"/>
      <c r="P4353" s="202" t="str">
        <f t="shared" si="1345"/>
        <v/>
      </c>
      <c r="Q4353" s="22"/>
      <c r="R4353" s="22"/>
      <c r="S4353" s="22"/>
      <c r="T4353" s="22"/>
      <c r="U4353" s="22"/>
      <c r="V4353" s="22"/>
      <c r="W4353" s="22"/>
      <c r="X4353" s="104"/>
      <c r="Y4353" s="195" t="str">
        <f t="shared" si="1342"/>
        <v/>
      </c>
      <c r="Z4353" s="196" t="str">
        <f t="shared" si="1343"/>
        <v/>
      </c>
      <c r="AA4353" s="22"/>
      <c r="AB4353" s="197" t="str">
        <f t="shared" si="1348"/>
        <v/>
      </c>
      <c r="AC4353" s="198" t="str">
        <f t="shared" si="1349"/>
        <v/>
      </c>
      <c r="AD4353" s="162"/>
      <c r="AE4353" s="199" t="str">
        <f t="shared" si="1350"/>
        <v/>
      </c>
      <c r="AF4353" s="199" t="str">
        <f>IF(AND(COUNTIFS($J$18:J4353,J4353)=1,AE4353=1),1,"")</f>
        <v/>
      </c>
      <c r="AG4353" s="199" t="str">
        <f>IF(C4353="","",IF(AND(COUNTIFS($J$18:J4353,J4353)=1,C4353&lt;&gt;""),1,""))</f>
        <v/>
      </c>
      <c r="AH4353" s="199" t="str">
        <f>IF(G4353="","",IF(AND(COUNTIFS($J$18:J4353,J4353)=1,G4353&lt;&gt;""),1,""))</f>
        <v/>
      </c>
      <c r="AI4353" s="200">
        <f t="shared" si="1351"/>
        <v>0</v>
      </c>
      <c r="AJ4353" s="200">
        <f t="shared" si="1352"/>
        <v>0</v>
      </c>
      <c r="AK4353" s="201" t="str">
        <f t="shared" si="1353"/>
        <v/>
      </c>
      <c r="AL4353" s="24"/>
      <c r="AM4353" s="24"/>
      <c r="AN4353" s="24"/>
      <c r="AO4353" s="24"/>
      <c r="AP4353" s="165" t="str">
        <f t="shared" si="1354"/>
        <v/>
      </c>
      <c r="AQ4353" s="203" t="str">
        <f t="shared" si="1355"/>
        <v/>
      </c>
      <c r="AR4353" s="206">
        <f t="shared" si="1356"/>
        <v>0</v>
      </c>
      <c r="AS4353" s="22" t="str">
        <f t="shared" si="1357"/>
        <v/>
      </c>
      <c r="AT4353" s="24" t="str">
        <f t="shared" si="1358"/>
        <v/>
      </c>
      <c r="AU4353" s="22" t="s">
        <v>3240</v>
      </c>
    </row>
    <row r="4354" spans="1:47">
      <c r="A4354" s="246" t="str">
        <f t="shared" si="1346"/>
        <v/>
      </c>
      <c r="B4354" s="23"/>
      <c r="C4354" s="23"/>
      <c r="D4354" s="202" t="str">
        <f t="shared" si="1347"/>
        <v/>
      </c>
      <c r="E4354" s="33" t="str">
        <f t="shared" si="1341"/>
        <v/>
      </c>
      <c r="F4354" s="23"/>
      <c r="G4354" s="23"/>
      <c r="H4354" s="29"/>
      <c r="I4354" s="204" t="str">
        <f t="shared" si="1344"/>
        <v/>
      </c>
      <c r="J4354" s="188"/>
      <c r="K4354" s="29"/>
      <c r="L4354" s="24"/>
      <c r="M4354" s="22"/>
      <c r="N4354" s="22"/>
      <c r="O4354" s="22"/>
      <c r="P4354" s="202" t="str">
        <f t="shared" si="1345"/>
        <v/>
      </c>
      <c r="Q4354" s="22"/>
      <c r="R4354" s="22"/>
      <c r="S4354" s="22"/>
      <c r="T4354" s="22"/>
      <c r="U4354" s="22"/>
      <c r="V4354" s="22"/>
      <c r="W4354" s="22"/>
      <c r="X4354" s="104"/>
      <c r="Y4354" s="195" t="str">
        <f t="shared" si="1342"/>
        <v/>
      </c>
      <c r="Z4354" s="196" t="str">
        <f t="shared" si="1343"/>
        <v/>
      </c>
      <c r="AA4354" s="22"/>
      <c r="AB4354" s="197" t="str">
        <f t="shared" si="1348"/>
        <v/>
      </c>
      <c r="AC4354" s="198" t="str">
        <f t="shared" si="1349"/>
        <v/>
      </c>
      <c r="AD4354" s="162"/>
      <c r="AE4354" s="199" t="str">
        <f t="shared" si="1350"/>
        <v/>
      </c>
      <c r="AF4354" s="199" t="str">
        <f>IF(AND(COUNTIFS($J$18:J4354,J4354)=1,AE4354=1),1,"")</f>
        <v/>
      </c>
      <c r="AG4354" s="199" t="str">
        <f>IF(C4354="","",IF(AND(COUNTIFS($J$18:J4354,J4354)=1,C4354&lt;&gt;""),1,""))</f>
        <v/>
      </c>
      <c r="AH4354" s="199" t="str">
        <f>IF(G4354="","",IF(AND(COUNTIFS($J$18:J4354,J4354)=1,G4354&lt;&gt;""),1,""))</f>
        <v/>
      </c>
      <c r="AI4354" s="200">
        <f t="shared" si="1351"/>
        <v>0</v>
      </c>
      <c r="AJ4354" s="200">
        <f t="shared" si="1352"/>
        <v>0</v>
      </c>
      <c r="AK4354" s="201" t="str">
        <f t="shared" si="1353"/>
        <v/>
      </c>
      <c r="AL4354" s="24"/>
      <c r="AM4354" s="24"/>
      <c r="AN4354" s="24"/>
      <c r="AO4354" s="24"/>
      <c r="AP4354" s="165" t="str">
        <f t="shared" si="1354"/>
        <v/>
      </c>
      <c r="AQ4354" s="203" t="str">
        <f t="shared" si="1355"/>
        <v/>
      </c>
      <c r="AR4354" s="206">
        <f t="shared" si="1356"/>
        <v>0</v>
      </c>
      <c r="AS4354" s="22" t="str">
        <f t="shared" si="1357"/>
        <v/>
      </c>
      <c r="AT4354" s="24" t="str">
        <f t="shared" si="1358"/>
        <v/>
      </c>
      <c r="AU4354" s="22" t="s">
        <v>3240</v>
      </c>
    </row>
    <row r="4355" spans="1:47">
      <c r="A4355" s="246" t="str">
        <f t="shared" si="1346"/>
        <v/>
      </c>
      <c r="B4355" s="23"/>
      <c r="C4355" s="23"/>
      <c r="D4355" s="202" t="str">
        <f t="shared" si="1347"/>
        <v/>
      </c>
      <c r="E4355" s="33" t="str">
        <f t="shared" si="1341"/>
        <v/>
      </c>
      <c r="F4355" s="23"/>
      <c r="G4355" s="23"/>
      <c r="H4355" s="29"/>
      <c r="I4355" s="204" t="str">
        <f t="shared" si="1344"/>
        <v/>
      </c>
      <c r="J4355" s="188"/>
      <c r="K4355" s="29"/>
      <c r="L4355" s="24"/>
      <c r="M4355" s="22"/>
      <c r="N4355" s="22"/>
      <c r="O4355" s="22"/>
      <c r="P4355" s="202" t="str">
        <f t="shared" si="1345"/>
        <v/>
      </c>
      <c r="Q4355" s="22"/>
      <c r="R4355" s="22"/>
      <c r="S4355" s="22"/>
      <c r="T4355" s="22"/>
      <c r="U4355" s="22"/>
      <c r="V4355" s="22"/>
      <c r="W4355" s="22"/>
      <c r="X4355" s="104"/>
      <c r="Y4355" s="195" t="str">
        <f t="shared" si="1342"/>
        <v/>
      </c>
      <c r="Z4355" s="196" t="str">
        <f t="shared" si="1343"/>
        <v/>
      </c>
      <c r="AA4355" s="22"/>
      <c r="AB4355" s="197" t="str">
        <f t="shared" si="1348"/>
        <v/>
      </c>
      <c r="AC4355" s="198" t="str">
        <f t="shared" si="1349"/>
        <v/>
      </c>
      <c r="AD4355" s="162"/>
      <c r="AE4355" s="199" t="str">
        <f t="shared" si="1350"/>
        <v/>
      </c>
      <c r="AF4355" s="199" t="str">
        <f>IF(AND(COUNTIFS($J$18:J4355,J4355)=1,AE4355=1),1,"")</f>
        <v/>
      </c>
      <c r="AG4355" s="199" t="str">
        <f>IF(C4355="","",IF(AND(COUNTIFS($J$18:J4355,J4355)=1,C4355&lt;&gt;""),1,""))</f>
        <v/>
      </c>
      <c r="AH4355" s="199" t="str">
        <f>IF(G4355="","",IF(AND(COUNTIFS($J$18:J4355,J4355)=1,G4355&lt;&gt;""),1,""))</f>
        <v/>
      </c>
      <c r="AI4355" s="200">
        <f t="shared" si="1351"/>
        <v>0</v>
      </c>
      <c r="AJ4355" s="200">
        <f t="shared" si="1352"/>
        <v>0</v>
      </c>
      <c r="AK4355" s="201" t="str">
        <f t="shared" si="1353"/>
        <v/>
      </c>
      <c r="AL4355" s="24"/>
      <c r="AM4355" s="24"/>
      <c r="AN4355" s="24"/>
      <c r="AO4355" s="24"/>
      <c r="AP4355" s="165" t="str">
        <f t="shared" si="1354"/>
        <v/>
      </c>
      <c r="AQ4355" s="203" t="str">
        <f t="shared" si="1355"/>
        <v/>
      </c>
      <c r="AR4355" s="206">
        <f t="shared" si="1356"/>
        <v>0</v>
      </c>
      <c r="AS4355" s="22" t="str">
        <f t="shared" si="1357"/>
        <v/>
      </c>
      <c r="AT4355" s="24" t="str">
        <f t="shared" si="1358"/>
        <v/>
      </c>
      <c r="AU4355" s="22" t="s">
        <v>3240</v>
      </c>
    </row>
    <row r="4356" spans="1:47">
      <c r="A4356" s="246" t="str">
        <f t="shared" si="1346"/>
        <v/>
      </c>
      <c r="B4356" s="23"/>
      <c r="C4356" s="23"/>
      <c r="D4356" s="202" t="str">
        <f t="shared" si="1347"/>
        <v/>
      </c>
      <c r="E4356" s="33" t="str">
        <f t="shared" si="1341"/>
        <v/>
      </c>
      <c r="F4356" s="23"/>
      <c r="G4356" s="23"/>
      <c r="H4356" s="29"/>
      <c r="I4356" s="204" t="str">
        <f t="shared" si="1344"/>
        <v/>
      </c>
      <c r="J4356" s="188"/>
      <c r="K4356" s="29"/>
      <c r="L4356" s="24"/>
      <c r="M4356" s="22"/>
      <c r="N4356" s="22"/>
      <c r="O4356" s="22"/>
      <c r="P4356" s="202" t="str">
        <f t="shared" si="1345"/>
        <v/>
      </c>
      <c r="Q4356" s="22"/>
      <c r="R4356" s="22"/>
      <c r="S4356" s="22"/>
      <c r="T4356" s="22"/>
      <c r="U4356" s="22"/>
      <c r="V4356" s="22"/>
      <c r="W4356" s="22"/>
      <c r="X4356" s="104"/>
      <c r="Y4356" s="195" t="str">
        <f t="shared" si="1342"/>
        <v/>
      </c>
      <c r="Z4356" s="196" t="str">
        <f t="shared" si="1343"/>
        <v/>
      </c>
      <c r="AA4356" s="22"/>
      <c r="AB4356" s="197" t="str">
        <f t="shared" si="1348"/>
        <v/>
      </c>
      <c r="AC4356" s="198" t="str">
        <f t="shared" si="1349"/>
        <v/>
      </c>
      <c r="AD4356" s="162"/>
      <c r="AE4356" s="199" t="str">
        <f t="shared" si="1350"/>
        <v/>
      </c>
      <c r="AF4356" s="199" t="str">
        <f>IF(AND(COUNTIFS($J$18:J4356,J4356)=1,AE4356=1),1,"")</f>
        <v/>
      </c>
      <c r="AG4356" s="199" t="str">
        <f>IF(C4356="","",IF(AND(COUNTIFS($J$18:J4356,J4356)=1,C4356&lt;&gt;""),1,""))</f>
        <v/>
      </c>
      <c r="AH4356" s="199" t="str">
        <f>IF(G4356="","",IF(AND(COUNTIFS($J$18:J4356,J4356)=1,G4356&lt;&gt;""),1,""))</f>
        <v/>
      </c>
      <c r="AI4356" s="200">
        <f t="shared" si="1351"/>
        <v>0</v>
      </c>
      <c r="AJ4356" s="200">
        <f t="shared" si="1352"/>
        <v>0</v>
      </c>
      <c r="AK4356" s="201" t="str">
        <f t="shared" si="1353"/>
        <v/>
      </c>
      <c r="AL4356" s="24"/>
      <c r="AM4356" s="24"/>
      <c r="AN4356" s="24"/>
      <c r="AO4356" s="24"/>
      <c r="AP4356" s="165" t="str">
        <f t="shared" si="1354"/>
        <v/>
      </c>
      <c r="AQ4356" s="203" t="str">
        <f t="shared" si="1355"/>
        <v/>
      </c>
      <c r="AR4356" s="206">
        <f t="shared" si="1356"/>
        <v>0</v>
      </c>
      <c r="AS4356" s="22" t="str">
        <f t="shared" si="1357"/>
        <v/>
      </c>
      <c r="AT4356" s="24" t="str">
        <f t="shared" si="1358"/>
        <v/>
      </c>
      <c r="AU4356" s="22" t="s">
        <v>3240</v>
      </c>
    </row>
    <row r="4357" spans="1:47">
      <c r="A4357" s="246" t="str">
        <f t="shared" si="1346"/>
        <v/>
      </c>
      <c r="B4357" s="23"/>
      <c r="C4357" s="23"/>
      <c r="D4357" s="202" t="str">
        <f t="shared" si="1347"/>
        <v/>
      </c>
      <c r="E4357" s="33" t="str">
        <f t="shared" si="1341"/>
        <v/>
      </c>
      <c r="F4357" s="23"/>
      <c r="G4357" s="23"/>
      <c r="H4357" s="29"/>
      <c r="I4357" s="204" t="str">
        <f t="shared" si="1344"/>
        <v/>
      </c>
      <c r="J4357" s="188"/>
      <c r="K4357" s="29"/>
      <c r="L4357" s="24"/>
      <c r="M4357" s="22"/>
      <c r="N4357" s="22"/>
      <c r="O4357" s="22"/>
      <c r="P4357" s="202" t="str">
        <f t="shared" si="1345"/>
        <v/>
      </c>
      <c r="Q4357" s="22"/>
      <c r="R4357" s="22"/>
      <c r="S4357" s="22"/>
      <c r="T4357" s="22"/>
      <c r="U4357" s="22"/>
      <c r="V4357" s="22"/>
      <c r="W4357" s="22"/>
      <c r="X4357" s="104"/>
      <c r="Y4357" s="195" t="str">
        <f t="shared" si="1342"/>
        <v/>
      </c>
      <c r="Z4357" s="196" t="str">
        <f t="shared" si="1343"/>
        <v/>
      </c>
      <c r="AA4357" s="22"/>
      <c r="AB4357" s="197" t="str">
        <f t="shared" si="1348"/>
        <v/>
      </c>
      <c r="AC4357" s="198" t="str">
        <f t="shared" si="1349"/>
        <v/>
      </c>
      <c r="AD4357" s="162"/>
      <c r="AE4357" s="199" t="str">
        <f t="shared" si="1350"/>
        <v/>
      </c>
      <c r="AF4357" s="199" t="str">
        <f>IF(AND(COUNTIFS($J$18:J4357,J4357)=1,AE4357=1),1,"")</f>
        <v/>
      </c>
      <c r="AG4357" s="199" t="str">
        <f>IF(C4357="","",IF(AND(COUNTIFS($J$18:J4357,J4357)=1,C4357&lt;&gt;""),1,""))</f>
        <v/>
      </c>
      <c r="AH4357" s="199" t="str">
        <f>IF(G4357="","",IF(AND(COUNTIFS($J$18:J4357,J4357)=1,G4357&lt;&gt;""),1,""))</f>
        <v/>
      </c>
      <c r="AI4357" s="200">
        <f t="shared" si="1351"/>
        <v>0</v>
      </c>
      <c r="AJ4357" s="200">
        <f t="shared" si="1352"/>
        <v>0</v>
      </c>
      <c r="AK4357" s="201" t="str">
        <f t="shared" si="1353"/>
        <v/>
      </c>
      <c r="AL4357" s="24"/>
      <c r="AM4357" s="24"/>
      <c r="AN4357" s="24"/>
      <c r="AO4357" s="24"/>
      <c r="AP4357" s="165" t="str">
        <f t="shared" si="1354"/>
        <v/>
      </c>
      <c r="AQ4357" s="203" t="str">
        <f t="shared" si="1355"/>
        <v/>
      </c>
      <c r="AR4357" s="206">
        <f t="shared" si="1356"/>
        <v>0</v>
      </c>
      <c r="AS4357" s="22" t="str">
        <f t="shared" si="1357"/>
        <v/>
      </c>
      <c r="AT4357" s="24" t="str">
        <f t="shared" si="1358"/>
        <v/>
      </c>
      <c r="AU4357" s="22" t="s">
        <v>3240</v>
      </c>
    </row>
    <row r="4358" spans="1:47">
      <c r="A4358" s="246" t="str">
        <f t="shared" si="1346"/>
        <v/>
      </c>
      <c r="B4358" s="23"/>
      <c r="C4358" s="23"/>
      <c r="D4358" s="202" t="str">
        <f t="shared" si="1347"/>
        <v/>
      </c>
      <c r="E4358" s="33" t="str">
        <f t="shared" si="1341"/>
        <v/>
      </c>
      <c r="F4358" s="23"/>
      <c r="G4358" s="23"/>
      <c r="H4358" s="29"/>
      <c r="I4358" s="204" t="str">
        <f t="shared" si="1344"/>
        <v/>
      </c>
      <c r="J4358" s="188"/>
      <c r="K4358" s="29"/>
      <c r="L4358" s="24"/>
      <c r="M4358" s="22"/>
      <c r="N4358" s="22"/>
      <c r="O4358" s="22"/>
      <c r="P4358" s="202" t="str">
        <f t="shared" si="1345"/>
        <v/>
      </c>
      <c r="Q4358" s="22"/>
      <c r="R4358" s="22"/>
      <c r="S4358" s="22"/>
      <c r="T4358" s="22"/>
      <c r="U4358" s="22"/>
      <c r="V4358" s="22"/>
      <c r="W4358" s="22"/>
      <c r="X4358" s="104"/>
      <c r="Y4358" s="195" t="str">
        <f t="shared" si="1342"/>
        <v/>
      </c>
      <c r="Z4358" s="196" t="str">
        <f t="shared" si="1343"/>
        <v/>
      </c>
      <c r="AA4358" s="22"/>
      <c r="AB4358" s="197" t="str">
        <f t="shared" si="1348"/>
        <v/>
      </c>
      <c r="AC4358" s="198" t="str">
        <f t="shared" si="1349"/>
        <v/>
      </c>
      <c r="AD4358" s="162"/>
      <c r="AE4358" s="199" t="str">
        <f t="shared" si="1350"/>
        <v/>
      </c>
      <c r="AF4358" s="199" t="str">
        <f>IF(AND(COUNTIFS($J$18:J4358,J4358)=1,AE4358=1),1,"")</f>
        <v/>
      </c>
      <c r="AG4358" s="199" t="str">
        <f>IF(C4358="","",IF(AND(COUNTIFS($J$18:J4358,J4358)=1,C4358&lt;&gt;""),1,""))</f>
        <v/>
      </c>
      <c r="AH4358" s="199" t="str">
        <f>IF(G4358="","",IF(AND(COUNTIFS($J$18:J4358,J4358)=1,G4358&lt;&gt;""),1,""))</f>
        <v/>
      </c>
      <c r="AI4358" s="200">
        <f t="shared" si="1351"/>
        <v>0</v>
      </c>
      <c r="AJ4358" s="200">
        <f t="shared" si="1352"/>
        <v>0</v>
      </c>
      <c r="AK4358" s="201" t="str">
        <f t="shared" si="1353"/>
        <v/>
      </c>
      <c r="AL4358" s="24"/>
      <c r="AM4358" s="24"/>
      <c r="AN4358" s="24"/>
      <c r="AO4358" s="24"/>
      <c r="AP4358" s="165" t="str">
        <f t="shared" si="1354"/>
        <v/>
      </c>
      <c r="AQ4358" s="203" t="str">
        <f t="shared" si="1355"/>
        <v/>
      </c>
      <c r="AR4358" s="206">
        <f t="shared" si="1356"/>
        <v>0</v>
      </c>
      <c r="AS4358" s="22" t="str">
        <f t="shared" si="1357"/>
        <v/>
      </c>
      <c r="AT4358" s="24" t="str">
        <f t="shared" si="1358"/>
        <v/>
      </c>
      <c r="AU4358" s="22" t="s">
        <v>3240</v>
      </c>
    </row>
    <row r="4359" spans="1:47">
      <c r="A4359" s="246" t="str">
        <f t="shared" si="1346"/>
        <v/>
      </c>
      <c r="B4359" s="23"/>
      <c r="C4359" s="23"/>
      <c r="D4359" s="202" t="str">
        <f t="shared" si="1347"/>
        <v/>
      </c>
      <c r="E4359" s="33" t="str">
        <f t="shared" si="1341"/>
        <v/>
      </c>
      <c r="F4359" s="23"/>
      <c r="G4359" s="23"/>
      <c r="H4359" s="29"/>
      <c r="I4359" s="204" t="str">
        <f t="shared" si="1344"/>
        <v/>
      </c>
      <c r="J4359" s="188"/>
      <c r="K4359" s="29"/>
      <c r="L4359" s="24"/>
      <c r="M4359" s="22"/>
      <c r="N4359" s="22"/>
      <c r="O4359" s="22"/>
      <c r="P4359" s="202" t="str">
        <f t="shared" si="1345"/>
        <v/>
      </c>
      <c r="Q4359" s="22"/>
      <c r="R4359" s="22"/>
      <c r="S4359" s="22"/>
      <c r="T4359" s="22"/>
      <c r="U4359" s="22"/>
      <c r="V4359" s="22"/>
      <c r="W4359" s="22"/>
      <c r="X4359" s="104"/>
      <c r="Y4359" s="195" t="str">
        <f t="shared" si="1342"/>
        <v/>
      </c>
      <c r="Z4359" s="196" t="str">
        <f t="shared" si="1343"/>
        <v/>
      </c>
      <c r="AA4359" s="22"/>
      <c r="AB4359" s="197" t="str">
        <f t="shared" si="1348"/>
        <v/>
      </c>
      <c r="AC4359" s="198" t="str">
        <f t="shared" si="1349"/>
        <v/>
      </c>
      <c r="AD4359" s="162"/>
      <c r="AE4359" s="199" t="str">
        <f t="shared" si="1350"/>
        <v/>
      </c>
      <c r="AF4359" s="199" t="str">
        <f>IF(AND(COUNTIFS($J$18:J4359,J4359)=1,AE4359=1),1,"")</f>
        <v/>
      </c>
      <c r="AG4359" s="199" t="str">
        <f>IF(C4359="","",IF(AND(COUNTIFS($J$18:J4359,J4359)=1,C4359&lt;&gt;""),1,""))</f>
        <v/>
      </c>
      <c r="AH4359" s="199" t="str">
        <f>IF(G4359="","",IF(AND(COUNTIFS($J$18:J4359,J4359)=1,G4359&lt;&gt;""),1,""))</f>
        <v/>
      </c>
      <c r="AI4359" s="200">
        <f t="shared" si="1351"/>
        <v>0</v>
      </c>
      <c r="AJ4359" s="200">
        <f t="shared" si="1352"/>
        <v>0</v>
      </c>
      <c r="AK4359" s="201" t="str">
        <f t="shared" si="1353"/>
        <v/>
      </c>
      <c r="AL4359" s="24"/>
      <c r="AM4359" s="24"/>
      <c r="AN4359" s="24"/>
      <c r="AO4359" s="24"/>
      <c r="AP4359" s="165" t="str">
        <f t="shared" si="1354"/>
        <v/>
      </c>
      <c r="AQ4359" s="203" t="str">
        <f t="shared" si="1355"/>
        <v/>
      </c>
      <c r="AR4359" s="206">
        <f t="shared" si="1356"/>
        <v>0</v>
      </c>
      <c r="AS4359" s="22" t="str">
        <f t="shared" si="1357"/>
        <v/>
      </c>
      <c r="AT4359" s="24" t="str">
        <f t="shared" si="1358"/>
        <v/>
      </c>
      <c r="AU4359" s="22" t="s">
        <v>3240</v>
      </c>
    </row>
    <row r="4360" spans="1:47">
      <c r="A4360" s="246" t="str">
        <f t="shared" si="1346"/>
        <v/>
      </c>
      <c r="B4360" s="23"/>
      <c r="C4360" s="23"/>
      <c r="D4360" s="202" t="str">
        <f t="shared" si="1347"/>
        <v/>
      </c>
      <c r="E4360" s="33" t="str">
        <f t="shared" si="1341"/>
        <v/>
      </c>
      <c r="F4360" s="23"/>
      <c r="G4360" s="23"/>
      <c r="H4360" s="29"/>
      <c r="I4360" s="204" t="str">
        <f t="shared" si="1344"/>
        <v/>
      </c>
      <c r="J4360" s="188"/>
      <c r="K4360" s="29"/>
      <c r="L4360" s="24"/>
      <c r="M4360" s="22"/>
      <c r="N4360" s="22"/>
      <c r="O4360" s="22"/>
      <c r="P4360" s="202" t="str">
        <f t="shared" si="1345"/>
        <v/>
      </c>
      <c r="Q4360" s="22"/>
      <c r="R4360" s="22"/>
      <c r="S4360" s="22"/>
      <c r="T4360" s="22"/>
      <c r="U4360" s="22"/>
      <c r="V4360" s="22"/>
      <c r="W4360" s="22"/>
      <c r="X4360" s="104"/>
      <c r="Y4360" s="195" t="str">
        <f t="shared" si="1342"/>
        <v/>
      </c>
      <c r="Z4360" s="196" t="str">
        <f t="shared" si="1343"/>
        <v/>
      </c>
      <c r="AA4360" s="22"/>
      <c r="AB4360" s="197" t="str">
        <f t="shared" si="1348"/>
        <v/>
      </c>
      <c r="AC4360" s="198" t="str">
        <f t="shared" si="1349"/>
        <v/>
      </c>
      <c r="AD4360" s="162"/>
      <c r="AE4360" s="199" t="str">
        <f t="shared" si="1350"/>
        <v/>
      </c>
      <c r="AF4360" s="199" t="str">
        <f>IF(AND(COUNTIFS($J$18:J4360,J4360)=1,AE4360=1),1,"")</f>
        <v/>
      </c>
      <c r="AG4360" s="199" t="str">
        <f>IF(C4360="","",IF(AND(COUNTIFS($J$18:J4360,J4360)=1,C4360&lt;&gt;""),1,""))</f>
        <v/>
      </c>
      <c r="AH4360" s="199" t="str">
        <f>IF(G4360="","",IF(AND(COUNTIFS($J$18:J4360,J4360)=1,G4360&lt;&gt;""),1,""))</f>
        <v/>
      </c>
      <c r="AI4360" s="200">
        <f t="shared" si="1351"/>
        <v>0</v>
      </c>
      <c r="AJ4360" s="200">
        <f t="shared" si="1352"/>
        <v>0</v>
      </c>
      <c r="AK4360" s="201" t="str">
        <f t="shared" si="1353"/>
        <v/>
      </c>
      <c r="AL4360" s="24"/>
      <c r="AM4360" s="24"/>
      <c r="AN4360" s="24"/>
      <c r="AO4360" s="24"/>
      <c r="AP4360" s="165" t="str">
        <f t="shared" si="1354"/>
        <v/>
      </c>
      <c r="AQ4360" s="203" t="str">
        <f t="shared" si="1355"/>
        <v/>
      </c>
      <c r="AR4360" s="206">
        <f t="shared" si="1356"/>
        <v>0</v>
      </c>
      <c r="AS4360" s="22" t="str">
        <f t="shared" si="1357"/>
        <v/>
      </c>
      <c r="AT4360" s="24" t="str">
        <f t="shared" si="1358"/>
        <v/>
      </c>
      <c r="AU4360" s="22" t="s">
        <v>3240</v>
      </c>
    </row>
    <row r="4361" spans="1:47">
      <c r="A4361" s="246" t="str">
        <f t="shared" si="1346"/>
        <v/>
      </c>
      <c r="B4361" s="23"/>
      <c r="C4361" s="23"/>
      <c r="D4361" s="202" t="str">
        <f t="shared" si="1347"/>
        <v/>
      </c>
      <c r="E4361" s="33" t="str">
        <f t="shared" si="1341"/>
        <v/>
      </c>
      <c r="F4361" s="23"/>
      <c r="G4361" s="23"/>
      <c r="H4361" s="29"/>
      <c r="I4361" s="204" t="str">
        <f t="shared" si="1344"/>
        <v/>
      </c>
      <c r="J4361" s="188"/>
      <c r="K4361" s="29"/>
      <c r="L4361" s="24"/>
      <c r="M4361" s="22"/>
      <c r="N4361" s="22"/>
      <c r="O4361" s="22"/>
      <c r="P4361" s="202" t="str">
        <f t="shared" si="1345"/>
        <v/>
      </c>
      <c r="Q4361" s="22"/>
      <c r="R4361" s="22"/>
      <c r="S4361" s="22"/>
      <c r="T4361" s="22"/>
      <c r="U4361" s="22"/>
      <c r="V4361" s="22"/>
      <c r="W4361" s="22"/>
      <c r="X4361" s="104"/>
      <c r="Y4361" s="195" t="str">
        <f t="shared" si="1342"/>
        <v/>
      </c>
      <c r="Z4361" s="196" t="str">
        <f t="shared" si="1343"/>
        <v/>
      </c>
      <c r="AA4361" s="22"/>
      <c r="AB4361" s="197" t="str">
        <f t="shared" si="1348"/>
        <v/>
      </c>
      <c r="AC4361" s="198" t="str">
        <f t="shared" si="1349"/>
        <v/>
      </c>
      <c r="AD4361" s="162"/>
      <c r="AE4361" s="199" t="str">
        <f t="shared" si="1350"/>
        <v/>
      </c>
      <c r="AF4361" s="199" t="str">
        <f>IF(AND(COUNTIFS($J$18:J4361,J4361)=1,AE4361=1),1,"")</f>
        <v/>
      </c>
      <c r="AG4361" s="199" t="str">
        <f>IF(C4361="","",IF(AND(COUNTIFS($J$18:J4361,J4361)=1,C4361&lt;&gt;""),1,""))</f>
        <v/>
      </c>
      <c r="AH4361" s="199" t="str">
        <f>IF(G4361="","",IF(AND(COUNTIFS($J$18:J4361,J4361)=1,G4361&lt;&gt;""),1,""))</f>
        <v/>
      </c>
      <c r="AI4361" s="200">
        <f t="shared" si="1351"/>
        <v>0</v>
      </c>
      <c r="AJ4361" s="200">
        <f t="shared" si="1352"/>
        <v>0</v>
      </c>
      <c r="AK4361" s="201" t="str">
        <f t="shared" si="1353"/>
        <v/>
      </c>
      <c r="AL4361" s="24"/>
      <c r="AM4361" s="24"/>
      <c r="AN4361" s="24"/>
      <c r="AO4361" s="24"/>
      <c r="AP4361" s="165" t="str">
        <f t="shared" si="1354"/>
        <v/>
      </c>
      <c r="AQ4361" s="203" t="str">
        <f t="shared" si="1355"/>
        <v/>
      </c>
      <c r="AR4361" s="206">
        <f t="shared" si="1356"/>
        <v>0</v>
      </c>
      <c r="AS4361" s="22" t="str">
        <f t="shared" si="1357"/>
        <v/>
      </c>
      <c r="AT4361" s="24" t="str">
        <f t="shared" si="1358"/>
        <v/>
      </c>
      <c r="AU4361" s="22" t="s">
        <v>3240</v>
      </c>
    </row>
    <row r="4362" spans="1:47">
      <c r="A4362" s="246" t="str">
        <f t="shared" si="1346"/>
        <v/>
      </c>
      <c r="B4362" s="23"/>
      <c r="C4362" s="23"/>
      <c r="D4362" s="202" t="str">
        <f t="shared" si="1347"/>
        <v/>
      </c>
      <c r="E4362" s="33" t="str">
        <f t="shared" si="1341"/>
        <v/>
      </c>
      <c r="F4362" s="23"/>
      <c r="G4362" s="23"/>
      <c r="H4362" s="29"/>
      <c r="I4362" s="204" t="str">
        <f t="shared" si="1344"/>
        <v/>
      </c>
      <c r="J4362" s="188"/>
      <c r="K4362" s="29"/>
      <c r="L4362" s="24"/>
      <c r="M4362" s="22"/>
      <c r="N4362" s="22"/>
      <c r="O4362" s="22"/>
      <c r="P4362" s="202" t="str">
        <f t="shared" si="1345"/>
        <v/>
      </c>
      <c r="Q4362" s="22"/>
      <c r="R4362" s="22"/>
      <c r="S4362" s="22"/>
      <c r="T4362" s="22"/>
      <c r="U4362" s="22"/>
      <c r="V4362" s="22"/>
      <c r="W4362" s="22"/>
      <c r="X4362" s="104"/>
      <c r="Y4362" s="195" t="str">
        <f t="shared" si="1342"/>
        <v/>
      </c>
      <c r="Z4362" s="196" t="str">
        <f t="shared" si="1343"/>
        <v/>
      </c>
      <c r="AA4362" s="22"/>
      <c r="AB4362" s="197" t="str">
        <f t="shared" si="1348"/>
        <v/>
      </c>
      <c r="AC4362" s="198" t="str">
        <f t="shared" si="1349"/>
        <v/>
      </c>
      <c r="AD4362" s="162"/>
      <c r="AE4362" s="199" t="str">
        <f t="shared" si="1350"/>
        <v/>
      </c>
      <c r="AF4362" s="199" t="str">
        <f>IF(AND(COUNTIFS($J$18:J4362,J4362)=1,AE4362=1),1,"")</f>
        <v/>
      </c>
      <c r="AG4362" s="199" t="str">
        <f>IF(C4362="","",IF(AND(COUNTIFS($J$18:J4362,J4362)=1,C4362&lt;&gt;""),1,""))</f>
        <v/>
      </c>
      <c r="AH4362" s="199" t="str">
        <f>IF(G4362="","",IF(AND(COUNTIFS($J$18:J4362,J4362)=1,G4362&lt;&gt;""),1,""))</f>
        <v/>
      </c>
      <c r="AI4362" s="200">
        <f t="shared" si="1351"/>
        <v>0</v>
      </c>
      <c r="AJ4362" s="200">
        <f t="shared" si="1352"/>
        <v>0</v>
      </c>
      <c r="AK4362" s="201" t="str">
        <f t="shared" si="1353"/>
        <v/>
      </c>
      <c r="AL4362" s="24"/>
      <c r="AM4362" s="24"/>
      <c r="AN4362" s="24"/>
      <c r="AO4362" s="24"/>
      <c r="AP4362" s="165" t="str">
        <f t="shared" si="1354"/>
        <v/>
      </c>
      <c r="AQ4362" s="203" t="str">
        <f t="shared" si="1355"/>
        <v/>
      </c>
      <c r="AR4362" s="206">
        <f t="shared" si="1356"/>
        <v>0</v>
      </c>
      <c r="AS4362" s="22" t="str">
        <f t="shared" si="1357"/>
        <v/>
      </c>
      <c r="AT4362" s="24" t="str">
        <f t="shared" si="1358"/>
        <v/>
      </c>
      <c r="AU4362" s="22" t="s">
        <v>3240</v>
      </c>
    </row>
    <row r="4363" spans="1:47">
      <c r="A4363" s="246" t="str">
        <f t="shared" si="1346"/>
        <v/>
      </c>
      <c r="B4363" s="23"/>
      <c r="C4363" s="23"/>
      <c r="D4363" s="202" t="str">
        <f t="shared" si="1347"/>
        <v/>
      </c>
      <c r="E4363" s="33" t="str">
        <f t="shared" si="1341"/>
        <v/>
      </c>
      <c r="F4363" s="23"/>
      <c r="G4363" s="23"/>
      <c r="H4363" s="29"/>
      <c r="I4363" s="204" t="str">
        <f t="shared" si="1344"/>
        <v/>
      </c>
      <c r="J4363" s="188"/>
      <c r="K4363" s="29"/>
      <c r="L4363" s="24"/>
      <c r="M4363" s="22"/>
      <c r="N4363" s="22"/>
      <c r="O4363" s="22"/>
      <c r="P4363" s="202" t="str">
        <f t="shared" si="1345"/>
        <v/>
      </c>
      <c r="Q4363" s="22"/>
      <c r="R4363" s="22"/>
      <c r="S4363" s="22"/>
      <c r="T4363" s="22"/>
      <c r="U4363" s="22"/>
      <c r="V4363" s="22"/>
      <c r="W4363" s="22"/>
      <c r="X4363" s="104"/>
      <c r="Y4363" s="195" t="str">
        <f t="shared" si="1342"/>
        <v/>
      </c>
      <c r="Z4363" s="196" t="str">
        <f t="shared" si="1343"/>
        <v/>
      </c>
      <c r="AA4363" s="22"/>
      <c r="AB4363" s="197" t="str">
        <f t="shared" si="1348"/>
        <v/>
      </c>
      <c r="AC4363" s="198" t="str">
        <f t="shared" si="1349"/>
        <v/>
      </c>
      <c r="AD4363" s="162"/>
      <c r="AE4363" s="199" t="str">
        <f t="shared" si="1350"/>
        <v/>
      </c>
      <c r="AF4363" s="199" t="str">
        <f>IF(AND(COUNTIFS($J$18:J4363,J4363)=1,AE4363=1),1,"")</f>
        <v/>
      </c>
      <c r="AG4363" s="199" t="str">
        <f>IF(C4363="","",IF(AND(COUNTIFS($J$18:J4363,J4363)=1,C4363&lt;&gt;""),1,""))</f>
        <v/>
      </c>
      <c r="AH4363" s="199" t="str">
        <f>IF(G4363="","",IF(AND(COUNTIFS($J$18:J4363,J4363)=1,G4363&lt;&gt;""),1,""))</f>
        <v/>
      </c>
      <c r="AI4363" s="200">
        <f t="shared" si="1351"/>
        <v>0</v>
      </c>
      <c r="AJ4363" s="200">
        <f t="shared" si="1352"/>
        <v>0</v>
      </c>
      <c r="AK4363" s="201" t="str">
        <f t="shared" si="1353"/>
        <v/>
      </c>
      <c r="AL4363" s="24"/>
      <c r="AM4363" s="24"/>
      <c r="AN4363" s="24"/>
      <c r="AO4363" s="24"/>
      <c r="AP4363" s="165" t="str">
        <f t="shared" si="1354"/>
        <v/>
      </c>
      <c r="AQ4363" s="203" t="str">
        <f t="shared" si="1355"/>
        <v/>
      </c>
      <c r="AR4363" s="206">
        <f t="shared" si="1356"/>
        <v>0</v>
      </c>
      <c r="AS4363" s="22" t="str">
        <f t="shared" si="1357"/>
        <v/>
      </c>
      <c r="AT4363" s="24" t="str">
        <f t="shared" si="1358"/>
        <v/>
      </c>
      <c r="AU4363" s="22" t="s">
        <v>3240</v>
      </c>
    </row>
    <row r="4364" spans="1:47">
      <c r="A4364" s="246" t="str">
        <f t="shared" si="1346"/>
        <v/>
      </c>
      <c r="B4364" s="23"/>
      <c r="C4364" s="23"/>
      <c r="D4364" s="202" t="str">
        <f t="shared" si="1347"/>
        <v/>
      </c>
      <c r="E4364" s="33" t="str">
        <f t="shared" si="1341"/>
        <v/>
      </c>
      <c r="F4364" s="23"/>
      <c r="G4364" s="23"/>
      <c r="H4364" s="29"/>
      <c r="I4364" s="204" t="str">
        <f t="shared" si="1344"/>
        <v/>
      </c>
      <c r="J4364" s="188"/>
      <c r="K4364" s="29"/>
      <c r="L4364" s="24"/>
      <c r="M4364" s="22"/>
      <c r="N4364" s="22"/>
      <c r="O4364" s="22"/>
      <c r="P4364" s="202" t="str">
        <f t="shared" si="1345"/>
        <v/>
      </c>
      <c r="Q4364" s="22"/>
      <c r="R4364" s="22"/>
      <c r="S4364" s="22"/>
      <c r="T4364" s="22"/>
      <c r="U4364" s="22"/>
      <c r="V4364" s="22"/>
      <c r="W4364" s="22"/>
      <c r="X4364" s="104"/>
      <c r="Y4364" s="195" t="str">
        <f t="shared" si="1342"/>
        <v/>
      </c>
      <c r="Z4364" s="196" t="str">
        <f t="shared" si="1343"/>
        <v/>
      </c>
      <c r="AA4364" s="22"/>
      <c r="AB4364" s="197" t="str">
        <f t="shared" si="1348"/>
        <v/>
      </c>
      <c r="AC4364" s="198" t="str">
        <f t="shared" si="1349"/>
        <v/>
      </c>
      <c r="AD4364" s="162"/>
      <c r="AE4364" s="199" t="str">
        <f t="shared" si="1350"/>
        <v/>
      </c>
      <c r="AF4364" s="199" t="str">
        <f>IF(AND(COUNTIFS($J$18:J4364,J4364)=1,AE4364=1),1,"")</f>
        <v/>
      </c>
      <c r="AG4364" s="199" t="str">
        <f>IF(C4364="","",IF(AND(COUNTIFS($J$18:J4364,J4364)=1,C4364&lt;&gt;""),1,""))</f>
        <v/>
      </c>
      <c r="AH4364" s="199" t="str">
        <f>IF(G4364="","",IF(AND(COUNTIFS($J$18:J4364,J4364)=1,G4364&lt;&gt;""),1,""))</f>
        <v/>
      </c>
      <c r="AI4364" s="200">
        <f t="shared" si="1351"/>
        <v>0</v>
      </c>
      <c r="AJ4364" s="200">
        <f t="shared" si="1352"/>
        <v>0</v>
      </c>
      <c r="AK4364" s="201" t="str">
        <f t="shared" si="1353"/>
        <v/>
      </c>
      <c r="AL4364" s="24"/>
      <c r="AM4364" s="24"/>
      <c r="AN4364" s="24"/>
      <c r="AO4364" s="24"/>
      <c r="AP4364" s="165" t="str">
        <f t="shared" si="1354"/>
        <v/>
      </c>
      <c r="AQ4364" s="203" t="str">
        <f t="shared" si="1355"/>
        <v/>
      </c>
      <c r="AR4364" s="206">
        <f t="shared" si="1356"/>
        <v>0</v>
      </c>
      <c r="AS4364" s="22" t="str">
        <f t="shared" si="1357"/>
        <v/>
      </c>
      <c r="AT4364" s="24" t="str">
        <f t="shared" si="1358"/>
        <v/>
      </c>
      <c r="AU4364" s="22" t="s">
        <v>3240</v>
      </c>
    </row>
    <row r="4365" spans="1:47">
      <c r="A4365" s="246" t="str">
        <f t="shared" si="1346"/>
        <v/>
      </c>
      <c r="B4365" s="23"/>
      <c r="C4365" s="23"/>
      <c r="D4365" s="202" t="str">
        <f t="shared" si="1347"/>
        <v/>
      </c>
      <c r="E4365" s="33" t="str">
        <f t="shared" si="1341"/>
        <v/>
      </c>
      <c r="F4365" s="23"/>
      <c r="G4365" s="23"/>
      <c r="H4365" s="29"/>
      <c r="I4365" s="204" t="str">
        <f t="shared" si="1344"/>
        <v/>
      </c>
      <c r="J4365" s="188"/>
      <c r="K4365" s="29"/>
      <c r="L4365" s="24"/>
      <c r="M4365" s="22"/>
      <c r="N4365" s="22"/>
      <c r="O4365" s="22"/>
      <c r="P4365" s="202" t="str">
        <f t="shared" si="1345"/>
        <v/>
      </c>
      <c r="Q4365" s="22"/>
      <c r="R4365" s="22"/>
      <c r="S4365" s="22"/>
      <c r="T4365" s="22"/>
      <c r="U4365" s="22"/>
      <c r="V4365" s="22"/>
      <c r="W4365" s="22"/>
      <c r="X4365" s="104"/>
      <c r="Y4365" s="195" t="str">
        <f t="shared" si="1342"/>
        <v/>
      </c>
      <c r="Z4365" s="196" t="str">
        <f t="shared" si="1343"/>
        <v/>
      </c>
      <c r="AA4365" s="22"/>
      <c r="AB4365" s="197" t="str">
        <f t="shared" si="1348"/>
        <v/>
      </c>
      <c r="AC4365" s="198" t="str">
        <f t="shared" si="1349"/>
        <v/>
      </c>
      <c r="AD4365" s="162"/>
      <c r="AE4365" s="199" t="str">
        <f t="shared" si="1350"/>
        <v/>
      </c>
      <c r="AF4365" s="199" t="str">
        <f>IF(AND(COUNTIFS($J$18:J4365,J4365)=1,AE4365=1),1,"")</f>
        <v/>
      </c>
      <c r="AG4365" s="199" t="str">
        <f>IF(C4365="","",IF(AND(COUNTIFS($J$18:J4365,J4365)=1,C4365&lt;&gt;""),1,""))</f>
        <v/>
      </c>
      <c r="AH4365" s="199" t="str">
        <f>IF(G4365="","",IF(AND(COUNTIFS($J$18:J4365,J4365)=1,G4365&lt;&gt;""),1,""))</f>
        <v/>
      </c>
      <c r="AI4365" s="200">
        <f t="shared" si="1351"/>
        <v>0</v>
      </c>
      <c r="AJ4365" s="200">
        <f t="shared" si="1352"/>
        <v>0</v>
      </c>
      <c r="AK4365" s="201" t="str">
        <f t="shared" si="1353"/>
        <v/>
      </c>
      <c r="AL4365" s="24"/>
      <c r="AM4365" s="24"/>
      <c r="AN4365" s="24"/>
      <c r="AO4365" s="24"/>
      <c r="AP4365" s="165" t="str">
        <f t="shared" si="1354"/>
        <v/>
      </c>
      <c r="AQ4365" s="203" t="str">
        <f t="shared" si="1355"/>
        <v/>
      </c>
      <c r="AR4365" s="206">
        <f t="shared" si="1356"/>
        <v>0</v>
      </c>
      <c r="AS4365" s="22" t="str">
        <f t="shared" si="1357"/>
        <v/>
      </c>
      <c r="AT4365" s="24" t="str">
        <f t="shared" si="1358"/>
        <v/>
      </c>
      <c r="AU4365" s="22" t="s">
        <v>3240</v>
      </c>
    </row>
    <row r="4366" spans="1:47">
      <c r="A4366" s="246" t="str">
        <f t="shared" si="1346"/>
        <v/>
      </c>
      <c r="B4366" s="23"/>
      <c r="C4366" s="23"/>
      <c r="D4366" s="202" t="str">
        <f t="shared" si="1347"/>
        <v/>
      </c>
      <c r="E4366" s="33" t="str">
        <f t="shared" si="1341"/>
        <v/>
      </c>
      <c r="F4366" s="23"/>
      <c r="G4366" s="23"/>
      <c r="H4366" s="29"/>
      <c r="I4366" s="204" t="str">
        <f t="shared" si="1344"/>
        <v/>
      </c>
      <c r="J4366" s="188"/>
      <c r="K4366" s="29"/>
      <c r="L4366" s="24"/>
      <c r="M4366" s="22"/>
      <c r="N4366" s="22"/>
      <c r="O4366" s="22"/>
      <c r="P4366" s="202" t="str">
        <f t="shared" si="1345"/>
        <v/>
      </c>
      <c r="Q4366" s="22"/>
      <c r="R4366" s="22"/>
      <c r="S4366" s="22"/>
      <c r="T4366" s="22"/>
      <c r="U4366" s="22"/>
      <c r="V4366" s="22"/>
      <c r="W4366" s="22"/>
      <c r="X4366" s="104"/>
      <c r="Y4366" s="195" t="str">
        <f t="shared" si="1342"/>
        <v/>
      </c>
      <c r="Z4366" s="196" t="str">
        <f t="shared" si="1343"/>
        <v/>
      </c>
      <c r="AA4366" s="22"/>
      <c r="AB4366" s="197" t="str">
        <f t="shared" si="1348"/>
        <v/>
      </c>
      <c r="AC4366" s="198" t="str">
        <f t="shared" si="1349"/>
        <v/>
      </c>
      <c r="AD4366" s="162"/>
      <c r="AE4366" s="199" t="str">
        <f t="shared" si="1350"/>
        <v/>
      </c>
      <c r="AF4366" s="199" t="str">
        <f>IF(AND(COUNTIFS($J$18:J4366,J4366)=1,AE4366=1),1,"")</f>
        <v/>
      </c>
      <c r="AG4366" s="199" t="str">
        <f>IF(C4366="","",IF(AND(COUNTIFS($J$18:J4366,J4366)=1,C4366&lt;&gt;""),1,""))</f>
        <v/>
      </c>
      <c r="AH4366" s="199" t="str">
        <f>IF(G4366="","",IF(AND(COUNTIFS($J$18:J4366,J4366)=1,G4366&lt;&gt;""),1,""))</f>
        <v/>
      </c>
      <c r="AI4366" s="200">
        <f t="shared" si="1351"/>
        <v>0</v>
      </c>
      <c r="AJ4366" s="200">
        <f t="shared" si="1352"/>
        <v>0</v>
      </c>
      <c r="AK4366" s="201" t="str">
        <f t="shared" si="1353"/>
        <v/>
      </c>
      <c r="AL4366" s="24"/>
      <c r="AM4366" s="24"/>
      <c r="AN4366" s="24"/>
      <c r="AO4366" s="24"/>
      <c r="AP4366" s="165" t="str">
        <f t="shared" si="1354"/>
        <v/>
      </c>
      <c r="AQ4366" s="203" t="str">
        <f t="shared" si="1355"/>
        <v/>
      </c>
      <c r="AR4366" s="206">
        <f t="shared" si="1356"/>
        <v>0</v>
      </c>
      <c r="AS4366" s="22" t="str">
        <f t="shared" si="1357"/>
        <v/>
      </c>
      <c r="AT4366" s="24" t="str">
        <f t="shared" si="1358"/>
        <v/>
      </c>
      <c r="AU4366" s="22" t="s">
        <v>3240</v>
      </c>
    </row>
    <row r="4367" spans="1:47">
      <c r="A4367" s="246" t="str">
        <f t="shared" si="1346"/>
        <v/>
      </c>
      <c r="B4367" s="23"/>
      <c r="C4367" s="23"/>
      <c r="D4367" s="202" t="str">
        <f t="shared" si="1347"/>
        <v/>
      </c>
      <c r="E4367" s="33" t="str">
        <f t="shared" si="1341"/>
        <v/>
      </c>
      <c r="F4367" s="23"/>
      <c r="G4367" s="23"/>
      <c r="H4367" s="29"/>
      <c r="I4367" s="204" t="str">
        <f t="shared" si="1344"/>
        <v/>
      </c>
      <c r="J4367" s="188"/>
      <c r="K4367" s="29"/>
      <c r="L4367" s="24"/>
      <c r="M4367" s="22"/>
      <c r="N4367" s="22"/>
      <c r="O4367" s="22"/>
      <c r="P4367" s="202" t="str">
        <f t="shared" si="1345"/>
        <v/>
      </c>
      <c r="Q4367" s="22"/>
      <c r="R4367" s="22"/>
      <c r="S4367" s="22"/>
      <c r="T4367" s="22"/>
      <c r="U4367" s="22"/>
      <c r="V4367" s="22"/>
      <c r="W4367" s="22"/>
      <c r="X4367" s="104"/>
      <c r="Y4367" s="195" t="str">
        <f t="shared" si="1342"/>
        <v/>
      </c>
      <c r="Z4367" s="196" t="str">
        <f t="shared" si="1343"/>
        <v/>
      </c>
      <c r="AA4367" s="22"/>
      <c r="AB4367" s="197" t="str">
        <f t="shared" si="1348"/>
        <v/>
      </c>
      <c r="AC4367" s="198" t="str">
        <f t="shared" si="1349"/>
        <v/>
      </c>
      <c r="AD4367" s="162"/>
      <c r="AE4367" s="199" t="str">
        <f t="shared" si="1350"/>
        <v/>
      </c>
      <c r="AF4367" s="199" t="str">
        <f>IF(AND(COUNTIFS($J$18:J4367,J4367)=1,AE4367=1),1,"")</f>
        <v/>
      </c>
      <c r="AG4367" s="199" t="str">
        <f>IF(C4367="","",IF(AND(COUNTIFS($J$18:J4367,J4367)=1,C4367&lt;&gt;""),1,""))</f>
        <v/>
      </c>
      <c r="AH4367" s="199" t="str">
        <f>IF(G4367="","",IF(AND(COUNTIFS($J$18:J4367,J4367)=1,G4367&lt;&gt;""),1,""))</f>
        <v/>
      </c>
      <c r="AI4367" s="200">
        <f t="shared" si="1351"/>
        <v>0</v>
      </c>
      <c r="AJ4367" s="200">
        <f t="shared" si="1352"/>
        <v>0</v>
      </c>
      <c r="AK4367" s="201" t="str">
        <f t="shared" si="1353"/>
        <v/>
      </c>
      <c r="AL4367" s="24"/>
      <c r="AM4367" s="24"/>
      <c r="AN4367" s="24"/>
      <c r="AO4367" s="24"/>
      <c r="AP4367" s="165" t="str">
        <f t="shared" si="1354"/>
        <v/>
      </c>
      <c r="AQ4367" s="203" t="str">
        <f t="shared" si="1355"/>
        <v/>
      </c>
      <c r="AR4367" s="206">
        <f t="shared" si="1356"/>
        <v>0</v>
      </c>
      <c r="AS4367" s="22" t="str">
        <f t="shared" si="1357"/>
        <v/>
      </c>
      <c r="AT4367" s="24" t="str">
        <f t="shared" si="1358"/>
        <v/>
      </c>
      <c r="AU4367" s="22" t="s">
        <v>3240</v>
      </c>
    </row>
    <row r="4368" spans="1:47">
      <c r="A4368" s="246" t="str">
        <f t="shared" si="1346"/>
        <v/>
      </c>
      <c r="B4368" s="23"/>
      <c r="C4368" s="23"/>
      <c r="D4368" s="202" t="str">
        <f t="shared" si="1347"/>
        <v/>
      </c>
      <c r="E4368" s="33" t="str">
        <f t="shared" si="1341"/>
        <v/>
      </c>
      <c r="F4368" s="23"/>
      <c r="G4368" s="23"/>
      <c r="H4368" s="29"/>
      <c r="I4368" s="204" t="str">
        <f t="shared" si="1344"/>
        <v/>
      </c>
      <c r="J4368" s="188"/>
      <c r="K4368" s="29"/>
      <c r="L4368" s="24"/>
      <c r="M4368" s="22"/>
      <c r="N4368" s="22"/>
      <c r="O4368" s="22"/>
      <c r="P4368" s="202" t="str">
        <f t="shared" si="1345"/>
        <v/>
      </c>
      <c r="Q4368" s="22"/>
      <c r="R4368" s="22"/>
      <c r="S4368" s="22"/>
      <c r="T4368" s="22"/>
      <c r="U4368" s="22"/>
      <c r="V4368" s="22"/>
      <c r="W4368" s="22"/>
      <c r="X4368" s="104"/>
      <c r="Y4368" s="195" t="str">
        <f t="shared" si="1342"/>
        <v/>
      </c>
      <c r="Z4368" s="196" t="str">
        <f t="shared" si="1343"/>
        <v/>
      </c>
      <c r="AA4368" s="22"/>
      <c r="AB4368" s="197" t="str">
        <f t="shared" si="1348"/>
        <v/>
      </c>
      <c r="AC4368" s="198" t="str">
        <f t="shared" si="1349"/>
        <v/>
      </c>
      <c r="AD4368" s="162"/>
      <c r="AE4368" s="199" t="str">
        <f t="shared" si="1350"/>
        <v/>
      </c>
      <c r="AF4368" s="199" t="str">
        <f>IF(AND(COUNTIFS($J$18:J4368,J4368)=1,AE4368=1),1,"")</f>
        <v/>
      </c>
      <c r="AG4368" s="199" t="str">
        <f>IF(C4368="","",IF(AND(COUNTIFS($J$18:J4368,J4368)=1,C4368&lt;&gt;""),1,""))</f>
        <v/>
      </c>
      <c r="AH4368" s="199" t="str">
        <f>IF(G4368="","",IF(AND(COUNTIFS($J$18:J4368,J4368)=1,G4368&lt;&gt;""),1,""))</f>
        <v/>
      </c>
      <c r="AI4368" s="200">
        <f t="shared" si="1351"/>
        <v>0</v>
      </c>
      <c r="AJ4368" s="200">
        <f t="shared" si="1352"/>
        <v>0</v>
      </c>
      <c r="AK4368" s="201" t="str">
        <f t="shared" si="1353"/>
        <v/>
      </c>
      <c r="AL4368" s="24"/>
      <c r="AM4368" s="24"/>
      <c r="AN4368" s="24"/>
      <c r="AO4368" s="24"/>
      <c r="AP4368" s="165" t="str">
        <f t="shared" si="1354"/>
        <v/>
      </c>
      <c r="AQ4368" s="203" t="str">
        <f t="shared" si="1355"/>
        <v/>
      </c>
      <c r="AR4368" s="206">
        <f t="shared" si="1356"/>
        <v>0</v>
      </c>
      <c r="AS4368" s="22" t="str">
        <f t="shared" si="1357"/>
        <v/>
      </c>
      <c r="AT4368" s="24" t="str">
        <f t="shared" si="1358"/>
        <v/>
      </c>
      <c r="AU4368" s="22" t="s">
        <v>3240</v>
      </c>
    </row>
    <row r="4369" spans="1:47">
      <c r="A4369" s="246" t="str">
        <f t="shared" si="1346"/>
        <v/>
      </c>
      <c r="B4369" s="23"/>
      <c r="C4369" s="23"/>
      <c r="D4369" s="202" t="str">
        <f t="shared" si="1347"/>
        <v/>
      </c>
      <c r="E4369" s="33" t="str">
        <f t="shared" si="1341"/>
        <v/>
      </c>
      <c r="F4369" s="23"/>
      <c r="G4369" s="23"/>
      <c r="H4369" s="29"/>
      <c r="I4369" s="204" t="str">
        <f t="shared" si="1344"/>
        <v/>
      </c>
      <c r="J4369" s="188"/>
      <c r="K4369" s="29"/>
      <c r="L4369" s="24"/>
      <c r="M4369" s="22"/>
      <c r="N4369" s="22"/>
      <c r="O4369" s="22"/>
      <c r="P4369" s="202" t="str">
        <f t="shared" si="1345"/>
        <v/>
      </c>
      <c r="Q4369" s="22"/>
      <c r="R4369" s="22"/>
      <c r="S4369" s="22"/>
      <c r="T4369" s="22"/>
      <c r="U4369" s="22"/>
      <c r="V4369" s="22"/>
      <c r="W4369" s="22"/>
      <c r="X4369" s="104"/>
      <c r="Y4369" s="195" t="str">
        <f t="shared" si="1342"/>
        <v/>
      </c>
      <c r="Z4369" s="196" t="str">
        <f t="shared" si="1343"/>
        <v/>
      </c>
      <c r="AA4369" s="22"/>
      <c r="AB4369" s="197" t="str">
        <f t="shared" si="1348"/>
        <v/>
      </c>
      <c r="AC4369" s="198" t="str">
        <f t="shared" si="1349"/>
        <v/>
      </c>
      <c r="AD4369" s="162"/>
      <c r="AE4369" s="199" t="str">
        <f t="shared" si="1350"/>
        <v/>
      </c>
      <c r="AF4369" s="199" t="str">
        <f>IF(AND(COUNTIFS($J$18:J4369,J4369)=1,AE4369=1),1,"")</f>
        <v/>
      </c>
      <c r="AG4369" s="199" t="str">
        <f>IF(C4369="","",IF(AND(COUNTIFS($J$18:J4369,J4369)=1,C4369&lt;&gt;""),1,""))</f>
        <v/>
      </c>
      <c r="AH4369" s="199" t="str">
        <f>IF(G4369="","",IF(AND(COUNTIFS($J$18:J4369,J4369)=1,G4369&lt;&gt;""),1,""))</f>
        <v/>
      </c>
      <c r="AI4369" s="200">
        <f t="shared" si="1351"/>
        <v>0</v>
      </c>
      <c r="AJ4369" s="200">
        <f t="shared" si="1352"/>
        <v>0</v>
      </c>
      <c r="AK4369" s="201" t="str">
        <f t="shared" si="1353"/>
        <v/>
      </c>
      <c r="AL4369" s="24"/>
      <c r="AM4369" s="24"/>
      <c r="AN4369" s="24"/>
      <c r="AO4369" s="24"/>
      <c r="AP4369" s="165" t="str">
        <f t="shared" si="1354"/>
        <v/>
      </c>
      <c r="AQ4369" s="203" t="str">
        <f t="shared" si="1355"/>
        <v/>
      </c>
      <c r="AR4369" s="206">
        <f t="shared" si="1356"/>
        <v>0</v>
      </c>
      <c r="AS4369" s="22" t="str">
        <f t="shared" si="1357"/>
        <v/>
      </c>
      <c r="AT4369" s="24" t="str">
        <f t="shared" si="1358"/>
        <v/>
      </c>
      <c r="AU4369" s="22" t="s">
        <v>3240</v>
      </c>
    </row>
    <row r="4370" spans="1:47">
      <c r="A4370" s="246" t="str">
        <f t="shared" si="1346"/>
        <v/>
      </c>
      <c r="B4370" s="23"/>
      <c r="C4370" s="23"/>
      <c r="D4370" s="202" t="str">
        <f t="shared" si="1347"/>
        <v/>
      </c>
      <c r="E4370" s="33" t="str">
        <f t="shared" si="1341"/>
        <v/>
      </c>
      <c r="F4370" s="23"/>
      <c r="G4370" s="23"/>
      <c r="H4370" s="29"/>
      <c r="I4370" s="204" t="str">
        <f t="shared" si="1344"/>
        <v/>
      </c>
      <c r="J4370" s="188"/>
      <c r="K4370" s="29"/>
      <c r="L4370" s="24"/>
      <c r="M4370" s="22"/>
      <c r="N4370" s="22"/>
      <c r="O4370" s="22"/>
      <c r="P4370" s="202" t="str">
        <f t="shared" si="1345"/>
        <v/>
      </c>
      <c r="Q4370" s="22"/>
      <c r="R4370" s="22"/>
      <c r="S4370" s="22"/>
      <c r="T4370" s="22"/>
      <c r="U4370" s="22"/>
      <c r="V4370" s="22"/>
      <c r="W4370" s="22"/>
      <c r="X4370" s="104"/>
      <c r="Y4370" s="195" t="str">
        <f t="shared" si="1342"/>
        <v/>
      </c>
      <c r="Z4370" s="196" t="str">
        <f t="shared" si="1343"/>
        <v/>
      </c>
      <c r="AA4370" s="22"/>
      <c r="AB4370" s="197" t="str">
        <f t="shared" si="1348"/>
        <v/>
      </c>
      <c r="AC4370" s="198" t="str">
        <f t="shared" si="1349"/>
        <v/>
      </c>
      <c r="AD4370" s="162"/>
      <c r="AE4370" s="199" t="str">
        <f t="shared" si="1350"/>
        <v/>
      </c>
      <c r="AF4370" s="199" t="str">
        <f>IF(AND(COUNTIFS($J$18:J4370,J4370)=1,AE4370=1),1,"")</f>
        <v/>
      </c>
      <c r="AG4370" s="199" t="str">
        <f>IF(C4370="","",IF(AND(COUNTIFS($J$18:J4370,J4370)=1,C4370&lt;&gt;""),1,""))</f>
        <v/>
      </c>
      <c r="AH4370" s="199" t="str">
        <f>IF(G4370="","",IF(AND(COUNTIFS($J$18:J4370,J4370)=1,G4370&lt;&gt;""),1,""))</f>
        <v/>
      </c>
      <c r="AI4370" s="200">
        <f t="shared" si="1351"/>
        <v>0</v>
      </c>
      <c r="AJ4370" s="200">
        <f t="shared" si="1352"/>
        <v>0</v>
      </c>
      <c r="AK4370" s="201" t="str">
        <f t="shared" si="1353"/>
        <v/>
      </c>
      <c r="AL4370" s="24"/>
      <c r="AM4370" s="24"/>
      <c r="AN4370" s="24"/>
      <c r="AO4370" s="24"/>
      <c r="AP4370" s="165" t="str">
        <f t="shared" si="1354"/>
        <v/>
      </c>
      <c r="AQ4370" s="203" t="str">
        <f t="shared" si="1355"/>
        <v/>
      </c>
      <c r="AR4370" s="206">
        <f t="shared" si="1356"/>
        <v>0</v>
      </c>
      <c r="AS4370" s="22" t="str">
        <f t="shared" si="1357"/>
        <v/>
      </c>
      <c r="AT4370" s="24" t="str">
        <f t="shared" si="1358"/>
        <v/>
      </c>
      <c r="AU4370" s="22" t="s">
        <v>3240</v>
      </c>
    </row>
    <row r="4371" spans="1:47">
      <c r="A4371" s="246" t="str">
        <f t="shared" si="1346"/>
        <v/>
      </c>
      <c r="B4371" s="23"/>
      <c r="C4371" s="23"/>
      <c r="D4371" s="202" t="str">
        <f t="shared" si="1347"/>
        <v/>
      </c>
      <c r="E4371" s="33" t="str">
        <f t="shared" si="1341"/>
        <v/>
      </c>
      <c r="F4371" s="23"/>
      <c r="G4371" s="23"/>
      <c r="H4371" s="29"/>
      <c r="I4371" s="204" t="str">
        <f t="shared" si="1344"/>
        <v/>
      </c>
      <c r="J4371" s="188"/>
      <c r="K4371" s="29"/>
      <c r="L4371" s="24"/>
      <c r="M4371" s="22"/>
      <c r="N4371" s="22"/>
      <c r="O4371" s="22"/>
      <c r="P4371" s="202" t="str">
        <f t="shared" si="1345"/>
        <v/>
      </c>
      <c r="Q4371" s="22"/>
      <c r="R4371" s="22"/>
      <c r="S4371" s="22"/>
      <c r="T4371" s="22"/>
      <c r="U4371" s="22"/>
      <c r="V4371" s="22"/>
      <c r="W4371" s="22"/>
      <c r="X4371" s="104"/>
      <c r="Y4371" s="195" t="str">
        <f t="shared" si="1342"/>
        <v/>
      </c>
      <c r="Z4371" s="196" t="str">
        <f t="shared" si="1343"/>
        <v/>
      </c>
      <c r="AA4371" s="22"/>
      <c r="AB4371" s="197" t="str">
        <f t="shared" si="1348"/>
        <v/>
      </c>
      <c r="AC4371" s="198" t="str">
        <f t="shared" si="1349"/>
        <v/>
      </c>
      <c r="AD4371" s="162"/>
      <c r="AE4371" s="199" t="str">
        <f t="shared" si="1350"/>
        <v/>
      </c>
      <c r="AF4371" s="199" t="str">
        <f>IF(AND(COUNTIFS($J$18:J4371,J4371)=1,AE4371=1),1,"")</f>
        <v/>
      </c>
      <c r="AG4371" s="199" t="str">
        <f>IF(C4371="","",IF(AND(COUNTIFS($J$18:J4371,J4371)=1,C4371&lt;&gt;""),1,""))</f>
        <v/>
      </c>
      <c r="AH4371" s="199" t="str">
        <f>IF(G4371="","",IF(AND(COUNTIFS($J$18:J4371,J4371)=1,G4371&lt;&gt;""),1,""))</f>
        <v/>
      </c>
      <c r="AI4371" s="200">
        <f t="shared" si="1351"/>
        <v>0</v>
      </c>
      <c r="AJ4371" s="200">
        <f t="shared" si="1352"/>
        <v>0</v>
      </c>
      <c r="AK4371" s="201" t="str">
        <f t="shared" si="1353"/>
        <v/>
      </c>
      <c r="AL4371" s="24"/>
      <c r="AM4371" s="24"/>
      <c r="AN4371" s="24"/>
      <c r="AO4371" s="24"/>
      <c r="AP4371" s="165" t="str">
        <f t="shared" si="1354"/>
        <v/>
      </c>
      <c r="AQ4371" s="203" t="str">
        <f t="shared" si="1355"/>
        <v/>
      </c>
      <c r="AR4371" s="206">
        <f t="shared" si="1356"/>
        <v>0</v>
      </c>
      <c r="AS4371" s="22" t="str">
        <f t="shared" si="1357"/>
        <v/>
      </c>
      <c r="AT4371" s="24" t="str">
        <f t="shared" si="1358"/>
        <v/>
      </c>
      <c r="AU4371" s="22" t="s">
        <v>3240</v>
      </c>
    </row>
    <row r="4372" spans="1:47">
      <c r="A4372" s="246" t="str">
        <f t="shared" si="1346"/>
        <v/>
      </c>
      <c r="B4372" s="23"/>
      <c r="C4372" s="23"/>
      <c r="D4372" s="202" t="str">
        <f t="shared" si="1347"/>
        <v/>
      </c>
      <c r="E4372" s="33" t="str">
        <f t="shared" si="1341"/>
        <v/>
      </c>
      <c r="F4372" s="23"/>
      <c r="G4372" s="23"/>
      <c r="H4372" s="29"/>
      <c r="I4372" s="204" t="str">
        <f t="shared" si="1344"/>
        <v/>
      </c>
      <c r="J4372" s="188"/>
      <c r="K4372" s="29"/>
      <c r="L4372" s="24"/>
      <c r="M4372" s="22"/>
      <c r="N4372" s="22"/>
      <c r="O4372" s="22"/>
      <c r="P4372" s="202" t="str">
        <f t="shared" si="1345"/>
        <v/>
      </c>
      <c r="Q4372" s="22"/>
      <c r="R4372" s="22"/>
      <c r="S4372" s="22"/>
      <c r="T4372" s="22"/>
      <c r="U4372" s="22"/>
      <c r="V4372" s="22"/>
      <c r="W4372" s="22"/>
      <c r="X4372" s="104"/>
      <c r="Y4372" s="195" t="str">
        <f t="shared" si="1342"/>
        <v/>
      </c>
      <c r="Z4372" s="196" t="str">
        <f t="shared" si="1343"/>
        <v/>
      </c>
      <c r="AA4372" s="22"/>
      <c r="AB4372" s="197" t="str">
        <f t="shared" si="1348"/>
        <v/>
      </c>
      <c r="AC4372" s="198" t="str">
        <f t="shared" si="1349"/>
        <v/>
      </c>
      <c r="AD4372" s="162"/>
      <c r="AE4372" s="199" t="str">
        <f t="shared" si="1350"/>
        <v/>
      </c>
      <c r="AF4372" s="199" t="str">
        <f>IF(AND(COUNTIFS($J$18:J4372,J4372)=1,AE4372=1),1,"")</f>
        <v/>
      </c>
      <c r="AG4372" s="199" t="str">
        <f>IF(C4372="","",IF(AND(COUNTIFS($J$18:J4372,J4372)=1,C4372&lt;&gt;""),1,""))</f>
        <v/>
      </c>
      <c r="AH4372" s="199" t="str">
        <f>IF(G4372="","",IF(AND(COUNTIFS($J$18:J4372,J4372)=1,G4372&lt;&gt;""),1,""))</f>
        <v/>
      </c>
      <c r="AI4372" s="200">
        <f t="shared" si="1351"/>
        <v>0</v>
      </c>
      <c r="AJ4372" s="200">
        <f t="shared" si="1352"/>
        <v>0</v>
      </c>
      <c r="AK4372" s="201" t="str">
        <f t="shared" si="1353"/>
        <v/>
      </c>
      <c r="AL4372" s="24"/>
      <c r="AM4372" s="24"/>
      <c r="AN4372" s="24"/>
      <c r="AO4372" s="24"/>
      <c r="AP4372" s="165" t="str">
        <f t="shared" si="1354"/>
        <v/>
      </c>
      <c r="AQ4372" s="203" t="str">
        <f t="shared" si="1355"/>
        <v/>
      </c>
      <c r="AR4372" s="206">
        <f t="shared" si="1356"/>
        <v>0</v>
      </c>
      <c r="AS4372" s="22" t="str">
        <f t="shared" si="1357"/>
        <v/>
      </c>
      <c r="AT4372" s="24" t="str">
        <f t="shared" si="1358"/>
        <v/>
      </c>
      <c r="AU4372" s="22" t="s">
        <v>3240</v>
      </c>
    </row>
    <row r="4373" spans="1:47">
      <c r="A4373" s="246" t="str">
        <f t="shared" si="1346"/>
        <v/>
      </c>
      <c r="B4373" s="23"/>
      <c r="C4373" s="23"/>
      <c r="D4373" s="202" t="str">
        <f t="shared" si="1347"/>
        <v/>
      </c>
      <c r="E4373" s="33" t="str">
        <f t="shared" si="1341"/>
        <v/>
      </c>
      <c r="F4373" s="23"/>
      <c r="G4373" s="23"/>
      <c r="H4373" s="29"/>
      <c r="I4373" s="204" t="str">
        <f t="shared" si="1344"/>
        <v/>
      </c>
      <c r="J4373" s="188"/>
      <c r="K4373" s="29"/>
      <c r="L4373" s="24"/>
      <c r="M4373" s="22"/>
      <c r="N4373" s="22"/>
      <c r="O4373" s="22"/>
      <c r="P4373" s="202" t="str">
        <f t="shared" si="1345"/>
        <v/>
      </c>
      <c r="Q4373" s="22"/>
      <c r="R4373" s="22"/>
      <c r="S4373" s="22"/>
      <c r="T4373" s="22"/>
      <c r="U4373" s="22"/>
      <c r="V4373" s="22"/>
      <c r="W4373" s="22"/>
      <c r="X4373" s="104"/>
      <c r="Y4373" s="195" t="str">
        <f t="shared" si="1342"/>
        <v/>
      </c>
      <c r="Z4373" s="196" t="str">
        <f t="shared" si="1343"/>
        <v/>
      </c>
      <c r="AA4373" s="22"/>
      <c r="AB4373" s="197" t="str">
        <f t="shared" si="1348"/>
        <v/>
      </c>
      <c r="AC4373" s="198" t="str">
        <f t="shared" si="1349"/>
        <v/>
      </c>
      <c r="AD4373" s="162"/>
      <c r="AE4373" s="199" t="str">
        <f t="shared" si="1350"/>
        <v/>
      </c>
      <c r="AF4373" s="199" t="str">
        <f>IF(AND(COUNTIFS($J$18:J4373,J4373)=1,AE4373=1),1,"")</f>
        <v/>
      </c>
      <c r="AG4373" s="199" t="str">
        <f>IF(C4373="","",IF(AND(COUNTIFS($J$18:J4373,J4373)=1,C4373&lt;&gt;""),1,""))</f>
        <v/>
      </c>
      <c r="AH4373" s="199" t="str">
        <f>IF(G4373="","",IF(AND(COUNTIFS($J$18:J4373,J4373)=1,G4373&lt;&gt;""),1,""))</f>
        <v/>
      </c>
      <c r="AI4373" s="200">
        <f t="shared" si="1351"/>
        <v>0</v>
      </c>
      <c r="AJ4373" s="200">
        <f t="shared" si="1352"/>
        <v>0</v>
      </c>
      <c r="AK4373" s="201" t="str">
        <f t="shared" si="1353"/>
        <v/>
      </c>
      <c r="AL4373" s="24"/>
      <c r="AM4373" s="24"/>
      <c r="AN4373" s="24"/>
      <c r="AO4373" s="24"/>
      <c r="AP4373" s="165" t="str">
        <f t="shared" si="1354"/>
        <v/>
      </c>
      <c r="AQ4373" s="203" t="str">
        <f t="shared" si="1355"/>
        <v/>
      </c>
      <c r="AR4373" s="206">
        <f t="shared" si="1356"/>
        <v>0</v>
      </c>
      <c r="AS4373" s="22" t="str">
        <f t="shared" si="1357"/>
        <v/>
      </c>
      <c r="AT4373" s="24" t="str">
        <f t="shared" si="1358"/>
        <v/>
      </c>
      <c r="AU4373" s="22" t="s">
        <v>3240</v>
      </c>
    </row>
    <row r="4374" spans="1:47">
      <c r="A4374" s="246" t="str">
        <f t="shared" si="1346"/>
        <v/>
      </c>
      <c r="B4374" s="23"/>
      <c r="C4374" s="23"/>
      <c r="D4374" s="202" t="str">
        <f t="shared" si="1347"/>
        <v/>
      </c>
      <c r="E4374" s="33" t="str">
        <f t="shared" si="1341"/>
        <v/>
      </c>
      <c r="F4374" s="23"/>
      <c r="G4374" s="23"/>
      <c r="H4374" s="29"/>
      <c r="I4374" s="204" t="str">
        <f t="shared" si="1344"/>
        <v/>
      </c>
      <c r="J4374" s="188"/>
      <c r="K4374" s="29"/>
      <c r="L4374" s="24"/>
      <c r="M4374" s="22"/>
      <c r="N4374" s="22"/>
      <c r="O4374" s="22"/>
      <c r="P4374" s="202" t="str">
        <f t="shared" si="1345"/>
        <v/>
      </c>
      <c r="Q4374" s="22"/>
      <c r="R4374" s="22"/>
      <c r="S4374" s="22"/>
      <c r="T4374" s="22"/>
      <c r="U4374" s="22"/>
      <c r="V4374" s="22"/>
      <c r="W4374" s="22"/>
      <c r="X4374" s="104"/>
      <c r="Y4374" s="195" t="str">
        <f t="shared" si="1342"/>
        <v/>
      </c>
      <c r="Z4374" s="196" t="str">
        <f t="shared" si="1343"/>
        <v/>
      </c>
      <c r="AA4374" s="22"/>
      <c r="AB4374" s="197" t="str">
        <f t="shared" si="1348"/>
        <v/>
      </c>
      <c r="AC4374" s="198" t="str">
        <f t="shared" si="1349"/>
        <v/>
      </c>
      <c r="AD4374" s="162"/>
      <c r="AE4374" s="199" t="str">
        <f t="shared" si="1350"/>
        <v/>
      </c>
      <c r="AF4374" s="199" t="str">
        <f>IF(AND(COUNTIFS($J$18:J4374,J4374)=1,AE4374=1),1,"")</f>
        <v/>
      </c>
      <c r="AG4374" s="199" t="str">
        <f>IF(C4374="","",IF(AND(COUNTIFS($J$18:J4374,J4374)=1,C4374&lt;&gt;""),1,""))</f>
        <v/>
      </c>
      <c r="AH4374" s="199" t="str">
        <f>IF(G4374="","",IF(AND(COUNTIFS($J$18:J4374,J4374)=1,G4374&lt;&gt;""),1,""))</f>
        <v/>
      </c>
      <c r="AI4374" s="200">
        <f t="shared" si="1351"/>
        <v>0</v>
      </c>
      <c r="AJ4374" s="200">
        <f t="shared" si="1352"/>
        <v>0</v>
      </c>
      <c r="AK4374" s="201" t="str">
        <f t="shared" si="1353"/>
        <v/>
      </c>
      <c r="AL4374" s="24"/>
      <c r="AM4374" s="24"/>
      <c r="AN4374" s="24"/>
      <c r="AO4374" s="24"/>
      <c r="AP4374" s="165" t="str">
        <f t="shared" si="1354"/>
        <v/>
      </c>
      <c r="AQ4374" s="203" t="str">
        <f t="shared" si="1355"/>
        <v/>
      </c>
      <c r="AR4374" s="206">
        <f t="shared" si="1356"/>
        <v>0</v>
      </c>
      <c r="AS4374" s="22" t="str">
        <f t="shared" si="1357"/>
        <v/>
      </c>
      <c r="AT4374" s="24" t="str">
        <f t="shared" si="1358"/>
        <v/>
      </c>
      <c r="AU4374" s="22" t="s">
        <v>3240</v>
      </c>
    </row>
    <row r="4375" spans="1:47">
      <c r="A4375" s="246" t="str">
        <f t="shared" si="1346"/>
        <v/>
      </c>
      <c r="B4375" s="23"/>
      <c r="C4375" s="23"/>
      <c r="D4375" s="202" t="str">
        <f t="shared" si="1347"/>
        <v/>
      </c>
      <c r="E4375" s="33" t="str">
        <f t="shared" si="1341"/>
        <v/>
      </c>
      <c r="F4375" s="23"/>
      <c r="G4375" s="23"/>
      <c r="H4375" s="29"/>
      <c r="I4375" s="204" t="str">
        <f t="shared" si="1344"/>
        <v/>
      </c>
      <c r="J4375" s="188"/>
      <c r="K4375" s="29"/>
      <c r="L4375" s="24"/>
      <c r="M4375" s="22"/>
      <c r="N4375" s="22"/>
      <c r="O4375" s="22"/>
      <c r="P4375" s="202" t="str">
        <f t="shared" si="1345"/>
        <v/>
      </c>
      <c r="Q4375" s="22"/>
      <c r="R4375" s="22"/>
      <c r="S4375" s="22"/>
      <c r="T4375" s="22"/>
      <c r="U4375" s="22"/>
      <c r="V4375" s="22"/>
      <c r="W4375" s="22"/>
      <c r="X4375" s="104"/>
      <c r="Y4375" s="195" t="str">
        <f t="shared" si="1342"/>
        <v/>
      </c>
      <c r="Z4375" s="196" t="str">
        <f t="shared" si="1343"/>
        <v/>
      </c>
      <c r="AA4375" s="22"/>
      <c r="AB4375" s="197" t="str">
        <f t="shared" si="1348"/>
        <v/>
      </c>
      <c r="AC4375" s="198" t="str">
        <f t="shared" si="1349"/>
        <v/>
      </c>
      <c r="AD4375" s="162"/>
      <c r="AE4375" s="199" t="str">
        <f t="shared" si="1350"/>
        <v/>
      </c>
      <c r="AF4375" s="199" t="str">
        <f>IF(AND(COUNTIFS($J$18:J4375,J4375)=1,AE4375=1),1,"")</f>
        <v/>
      </c>
      <c r="AG4375" s="199" t="str">
        <f>IF(C4375="","",IF(AND(COUNTIFS($J$18:J4375,J4375)=1,C4375&lt;&gt;""),1,""))</f>
        <v/>
      </c>
      <c r="AH4375" s="199" t="str">
        <f>IF(G4375="","",IF(AND(COUNTIFS($J$18:J4375,J4375)=1,G4375&lt;&gt;""),1,""))</f>
        <v/>
      </c>
      <c r="AI4375" s="200">
        <f t="shared" si="1351"/>
        <v>0</v>
      </c>
      <c r="AJ4375" s="200">
        <f t="shared" si="1352"/>
        <v>0</v>
      </c>
      <c r="AK4375" s="201" t="str">
        <f t="shared" si="1353"/>
        <v/>
      </c>
      <c r="AL4375" s="24"/>
      <c r="AM4375" s="24"/>
      <c r="AN4375" s="24"/>
      <c r="AO4375" s="24"/>
      <c r="AP4375" s="165" t="str">
        <f t="shared" si="1354"/>
        <v/>
      </c>
      <c r="AQ4375" s="203" t="str">
        <f t="shared" si="1355"/>
        <v/>
      </c>
      <c r="AR4375" s="206">
        <f t="shared" si="1356"/>
        <v>0</v>
      </c>
      <c r="AS4375" s="22" t="str">
        <f t="shared" si="1357"/>
        <v/>
      </c>
      <c r="AT4375" s="24" t="str">
        <f t="shared" si="1358"/>
        <v/>
      </c>
      <c r="AU4375" s="22" t="s">
        <v>3240</v>
      </c>
    </row>
    <row r="4376" spans="1:47">
      <c r="A4376" s="246" t="str">
        <f t="shared" si="1346"/>
        <v/>
      </c>
      <c r="B4376" s="23"/>
      <c r="C4376" s="23"/>
      <c r="D4376" s="202" t="str">
        <f t="shared" si="1347"/>
        <v/>
      </c>
      <c r="E4376" s="33" t="str">
        <f t="shared" ref="E4376:E4439" si="1359">IF(G4376="Cancel","Cancel",IF(G4376="TBA","TBA",IFERROR(IF(I4376="Q4","FY "&amp;RIGHT(F4376,2)-1&amp;"/"&amp;RIGHT(F4376,2),"FY "&amp;RIGHT(F4376,2)&amp;"/"&amp;RIGHT(F4376,2)+1),"")))</f>
        <v/>
      </c>
      <c r="F4376" s="23"/>
      <c r="G4376" s="23"/>
      <c r="H4376" s="29"/>
      <c r="I4376" s="204" t="str">
        <f t="shared" si="1344"/>
        <v/>
      </c>
      <c r="J4376" s="188"/>
      <c r="K4376" s="29"/>
      <c r="L4376" s="24"/>
      <c r="M4376" s="22"/>
      <c r="N4376" s="22"/>
      <c r="O4376" s="22"/>
      <c r="P4376" s="202" t="str">
        <f t="shared" si="1345"/>
        <v/>
      </c>
      <c r="Q4376" s="22"/>
      <c r="R4376" s="22"/>
      <c r="S4376" s="22"/>
      <c r="T4376" s="22"/>
      <c r="U4376" s="22"/>
      <c r="V4376" s="22"/>
      <c r="W4376" s="22"/>
      <c r="X4376" s="104"/>
      <c r="Y4376" s="195" t="str">
        <f t="shared" si="1342"/>
        <v/>
      </c>
      <c r="Z4376" s="196" t="str">
        <f t="shared" si="1343"/>
        <v/>
      </c>
      <c r="AA4376" s="22"/>
      <c r="AB4376" s="197" t="str">
        <f t="shared" si="1348"/>
        <v/>
      </c>
      <c r="AC4376" s="198" t="str">
        <f t="shared" si="1349"/>
        <v/>
      </c>
      <c r="AD4376" s="162"/>
      <c r="AE4376" s="199" t="str">
        <f t="shared" si="1350"/>
        <v/>
      </c>
      <c r="AF4376" s="199" t="str">
        <f>IF(AND(COUNTIFS($J$18:J4376,J4376)=1,AE4376=1),1,"")</f>
        <v/>
      </c>
      <c r="AG4376" s="199" t="str">
        <f>IF(C4376="","",IF(AND(COUNTIFS($J$18:J4376,J4376)=1,C4376&lt;&gt;""),1,""))</f>
        <v/>
      </c>
      <c r="AH4376" s="199" t="str">
        <f>IF(G4376="","",IF(AND(COUNTIFS($J$18:J4376,J4376)=1,G4376&lt;&gt;""),1,""))</f>
        <v/>
      </c>
      <c r="AI4376" s="200">
        <f t="shared" si="1351"/>
        <v>0</v>
      </c>
      <c r="AJ4376" s="200">
        <f t="shared" si="1352"/>
        <v>0</v>
      </c>
      <c r="AK4376" s="201" t="str">
        <f t="shared" si="1353"/>
        <v/>
      </c>
      <c r="AL4376" s="24"/>
      <c r="AM4376" s="24"/>
      <c r="AN4376" s="24"/>
      <c r="AO4376" s="24"/>
      <c r="AP4376" s="165" t="str">
        <f t="shared" si="1354"/>
        <v/>
      </c>
      <c r="AQ4376" s="203" t="str">
        <f t="shared" si="1355"/>
        <v/>
      </c>
      <c r="AR4376" s="206">
        <f t="shared" si="1356"/>
        <v>0</v>
      </c>
      <c r="AS4376" s="22" t="str">
        <f t="shared" si="1357"/>
        <v/>
      </c>
      <c r="AT4376" s="24" t="str">
        <f t="shared" si="1358"/>
        <v/>
      </c>
      <c r="AU4376" s="22" t="s">
        <v>3240</v>
      </c>
    </row>
    <row r="4377" spans="1:47">
      <c r="A4377" s="246" t="str">
        <f t="shared" si="1346"/>
        <v/>
      </c>
      <c r="B4377" s="23"/>
      <c r="C4377" s="23"/>
      <c r="D4377" s="202" t="str">
        <f t="shared" si="1347"/>
        <v/>
      </c>
      <c r="E4377" s="33" t="str">
        <f t="shared" si="1359"/>
        <v/>
      </c>
      <c r="F4377" s="23"/>
      <c r="G4377" s="23"/>
      <c r="H4377" s="29"/>
      <c r="I4377" s="204" t="str">
        <f t="shared" si="1344"/>
        <v/>
      </c>
      <c r="J4377" s="188"/>
      <c r="K4377" s="29"/>
      <c r="L4377" s="24"/>
      <c r="M4377" s="22"/>
      <c r="N4377" s="22"/>
      <c r="O4377" s="22"/>
      <c r="P4377" s="202" t="str">
        <f t="shared" si="1345"/>
        <v/>
      </c>
      <c r="Q4377" s="22"/>
      <c r="R4377" s="22"/>
      <c r="S4377" s="22"/>
      <c r="T4377" s="22"/>
      <c r="U4377" s="22"/>
      <c r="V4377" s="22"/>
      <c r="W4377" s="22"/>
      <c r="X4377" s="104"/>
      <c r="Y4377" s="195" t="str">
        <f t="shared" si="1342"/>
        <v/>
      </c>
      <c r="Z4377" s="196" t="str">
        <f t="shared" si="1343"/>
        <v/>
      </c>
      <c r="AA4377" s="22"/>
      <c r="AB4377" s="197" t="str">
        <f t="shared" si="1348"/>
        <v/>
      </c>
      <c r="AC4377" s="198" t="str">
        <f t="shared" si="1349"/>
        <v/>
      </c>
      <c r="AD4377" s="162"/>
      <c r="AE4377" s="199" t="str">
        <f t="shared" si="1350"/>
        <v/>
      </c>
      <c r="AF4377" s="199" t="str">
        <f>IF(AND(COUNTIFS($J$18:J4377,J4377)=1,AE4377=1),1,"")</f>
        <v/>
      </c>
      <c r="AG4377" s="199" t="str">
        <f>IF(C4377="","",IF(AND(COUNTIFS($J$18:J4377,J4377)=1,C4377&lt;&gt;""),1,""))</f>
        <v/>
      </c>
      <c r="AH4377" s="199" t="str">
        <f>IF(G4377="","",IF(AND(COUNTIFS($J$18:J4377,J4377)=1,G4377&lt;&gt;""),1,""))</f>
        <v/>
      </c>
      <c r="AI4377" s="200">
        <f t="shared" si="1351"/>
        <v>0</v>
      </c>
      <c r="AJ4377" s="200">
        <f t="shared" si="1352"/>
        <v>0</v>
      </c>
      <c r="AK4377" s="201" t="str">
        <f t="shared" si="1353"/>
        <v/>
      </c>
      <c r="AL4377" s="24"/>
      <c r="AM4377" s="24"/>
      <c r="AN4377" s="24"/>
      <c r="AO4377" s="24"/>
      <c r="AP4377" s="165" t="str">
        <f t="shared" si="1354"/>
        <v/>
      </c>
      <c r="AQ4377" s="203" t="str">
        <f t="shared" si="1355"/>
        <v/>
      </c>
      <c r="AR4377" s="206">
        <f t="shared" si="1356"/>
        <v>0</v>
      </c>
      <c r="AS4377" s="22" t="str">
        <f t="shared" si="1357"/>
        <v/>
      </c>
      <c r="AT4377" s="24" t="str">
        <f t="shared" si="1358"/>
        <v/>
      </c>
      <c r="AU4377" s="22" t="s">
        <v>3240</v>
      </c>
    </row>
    <row r="4378" spans="1:47">
      <c r="A4378" s="246" t="str">
        <f t="shared" si="1346"/>
        <v/>
      </c>
      <c r="B4378" s="23"/>
      <c r="C4378" s="23"/>
      <c r="D4378" s="202" t="str">
        <f t="shared" si="1347"/>
        <v/>
      </c>
      <c r="E4378" s="33" t="str">
        <f t="shared" si="1359"/>
        <v/>
      </c>
      <c r="F4378" s="23"/>
      <c r="G4378" s="23"/>
      <c r="H4378" s="29"/>
      <c r="I4378" s="204" t="str">
        <f t="shared" si="1344"/>
        <v/>
      </c>
      <c r="J4378" s="188"/>
      <c r="K4378" s="29"/>
      <c r="L4378" s="24"/>
      <c r="M4378" s="22"/>
      <c r="N4378" s="22"/>
      <c r="O4378" s="22"/>
      <c r="P4378" s="202" t="str">
        <f t="shared" si="1345"/>
        <v/>
      </c>
      <c r="Q4378" s="22"/>
      <c r="R4378" s="22"/>
      <c r="S4378" s="22"/>
      <c r="T4378" s="22"/>
      <c r="U4378" s="22"/>
      <c r="V4378" s="22"/>
      <c r="W4378" s="22"/>
      <c r="X4378" s="104"/>
      <c r="Y4378" s="195" t="str">
        <f t="shared" si="1342"/>
        <v/>
      </c>
      <c r="Z4378" s="196" t="str">
        <f t="shared" si="1343"/>
        <v/>
      </c>
      <c r="AA4378" s="22"/>
      <c r="AB4378" s="197" t="str">
        <f t="shared" si="1348"/>
        <v/>
      </c>
      <c r="AC4378" s="198" t="str">
        <f t="shared" si="1349"/>
        <v/>
      </c>
      <c r="AD4378" s="162"/>
      <c r="AE4378" s="199" t="str">
        <f t="shared" si="1350"/>
        <v/>
      </c>
      <c r="AF4378" s="199" t="str">
        <f>IF(AND(COUNTIFS($J$18:J4378,J4378)=1,AE4378=1),1,"")</f>
        <v/>
      </c>
      <c r="AG4378" s="199" t="str">
        <f>IF(C4378="","",IF(AND(COUNTIFS($J$18:J4378,J4378)=1,C4378&lt;&gt;""),1,""))</f>
        <v/>
      </c>
      <c r="AH4378" s="199" t="str">
        <f>IF(G4378="","",IF(AND(COUNTIFS($J$18:J4378,J4378)=1,G4378&lt;&gt;""),1,""))</f>
        <v/>
      </c>
      <c r="AI4378" s="200">
        <f t="shared" si="1351"/>
        <v>0</v>
      </c>
      <c r="AJ4378" s="200">
        <f t="shared" si="1352"/>
        <v>0</v>
      </c>
      <c r="AK4378" s="201" t="str">
        <f t="shared" si="1353"/>
        <v/>
      </c>
      <c r="AL4378" s="24"/>
      <c r="AM4378" s="24"/>
      <c r="AN4378" s="24"/>
      <c r="AO4378" s="24"/>
      <c r="AP4378" s="165" t="str">
        <f t="shared" si="1354"/>
        <v/>
      </c>
      <c r="AQ4378" s="203" t="str">
        <f t="shared" si="1355"/>
        <v/>
      </c>
      <c r="AR4378" s="206">
        <f t="shared" si="1356"/>
        <v>0</v>
      </c>
      <c r="AS4378" s="22" t="str">
        <f t="shared" si="1357"/>
        <v/>
      </c>
      <c r="AT4378" s="24" t="str">
        <f t="shared" si="1358"/>
        <v/>
      </c>
      <c r="AU4378" s="22" t="s">
        <v>3240</v>
      </c>
    </row>
    <row r="4379" spans="1:47">
      <c r="A4379" s="246" t="str">
        <f t="shared" si="1346"/>
        <v/>
      </c>
      <c r="B4379" s="23"/>
      <c r="C4379" s="23"/>
      <c r="D4379" s="202" t="str">
        <f t="shared" si="1347"/>
        <v/>
      </c>
      <c r="E4379" s="33" t="str">
        <f t="shared" si="1359"/>
        <v/>
      </c>
      <c r="F4379" s="23"/>
      <c r="G4379" s="23"/>
      <c r="H4379" s="29"/>
      <c r="I4379" s="204" t="str">
        <f t="shared" si="1344"/>
        <v/>
      </c>
      <c r="J4379" s="188"/>
      <c r="K4379" s="29"/>
      <c r="L4379" s="24"/>
      <c r="M4379" s="22"/>
      <c r="N4379" s="22"/>
      <c r="O4379" s="22"/>
      <c r="P4379" s="202" t="str">
        <f t="shared" si="1345"/>
        <v/>
      </c>
      <c r="Q4379" s="22"/>
      <c r="R4379" s="22"/>
      <c r="S4379" s="22"/>
      <c r="T4379" s="22"/>
      <c r="U4379" s="22"/>
      <c r="V4379" s="22"/>
      <c r="W4379" s="22"/>
      <c r="X4379" s="104"/>
      <c r="Y4379" s="195" t="str">
        <f t="shared" ref="Y4379:Y4442" si="1360">IF(W4379="","",IF(W4379="RMB","1.13", "1"))</f>
        <v/>
      </c>
      <c r="Z4379" s="196" t="str">
        <f t="shared" ref="Z4379:Z4442" si="1361">IF(X4379="","",X4379*MAX(O4379,N4379))</f>
        <v/>
      </c>
      <c r="AA4379" s="22"/>
      <c r="AB4379" s="197" t="str">
        <f t="shared" si="1348"/>
        <v/>
      </c>
      <c r="AC4379" s="198" t="str">
        <f t="shared" si="1349"/>
        <v/>
      </c>
      <c r="AD4379" s="162"/>
      <c r="AE4379" s="199" t="str">
        <f t="shared" si="1350"/>
        <v/>
      </c>
      <c r="AF4379" s="199" t="str">
        <f>IF(AND(COUNTIFS($J$18:J4379,J4379)=1,AE4379=1),1,"")</f>
        <v/>
      </c>
      <c r="AG4379" s="199" t="str">
        <f>IF(C4379="","",IF(AND(COUNTIFS($J$18:J4379,J4379)=1,C4379&lt;&gt;""),1,""))</f>
        <v/>
      </c>
      <c r="AH4379" s="199" t="str">
        <f>IF(G4379="","",IF(AND(COUNTIFS($J$18:J4379,J4379)=1,G4379&lt;&gt;""),1,""))</f>
        <v/>
      </c>
      <c r="AI4379" s="200">
        <f t="shared" si="1351"/>
        <v>0</v>
      </c>
      <c r="AJ4379" s="200">
        <f t="shared" si="1352"/>
        <v>0</v>
      </c>
      <c r="AK4379" s="201" t="str">
        <f t="shared" si="1353"/>
        <v/>
      </c>
      <c r="AL4379" s="24"/>
      <c r="AM4379" s="24"/>
      <c r="AN4379" s="24"/>
      <c r="AO4379" s="24"/>
      <c r="AP4379" s="165" t="str">
        <f t="shared" si="1354"/>
        <v/>
      </c>
      <c r="AQ4379" s="203" t="str">
        <f t="shared" si="1355"/>
        <v/>
      </c>
      <c r="AR4379" s="206">
        <f t="shared" si="1356"/>
        <v>0</v>
      </c>
      <c r="AS4379" s="22" t="str">
        <f t="shared" si="1357"/>
        <v/>
      </c>
      <c r="AT4379" s="24" t="str">
        <f t="shared" si="1358"/>
        <v/>
      </c>
      <c r="AU4379" s="22" t="s">
        <v>3240</v>
      </c>
    </row>
    <row r="4380" spans="1:47">
      <c r="A4380" s="246" t="str">
        <f t="shared" si="1346"/>
        <v/>
      </c>
      <c r="B4380" s="23"/>
      <c r="C4380" s="23"/>
      <c r="D4380" s="202" t="str">
        <f t="shared" si="1347"/>
        <v/>
      </c>
      <c r="E4380" s="33" t="str">
        <f t="shared" si="1359"/>
        <v/>
      </c>
      <c r="F4380" s="23"/>
      <c r="G4380" s="23"/>
      <c r="H4380" s="29"/>
      <c r="I4380" s="204" t="str">
        <f t="shared" si="1344"/>
        <v/>
      </c>
      <c r="J4380" s="188"/>
      <c r="K4380" s="29"/>
      <c r="L4380" s="24"/>
      <c r="M4380" s="22"/>
      <c r="N4380" s="22"/>
      <c r="O4380" s="22"/>
      <c r="P4380" s="202" t="str">
        <f t="shared" si="1345"/>
        <v/>
      </c>
      <c r="Q4380" s="22"/>
      <c r="R4380" s="22"/>
      <c r="S4380" s="22"/>
      <c r="T4380" s="22"/>
      <c r="U4380" s="22"/>
      <c r="V4380" s="22"/>
      <c r="W4380" s="22"/>
      <c r="X4380" s="104"/>
      <c r="Y4380" s="195" t="str">
        <f t="shared" si="1360"/>
        <v/>
      </c>
      <c r="Z4380" s="196" t="str">
        <f t="shared" si="1361"/>
        <v/>
      </c>
      <c r="AA4380" s="22"/>
      <c r="AB4380" s="197" t="str">
        <f t="shared" si="1348"/>
        <v/>
      </c>
      <c r="AC4380" s="198" t="str">
        <f t="shared" si="1349"/>
        <v/>
      </c>
      <c r="AD4380" s="162"/>
      <c r="AE4380" s="199" t="str">
        <f t="shared" si="1350"/>
        <v/>
      </c>
      <c r="AF4380" s="199" t="str">
        <f>IF(AND(COUNTIFS($J$18:J4380,J4380)=1,AE4380=1),1,"")</f>
        <v/>
      </c>
      <c r="AG4380" s="199" t="str">
        <f>IF(C4380="","",IF(AND(COUNTIFS($J$18:J4380,J4380)=1,C4380&lt;&gt;""),1,""))</f>
        <v/>
      </c>
      <c r="AH4380" s="199" t="str">
        <f>IF(G4380="","",IF(AND(COUNTIFS($J$18:J4380,J4380)=1,G4380&lt;&gt;""),1,""))</f>
        <v/>
      </c>
      <c r="AI4380" s="200">
        <f t="shared" si="1351"/>
        <v>0</v>
      </c>
      <c r="AJ4380" s="200">
        <f t="shared" si="1352"/>
        <v>0</v>
      </c>
      <c r="AK4380" s="201" t="str">
        <f t="shared" si="1353"/>
        <v/>
      </c>
      <c r="AL4380" s="24"/>
      <c r="AM4380" s="24"/>
      <c r="AN4380" s="24"/>
      <c r="AO4380" s="24"/>
      <c r="AP4380" s="165" t="str">
        <f t="shared" si="1354"/>
        <v/>
      </c>
      <c r="AQ4380" s="203" t="str">
        <f t="shared" si="1355"/>
        <v/>
      </c>
      <c r="AR4380" s="206">
        <f t="shared" si="1356"/>
        <v>0</v>
      </c>
      <c r="AS4380" s="22" t="str">
        <f t="shared" si="1357"/>
        <v/>
      </c>
      <c r="AT4380" s="24" t="str">
        <f t="shared" si="1358"/>
        <v/>
      </c>
      <c r="AU4380" s="22" t="s">
        <v>3240</v>
      </c>
    </row>
    <row r="4381" spans="1:47">
      <c r="A4381" s="246" t="str">
        <f t="shared" si="1346"/>
        <v/>
      </c>
      <c r="B4381" s="23"/>
      <c r="C4381" s="23"/>
      <c r="D4381" s="202" t="str">
        <f t="shared" si="1347"/>
        <v/>
      </c>
      <c r="E4381" s="33" t="str">
        <f t="shared" si="1359"/>
        <v/>
      </c>
      <c r="F4381" s="23"/>
      <c r="G4381" s="23"/>
      <c r="H4381" s="29"/>
      <c r="I4381" s="204" t="str">
        <f t="shared" si="1344"/>
        <v/>
      </c>
      <c r="J4381" s="188"/>
      <c r="K4381" s="29"/>
      <c r="L4381" s="24"/>
      <c r="M4381" s="22"/>
      <c r="N4381" s="22"/>
      <c r="O4381" s="22"/>
      <c r="P4381" s="202" t="str">
        <f t="shared" si="1345"/>
        <v/>
      </c>
      <c r="Q4381" s="22"/>
      <c r="R4381" s="22"/>
      <c r="S4381" s="22"/>
      <c r="T4381" s="22"/>
      <c r="U4381" s="22"/>
      <c r="V4381" s="22"/>
      <c r="W4381" s="22"/>
      <c r="X4381" s="104"/>
      <c r="Y4381" s="195" t="str">
        <f t="shared" si="1360"/>
        <v/>
      </c>
      <c r="Z4381" s="196" t="str">
        <f t="shared" si="1361"/>
        <v/>
      </c>
      <c r="AA4381" s="22"/>
      <c r="AB4381" s="197" t="str">
        <f t="shared" si="1348"/>
        <v/>
      </c>
      <c r="AC4381" s="198" t="str">
        <f t="shared" si="1349"/>
        <v/>
      </c>
      <c r="AD4381" s="162"/>
      <c r="AE4381" s="199" t="str">
        <f t="shared" si="1350"/>
        <v/>
      </c>
      <c r="AF4381" s="199" t="str">
        <f>IF(AND(COUNTIFS($J$18:J4381,J4381)=1,AE4381=1),1,"")</f>
        <v/>
      </c>
      <c r="AG4381" s="199" t="str">
        <f>IF(C4381="","",IF(AND(COUNTIFS($J$18:J4381,J4381)=1,C4381&lt;&gt;""),1,""))</f>
        <v/>
      </c>
      <c r="AH4381" s="199" t="str">
        <f>IF(G4381="","",IF(AND(COUNTIFS($J$18:J4381,J4381)=1,G4381&lt;&gt;""),1,""))</f>
        <v/>
      </c>
      <c r="AI4381" s="200">
        <f t="shared" si="1351"/>
        <v>0</v>
      </c>
      <c r="AJ4381" s="200">
        <f t="shared" si="1352"/>
        <v>0</v>
      </c>
      <c r="AK4381" s="201" t="str">
        <f t="shared" si="1353"/>
        <v/>
      </c>
      <c r="AL4381" s="24"/>
      <c r="AM4381" s="24"/>
      <c r="AN4381" s="24"/>
      <c r="AO4381" s="24"/>
      <c r="AP4381" s="165" t="str">
        <f t="shared" si="1354"/>
        <v/>
      </c>
      <c r="AQ4381" s="203" t="str">
        <f t="shared" si="1355"/>
        <v/>
      </c>
      <c r="AR4381" s="206">
        <f t="shared" si="1356"/>
        <v>0</v>
      </c>
      <c r="AS4381" s="22" t="str">
        <f t="shared" si="1357"/>
        <v/>
      </c>
      <c r="AT4381" s="24" t="str">
        <f t="shared" si="1358"/>
        <v/>
      </c>
      <c r="AU4381" s="22" t="s">
        <v>3240</v>
      </c>
    </row>
    <row r="4382" spans="1:47">
      <c r="A4382" s="246" t="str">
        <f t="shared" si="1346"/>
        <v/>
      </c>
      <c r="B4382" s="23"/>
      <c r="C4382" s="23"/>
      <c r="D4382" s="202" t="str">
        <f t="shared" si="1347"/>
        <v/>
      </c>
      <c r="E4382" s="33" t="str">
        <f t="shared" si="1359"/>
        <v/>
      </c>
      <c r="F4382" s="23"/>
      <c r="G4382" s="23"/>
      <c r="H4382" s="29"/>
      <c r="I4382" s="204" t="str">
        <f t="shared" si="1344"/>
        <v/>
      </c>
      <c r="J4382" s="188"/>
      <c r="K4382" s="29"/>
      <c r="L4382" s="24"/>
      <c r="M4382" s="22"/>
      <c r="N4382" s="22"/>
      <c r="O4382" s="22"/>
      <c r="P4382" s="202" t="str">
        <f t="shared" si="1345"/>
        <v/>
      </c>
      <c r="Q4382" s="22"/>
      <c r="R4382" s="22"/>
      <c r="S4382" s="22"/>
      <c r="T4382" s="22"/>
      <c r="U4382" s="22"/>
      <c r="V4382" s="22"/>
      <c r="W4382" s="22"/>
      <c r="X4382" s="104"/>
      <c r="Y4382" s="195" t="str">
        <f t="shared" si="1360"/>
        <v/>
      </c>
      <c r="Z4382" s="196" t="str">
        <f t="shared" si="1361"/>
        <v/>
      </c>
      <c r="AA4382" s="22"/>
      <c r="AB4382" s="197" t="str">
        <f t="shared" si="1348"/>
        <v/>
      </c>
      <c r="AC4382" s="198" t="str">
        <f t="shared" si="1349"/>
        <v/>
      </c>
      <c r="AD4382" s="162"/>
      <c r="AE4382" s="199" t="str">
        <f t="shared" si="1350"/>
        <v/>
      </c>
      <c r="AF4382" s="199" t="str">
        <f>IF(AND(COUNTIFS($J$18:J4382,J4382)=1,AE4382=1),1,"")</f>
        <v/>
      </c>
      <c r="AG4382" s="199" t="str">
        <f>IF(C4382="","",IF(AND(COUNTIFS($J$18:J4382,J4382)=1,C4382&lt;&gt;""),1,""))</f>
        <v/>
      </c>
      <c r="AH4382" s="199" t="str">
        <f>IF(G4382="","",IF(AND(COUNTIFS($J$18:J4382,J4382)=1,G4382&lt;&gt;""),1,""))</f>
        <v/>
      </c>
      <c r="AI4382" s="200">
        <f t="shared" si="1351"/>
        <v>0</v>
      </c>
      <c r="AJ4382" s="200">
        <f t="shared" si="1352"/>
        <v>0</v>
      </c>
      <c r="AK4382" s="201" t="str">
        <f t="shared" si="1353"/>
        <v/>
      </c>
      <c r="AL4382" s="24"/>
      <c r="AM4382" s="24"/>
      <c r="AN4382" s="24"/>
      <c r="AO4382" s="24"/>
      <c r="AP4382" s="165" t="str">
        <f t="shared" si="1354"/>
        <v/>
      </c>
      <c r="AQ4382" s="203" t="str">
        <f t="shared" si="1355"/>
        <v/>
      </c>
      <c r="AR4382" s="206">
        <f t="shared" si="1356"/>
        <v>0</v>
      </c>
      <c r="AS4382" s="22" t="str">
        <f t="shared" si="1357"/>
        <v/>
      </c>
      <c r="AT4382" s="24" t="str">
        <f t="shared" si="1358"/>
        <v/>
      </c>
      <c r="AU4382" s="22" t="s">
        <v>3240</v>
      </c>
    </row>
    <row r="4383" spans="1:47">
      <c r="A4383" s="246" t="str">
        <f t="shared" si="1346"/>
        <v/>
      </c>
      <c r="B4383" s="23"/>
      <c r="C4383" s="23"/>
      <c r="D4383" s="202" t="str">
        <f t="shared" si="1347"/>
        <v/>
      </c>
      <c r="E4383" s="33" t="str">
        <f t="shared" si="1359"/>
        <v/>
      </c>
      <c r="F4383" s="23"/>
      <c r="G4383" s="23"/>
      <c r="H4383" s="29"/>
      <c r="I4383" s="204" t="str">
        <f t="shared" si="1344"/>
        <v/>
      </c>
      <c r="J4383" s="188"/>
      <c r="K4383" s="29"/>
      <c r="L4383" s="24"/>
      <c r="M4383" s="22"/>
      <c r="N4383" s="22"/>
      <c r="O4383" s="22"/>
      <c r="P4383" s="202" t="str">
        <f t="shared" si="1345"/>
        <v/>
      </c>
      <c r="Q4383" s="22"/>
      <c r="R4383" s="22"/>
      <c r="S4383" s="22"/>
      <c r="T4383" s="22"/>
      <c r="U4383" s="22"/>
      <c r="V4383" s="22"/>
      <c r="W4383" s="22"/>
      <c r="X4383" s="104"/>
      <c r="Y4383" s="195" t="str">
        <f t="shared" si="1360"/>
        <v/>
      </c>
      <c r="Z4383" s="196" t="str">
        <f t="shared" si="1361"/>
        <v/>
      </c>
      <c r="AA4383" s="22"/>
      <c r="AB4383" s="197" t="str">
        <f t="shared" si="1348"/>
        <v/>
      </c>
      <c r="AC4383" s="198" t="str">
        <f t="shared" si="1349"/>
        <v/>
      </c>
      <c r="AD4383" s="162"/>
      <c r="AE4383" s="199" t="str">
        <f t="shared" si="1350"/>
        <v/>
      </c>
      <c r="AF4383" s="199" t="str">
        <f>IF(AND(COUNTIFS($J$18:J4383,J4383)=1,AE4383=1),1,"")</f>
        <v/>
      </c>
      <c r="AG4383" s="199" t="str">
        <f>IF(C4383="","",IF(AND(COUNTIFS($J$18:J4383,J4383)=1,C4383&lt;&gt;""),1,""))</f>
        <v/>
      </c>
      <c r="AH4383" s="199" t="str">
        <f>IF(G4383="","",IF(AND(COUNTIFS($J$18:J4383,J4383)=1,G4383&lt;&gt;""),1,""))</f>
        <v/>
      </c>
      <c r="AI4383" s="200">
        <f t="shared" si="1351"/>
        <v>0</v>
      </c>
      <c r="AJ4383" s="200">
        <f t="shared" si="1352"/>
        <v>0</v>
      </c>
      <c r="AK4383" s="201" t="str">
        <f t="shared" si="1353"/>
        <v/>
      </c>
      <c r="AL4383" s="24"/>
      <c r="AM4383" s="24"/>
      <c r="AN4383" s="24"/>
      <c r="AO4383" s="24"/>
      <c r="AP4383" s="165" t="str">
        <f t="shared" si="1354"/>
        <v/>
      </c>
      <c r="AQ4383" s="203" t="str">
        <f t="shared" si="1355"/>
        <v/>
      </c>
      <c r="AR4383" s="206">
        <f t="shared" si="1356"/>
        <v>0</v>
      </c>
      <c r="AS4383" s="22" t="str">
        <f t="shared" si="1357"/>
        <v/>
      </c>
      <c r="AT4383" s="24" t="str">
        <f t="shared" si="1358"/>
        <v/>
      </c>
      <c r="AU4383" s="22" t="s">
        <v>3240</v>
      </c>
    </row>
    <row r="4384" spans="1:47">
      <c r="A4384" s="246" t="str">
        <f t="shared" si="1346"/>
        <v/>
      </c>
      <c r="B4384" s="23"/>
      <c r="C4384" s="23"/>
      <c r="D4384" s="202" t="str">
        <f t="shared" si="1347"/>
        <v/>
      </c>
      <c r="E4384" s="33" t="str">
        <f t="shared" si="1359"/>
        <v/>
      </c>
      <c r="F4384" s="23"/>
      <c r="G4384" s="23"/>
      <c r="H4384" s="29"/>
      <c r="I4384" s="204" t="str">
        <f t="shared" ref="I4384:I4447" si="1362">IFERROR(IF(F4384="","",IF(F4384="TBA","TBA",IF(F4384="Cancel","Cancel",IF(AND(G4384&gt;=10,G4384&lt;=12),"Q3",IF(AND(G4384&gt;=1,G4384&lt;=3),"Q4",IF(AND(G4384&gt;=7,G4384&lt;=9),"Q2",IF(AND(G4384&gt;=4,G4384&lt;=6),"Q1"))))))),"")</f>
        <v/>
      </c>
      <c r="J4384" s="188"/>
      <c r="K4384" s="29"/>
      <c r="L4384" s="24"/>
      <c r="M4384" s="22"/>
      <c r="N4384" s="22"/>
      <c r="O4384" s="22"/>
      <c r="P4384" s="202" t="str">
        <f t="shared" si="1345"/>
        <v/>
      </c>
      <c r="Q4384" s="22"/>
      <c r="R4384" s="22"/>
      <c r="S4384" s="22"/>
      <c r="T4384" s="22"/>
      <c r="U4384" s="22"/>
      <c r="V4384" s="22"/>
      <c r="W4384" s="22"/>
      <c r="X4384" s="104"/>
      <c r="Y4384" s="195" t="str">
        <f t="shared" si="1360"/>
        <v/>
      </c>
      <c r="Z4384" s="196" t="str">
        <f t="shared" si="1361"/>
        <v/>
      </c>
      <c r="AA4384" s="22"/>
      <c r="AB4384" s="197" t="str">
        <f t="shared" si="1348"/>
        <v/>
      </c>
      <c r="AC4384" s="198" t="str">
        <f t="shared" si="1349"/>
        <v/>
      </c>
      <c r="AD4384" s="162"/>
      <c r="AE4384" s="199" t="str">
        <f t="shared" si="1350"/>
        <v/>
      </c>
      <c r="AF4384" s="199" t="str">
        <f>IF(AND(COUNTIFS($J$18:J4384,J4384)=1,AE4384=1),1,"")</f>
        <v/>
      </c>
      <c r="AG4384" s="199" t="str">
        <f>IF(C4384="","",IF(AND(COUNTIFS($J$18:J4384,J4384)=1,C4384&lt;&gt;""),1,""))</f>
        <v/>
      </c>
      <c r="AH4384" s="199" t="str">
        <f>IF(G4384="","",IF(AND(COUNTIFS($J$18:J4384,J4384)=1,G4384&lt;&gt;""),1,""))</f>
        <v/>
      </c>
      <c r="AI4384" s="200">
        <f t="shared" si="1351"/>
        <v>0</v>
      </c>
      <c r="AJ4384" s="200">
        <f t="shared" si="1352"/>
        <v>0</v>
      </c>
      <c r="AK4384" s="201" t="str">
        <f t="shared" si="1353"/>
        <v/>
      </c>
      <c r="AL4384" s="24"/>
      <c r="AM4384" s="24"/>
      <c r="AN4384" s="24"/>
      <c r="AO4384" s="24"/>
      <c r="AP4384" s="165" t="str">
        <f t="shared" si="1354"/>
        <v/>
      </c>
      <c r="AQ4384" s="203" t="str">
        <f t="shared" si="1355"/>
        <v/>
      </c>
      <c r="AR4384" s="206">
        <f t="shared" si="1356"/>
        <v>0</v>
      </c>
      <c r="AS4384" s="22" t="str">
        <f t="shared" si="1357"/>
        <v/>
      </c>
      <c r="AT4384" s="24" t="str">
        <f t="shared" si="1358"/>
        <v/>
      </c>
      <c r="AU4384" s="22" t="s">
        <v>3240</v>
      </c>
    </row>
    <row r="4385" spans="1:47">
      <c r="A4385" s="246" t="str">
        <f t="shared" si="1346"/>
        <v/>
      </c>
      <c r="B4385" s="23"/>
      <c r="C4385" s="23"/>
      <c r="D4385" s="202" t="str">
        <f t="shared" si="1347"/>
        <v/>
      </c>
      <c r="E4385" s="33" t="str">
        <f t="shared" si="1359"/>
        <v/>
      </c>
      <c r="F4385" s="23"/>
      <c r="G4385" s="23"/>
      <c r="H4385" s="29"/>
      <c r="I4385" s="204" t="str">
        <f t="shared" si="1362"/>
        <v/>
      </c>
      <c r="J4385" s="188"/>
      <c r="K4385" s="29"/>
      <c r="L4385" s="24"/>
      <c r="M4385" s="22"/>
      <c r="N4385" s="22"/>
      <c r="O4385" s="22"/>
      <c r="P4385" s="202" t="str">
        <f t="shared" ref="P4385:P4448" si="1363">IF(M4385="","",IF(AND(N4385&gt;0,L4385&lt;&gt;""),"MAIN UNIT",IF(AND(O4385&gt;0,L4385&lt;&gt;""),"SERVICE/ PARTS","C66 SERVICE/OTHERS")))</f>
        <v/>
      </c>
      <c r="Q4385" s="22"/>
      <c r="R4385" s="22"/>
      <c r="S4385" s="22"/>
      <c r="T4385" s="22"/>
      <c r="U4385" s="22"/>
      <c r="V4385" s="22"/>
      <c r="W4385" s="22"/>
      <c r="X4385" s="104"/>
      <c r="Y4385" s="195" t="str">
        <f t="shared" si="1360"/>
        <v/>
      </c>
      <c r="Z4385" s="196" t="str">
        <f t="shared" si="1361"/>
        <v/>
      </c>
      <c r="AA4385" s="22"/>
      <c r="AB4385" s="197" t="str">
        <f t="shared" si="1348"/>
        <v/>
      </c>
      <c r="AC4385" s="198" t="str">
        <f t="shared" si="1349"/>
        <v/>
      </c>
      <c r="AD4385" s="162"/>
      <c r="AE4385" s="199" t="str">
        <f t="shared" si="1350"/>
        <v/>
      </c>
      <c r="AF4385" s="199" t="str">
        <f>IF(AND(COUNTIFS($J$18:J4385,J4385)=1,AE4385=1),1,"")</f>
        <v/>
      </c>
      <c r="AG4385" s="199" t="str">
        <f>IF(C4385="","",IF(AND(COUNTIFS($J$18:J4385,J4385)=1,C4385&lt;&gt;""),1,""))</f>
        <v/>
      </c>
      <c r="AH4385" s="199" t="str">
        <f>IF(G4385="","",IF(AND(COUNTIFS($J$18:J4385,J4385)=1,G4385&lt;&gt;""),1,""))</f>
        <v/>
      </c>
      <c r="AI4385" s="200">
        <f t="shared" si="1351"/>
        <v>0</v>
      </c>
      <c r="AJ4385" s="200">
        <f t="shared" si="1352"/>
        <v>0</v>
      </c>
      <c r="AK4385" s="201" t="str">
        <f t="shared" si="1353"/>
        <v/>
      </c>
      <c r="AL4385" s="24"/>
      <c r="AM4385" s="24"/>
      <c r="AN4385" s="24"/>
      <c r="AO4385" s="24"/>
      <c r="AP4385" s="165" t="str">
        <f t="shared" si="1354"/>
        <v/>
      </c>
      <c r="AQ4385" s="203" t="str">
        <f t="shared" si="1355"/>
        <v/>
      </c>
      <c r="AR4385" s="206">
        <f t="shared" si="1356"/>
        <v>0</v>
      </c>
      <c r="AS4385" s="22" t="str">
        <f t="shared" si="1357"/>
        <v/>
      </c>
      <c r="AT4385" s="24" t="str">
        <f t="shared" si="1358"/>
        <v/>
      </c>
      <c r="AU4385" s="22" t="s">
        <v>3240</v>
      </c>
    </row>
    <row r="4386" spans="1:47">
      <c r="A4386" s="246" t="str">
        <f t="shared" ref="A4386:A4449" si="1364">IF(C4386="cancel","cancel",IFERROR(IF(D4386="Q4","FY "&amp;RIGHT(B4386,2)-1&amp;"/"&amp;RIGHT(B4386,2),"FY "&amp;RIGHT(B4386,2)&amp;"/"&amp;RIGHT(B4386,2)+1),""))</f>
        <v/>
      </c>
      <c r="B4386" s="23"/>
      <c r="C4386" s="23"/>
      <c r="D4386" s="202" t="str">
        <f t="shared" ref="D4386:D4449" si="1365">IF(B4386="","",IF(AND(C4386&gt;=10,C4386&lt;=12),"Q3",IF(AND(C4386&gt;=1,C4386&lt;=3),"Q4",IF(AND(C4386&gt;=7,C4386&lt;=9),"Q2",IF(AND(C4386&gt;=4,C4386&lt;=6),"Q1")))))</f>
        <v/>
      </c>
      <c r="E4386" s="33" t="str">
        <f t="shared" si="1359"/>
        <v/>
      </c>
      <c r="F4386" s="23"/>
      <c r="G4386" s="23"/>
      <c r="H4386" s="29"/>
      <c r="I4386" s="204" t="str">
        <f t="shared" si="1362"/>
        <v/>
      </c>
      <c r="J4386" s="188"/>
      <c r="K4386" s="29"/>
      <c r="L4386" s="24"/>
      <c r="M4386" s="22"/>
      <c r="N4386" s="22"/>
      <c r="O4386" s="22"/>
      <c r="P4386" s="202" t="str">
        <f t="shared" si="1363"/>
        <v/>
      </c>
      <c r="Q4386" s="22"/>
      <c r="R4386" s="22"/>
      <c r="S4386" s="22"/>
      <c r="T4386" s="22"/>
      <c r="U4386" s="22"/>
      <c r="V4386" s="22"/>
      <c r="W4386" s="22"/>
      <c r="X4386" s="104"/>
      <c r="Y4386" s="195" t="str">
        <f t="shared" si="1360"/>
        <v/>
      </c>
      <c r="Z4386" s="196" t="str">
        <f t="shared" si="1361"/>
        <v/>
      </c>
      <c r="AA4386" s="22"/>
      <c r="AB4386" s="197" t="str">
        <f t="shared" ref="AB4386:AB4449" si="1366">IF(AND(R4386&lt;&gt;"C66",R4386&lt;&gt;""),Z4386/Y4386*AA4386,"")</f>
        <v/>
      </c>
      <c r="AC4386" s="198" t="str">
        <f t="shared" ref="AC4386:AC4449" si="1367">IF(R4386&lt;&gt;"",AB4386*AD4386,"")</f>
        <v/>
      </c>
      <c r="AD4386" s="162"/>
      <c r="AE4386" s="199" t="str">
        <f t="shared" ref="AE4386:AE4449" si="1368">IF(Q4386="","",IF(Q4386="Yes",1,0))</f>
        <v/>
      </c>
      <c r="AF4386" s="199" t="str">
        <f>IF(AND(COUNTIFS($J$18:J4386,J4386)=1,AE4386=1),1,"")</f>
        <v/>
      </c>
      <c r="AG4386" s="199" t="str">
        <f>IF(C4386="","",IF(AND(COUNTIFS($J$18:J4386,J4386)=1,C4386&lt;&gt;""),1,""))</f>
        <v/>
      </c>
      <c r="AH4386" s="199" t="str">
        <f>IF(G4386="","",IF(AND(COUNTIFS($J$18:J4386,J4386)=1,G4386&lt;&gt;""),1,""))</f>
        <v/>
      </c>
      <c r="AI4386" s="200">
        <f t="shared" ref="AI4386:AI4449" si="1369">IF(P4386="C66 SERVICE","",SUMIFS(AB:AB,F:F,F4386,G:G,G4386,E:E,E4386))</f>
        <v>0</v>
      </c>
      <c r="AJ4386" s="200">
        <f t="shared" ref="AJ4386:AJ4449" si="1370">IF(P4386="C66 SERVICE","",SUMIFS(AC:AC,F:F,F4386,G:G,G4386,E:E,E4386))</f>
        <v>0</v>
      </c>
      <c r="AK4386" s="201" t="str">
        <f t="shared" ref="AK4386:AK4449" si="1371">IF(AJ4386&gt;0,AJ4386/AI4386,"")</f>
        <v/>
      </c>
      <c r="AL4386" s="24"/>
      <c r="AM4386" s="24"/>
      <c r="AN4386" s="24"/>
      <c r="AO4386" s="24"/>
      <c r="AP4386" s="165" t="str">
        <f t="shared" ref="AP4386:AP4449" si="1372">IF(F4386="","",F4386&amp;G4386)</f>
        <v/>
      </c>
      <c r="AQ4386" s="203" t="str">
        <f t="shared" ref="AQ4386:AQ4449" si="1373">IF(W4386="","",F4386&amp;G4386&amp;W4386)</f>
        <v/>
      </c>
      <c r="AR4386" s="206">
        <f t="shared" ref="AR4386:AR4449" si="1374">IFERROR(IF(AND(M4386="YAMAHA", R4386="C28"), "YAMAHA_Non_Mounter", IF(AND(M4386="YAMAHA", R4386="C49"), "YAMAHA_Mounter", M4386)),"")</f>
        <v>0</v>
      </c>
      <c r="AS4386" s="22" t="str">
        <f t="shared" ref="AS4386:AS4449" si="1375">IFERROR(IF(OR(G4386="TBA", G4386=""), "", DATEDIF(DATE(B4386, C4386, 1), DATE(F4386, G4386, 1), "M")),"")</f>
        <v/>
      </c>
      <c r="AT4386" s="24" t="str">
        <f t="shared" ref="AT4386:AT4449" si="1376">IF(ISNUMBER(AS4386), IF(AS4386&gt;=0, IF(AS4386&lt;=3, "0-3 months", IF(AS4386&lt;=6, "4-6 months", "&gt; 6 months"))), "")</f>
        <v/>
      </c>
      <c r="AU4386" s="22" t="s">
        <v>3240</v>
      </c>
    </row>
    <row r="4387" spans="1:47">
      <c r="A4387" s="246" t="str">
        <f t="shared" si="1364"/>
        <v/>
      </c>
      <c r="B4387" s="23"/>
      <c r="C4387" s="23"/>
      <c r="D4387" s="202" t="str">
        <f t="shared" si="1365"/>
        <v/>
      </c>
      <c r="E4387" s="33" t="str">
        <f t="shared" si="1359"/>
        <v/>
      </c>
      <c r="F4387" s="23"/>
      <c r="G4387" s="23"/>
      <c r="H4387" s="29"/>
      <c r="I4387" s="204" t="str">
        <f t="shared" si="1362"/>
        <v/>
      </c>
      <c r="J4387" s="188"/>
      <c r="K4387" s="29"/>
      <c r="L4387" s="24"/>
      <c r="M4387" s="22"/>
      <c r="N4387" s="22"/>
      <c r="O4387" s="22"/>
      <c r="P4387" s="202" t="str">
        <f t="shared" si="1363"/>
        <v/>
      </c>
      <c r="Q4387" s="22"/>
      <c r="R4387" s="22"/>
      <c r="S4387" s="22"/>
      <c r="T4387" s="22"/>
      <c r="U4387" s="22"/>
      <c r="V4387" s="22"/>
      <c r="W4387" s="22"/>
      <c r="X4387" s="104"/>
      <c r="Y4387" s="195" t="str">
        <f t="shared" si="1360"/>
        <v/>
      </c>
      <c r="Z4387" s="196" t="str">
        <f t="shared" si="1361"/>
        <v/>
      </c>
      <c r="AA4387" s="22"/>
      <c r="AB4387" s="197" t="str">
        <f t="shared" si="1366"/>
        <v/>
      </c>
      <c r="AC4387" s="198" t="str">
        <f t="shared" si="1367"/>
        <v/>
      </c>
      <c r="AD4387" s="162"/>
      <c r="AE4387" s="199" t="str">
        <f t="shared" si="1368"/>
        <v/>
      </c>
      <c r="AF4387" s="199" t="str">
        <f>IF(AND(COUNTIFS($J$18:J4387,J4387)=1,AE4387=1),1,"")</f>
        <v/>
      </c>
      <c r="AG4387" s="199" t="str">
        <f>IF(C4387="","",IF(AND(COUNTIFS($J$18:J4387,J4387)=1,C4387&lt;&gt;""),1,""))</f>
        <v/>
      </c>
      <c r="AH4387" s="199" t="str">
        <f>IF(G4387="","",IF(AND(COUNTIFS($J$18:J4387,J4387)=1,G4387&lt;&gt;""),1,""))</f>
        <v/>
      </c>
      <c r="AI4387" s="200">
        <f t="shared" si="1369"/>
        <v>0</v>
      </c>
      <c r="AJ4387" s="200">
        <f t="shared" si="1370"/>
        <v>0</v>
      </c>
      <c r="AK4387" s="201" t="str">
        <f t="shared" si="1371"/>
        <v/>
      </c>
      <c r="AL4387" s="24"/>
      <c r="AM4387" s="24"/>
      <c r="AN4387" s="24"/>
      <c r="AO4387" s="24"/>
      <c r="AP4387" s="165" t="str">
        <f t="shared" si="1372"/>
        <v/>
      </c>
      <c r="AQ4387" s="203" t="str">
        <f t="shared" si="1373"/>
        <v/>
      </c>
      <c r="AR4387" s="206">
        <f t="shared" si="1374"/>
        <v>0</v>
      </c>
      <c r="AS4387" s="22" t="str">
        <f t="shared" si="1375"/>
        <v/>
      </c>
      <c r="AT4387" s="24" t="str">
        <f t="shared" si="1376"/>
        <v/>
      </c>
      <c r="AU4387" s="22" t="s">
        <v>3240</v>
      </c>
    </row>
    <row r="4388" spans="1:47">
      <c r="A4388" s="246" t="str">
        <f t="shared" si="1364"/>
        <v/>
      </c>
      <c r="B4388" s="23"/>
      <c r="C4388" s="23"/>
      <c r="D4388" s="202" t="str">
        <f t="shared" si="1365"/>
        <v/>
      </c>
      <c r="E4388" s="33" t="str">
        <f t="shared" si="1359"/>
        <v/>
      </c>
      <c r="F4388" s="23"/>
      <c r="G4388" s="23"/>
      <c r="H4388" s="29"/>
      <c r="I4388" s="204" t="str">
        <f t="shared" si="1362"/>
        <v/>
      </c>
      <c r="J4388" s="188"/>
      <c r="K4388" s="29"/>
      <c r="L4388" s="24"/>
      <c r="M4388" s="22"/>
      <c r="N4388" s="22"/>
      <c r="O4388" s="22"/>
      <c r="P4388" s="202" t="str">
        <f t="shared" si="1363"/>
        <v/>
      </c>
      <c r="Q4388" s="22"/>
      <c r="R4388" s="22"/>
      <c r="S4388" s="22"/>
      <c r="T4388" s="22"/>
      <c r="U4388" s="22"/>
      <c r="V4388" s="22"/>
      <c r="W4388" s="22"/>
      <c r="X4388" s="104"/>
      <c r="Y4388" s="195" t="str">
        <f t="shared" si="1360"/>
        <v/>
      </c>
      <c r="Z4388" s="196" t="str">
        <f t="shared" si="1361"/>
        <v/>
      </c>
      <c r="AA4388" s="22"/>
      <c r="AB4388" s="197" t="str">
        <f t="shared" si="1366"/>
        <v/>
      </c>
      <c r="AC4388" s="198" t="str">
        <f t="shared" si="1367"/>
        <v/>
      </c>
      <c r="AD4388" s="162"/>
      <c r="AE4388" s="199" t="str">
        <f t="shared" si="1368"/>
        <v/>
      </c>
      <c r="AF4388" s="199" t="str">
        <f>IF(AND(COUNTIFS($J$18:J4388,J4388)=1,AE4388=1),1,"")</f>
        <v/>
      </c>
      <c r="AG4388" s="199" t="str">
        <f>IF(C4388="","",IF(AND(COUNTIFS($J$18:J4388,J4388)=1,C4388&lt;&gt;""),1,""))</f>
        <v/>
      </c>
      <c r="AH4388" s="199" t="str">
        <f>IF(G4388="","",IF(AND(COUNTIFS($J$18:J4388,J4388)=1,G4388&lt;&gt;""),1,""))</f>
        <v/>
      </c>
      <c r="AI4388" s="200">
        <f t="shared" si="1369"/>
        <v>0</v>
      </c>
      <c r="AJ4388" s="200">
        <f t="shared" si="1370"/>
        <v>0</v>
      </c>
      <c r="AK4388" s="201" t="str">
        <f t="shared" si="1371"/>
        <v/>
      </c>
      <c r="AL4388" s="24"/>
      <c r="AM4388" s="24"/>
      <c r="AN4388" s="24"/>
      <c r="AO4388" s="24"/>
      <c r="AP4388" s="165" t="str">
        <f t="shared" si="1372"/>
        <v/>
      </c>
      <c r="AQ4388" s="203" t="str">
        <f t="shared" si="1373"/>
        <v/>
      </c>
      <c r="AR4388" s="206">
        <f t="shared" si="1374"/>
        <v>0</v>
      </c>
      <c r="AS4388" s="22" t="str">
        <f t="shared" si="1375"/>
        <v/>
      </c>
      <c r="AT4388" s="24" t="str">
        <f t="shared" si="1376"/>
        <v/>
      </c>
      <c r="AU4388" s="22" t="s">
        <v>3240</v>
      </c>
    </row>
    <row r="4389" spans="1:47">
      <c r="A4389" s="246" t="str">
        <f t="shared" si="1364"/>
        <v/>
      </c>
      <c r="B4389" s="23"/>
      <c r="C4389" s="23"/>
      <c r="D4389" s="202" t="str">
        <f t="shared" si="1365"/>
        <v/>
      </c>
      <c r="E4389" s="33" t="str">
        <f t="shared" si="1359"/>
        <v/>
      </c>
      <c r="F4389" s="23"/>
      <c r="G4389" s="23"/>
      <c r="H4389" s="29"/>
      <c r="I4389" s="204" t="str">
        <f t="shared" si="1362"/>
        <v/>
      </c>
      <c r="J4389" s="188"/>
      <c r="K4389" s="29"/>
      <c r="L4389" s="24"/>
      <c r="M4389" s="22"/>
      <c r="N4389" s="22"/>
      <c r="O4389" s="22"/>
      <c r="P4389" s="202" t="str">
        <f t="shared" si="1363"/>
        <v/>
      </c>
      <c r="Q4389" s="22"/>
      <c r="R4389" s="22"/>
      <c r="S4389" s="22"/>
      <c r="T4389" s="22"/>
      <c r="U4389" s="22"/>
      <c r="V4389" s="22"/>
      <c r="W4389" s="22"/>
      <c r="X4389" s="104"/>
      <c r="Y4389" s="195" t="str">
        <f t="shared" si="1360"/>
        <v/>
      </c>
      <c r="Z4389" s="196" t="str">
        <f t="shared" si="1361"/>
        <v/>
      </c>
      <c r="AA4389" s="22"/>
      <c r="AB4389" s="197" t="str">
        <f t="shared" si="1366"/>
        <v/>
      </c>
      <c r="AC4389" s="198" t="str">
        <f t="shared" si="1367"/>
        <v/>
      </c>
      <c r="AD4389" s="162"/>
      <c r="AE4389" s="199" t="str">
        <f t="shared" si="1368"/>
        <v/>
      </c>
      <c r="AF4389" s="199" t="str">
        <f>IF(AND(COUNTIFS($J$18:J4389,J4389)=1,AE4389=1),1,"")</f>
        <v/>
      </c>
      <c r="AG4389" s="199" t="str">
        <f>IF(C4389="","",IF(AND(COUNTIFS($J$18:J4389,J4389)=1,C4389&lt;&gt;""),1,""))</f>
        <v/>
      </c>
      <c r="AH4389" s="199" t="str">
        <f>IF(G4389="","",IF(AND(COUNTIFS($J$18:J4389,J4389)=1,G4389&lt;&gt;""),1,""))</f>
        <v/>
      </c>
      <c r="AI4389" s="200">
        <f t="shared" si="1369"/>
        <v>0</v>
      </c>
      <c r="AJ4389" s="200">
        <f t="shared" si="1370"/>
        <v>0</v>
      </c>
      <c r="AK4389" s="201" t="str">
        <f t="shared" si="1371"/>
        <v/>
      </c>
      <c r="AL4389" s="24"/>
      <c r="AM4389" s="24"/>
      <c r="AN4389" s="24"/>
      <c r="AO4389" s="24"/>
      <c r="AP4389" s="165" t="str">
        <f t="shared" si="1372"/>
        <v/>
      </c>
      <c r="AQ4389" s="203" t="str">
        <f t="shared" si="1373"/>
        <v/>
      </c>
      <c r="AR4389" s="206">
        <f t="shared" si="1374"/>
        <v>0</v>
      </c>
      <c r="AS4389" s="22" t="str">
        <f t="shared" si="1375"/>
        <v/>
      </c>
      <c r="AT4389" s="24" t="str">
        <f t="shared" si="1376"/>
        <v/>
      </c>
      <c r="AU4389" s="22" t="s">
        <v>3240</v>
      </c>
    </row>
    <row r="4390" spans="1:47">
      <c r="A4390" s="246" t="str">
        <f t="shared" si="1364"/>
        <v/>
      </c>
      <c r="B4390" s="23"/>
      <c r="C4390" s="23"/>
      <c r="D4390" s="202" t="str">
        <f t="shared" si="1365"/>
        <v/>
      </c>
      <c r="E4390" s="33" t="str">
        <f t="shared" si="1359"/>
        <v/>
      </c>
      <c r="F4390" s="23"/>
      <c r="G4390" s="23"/>
      <c r="H4390" s="29"/>
      <c r="I4390" s="204" t="str">
        <f t="shared" si="1362"/>
        <v/>
      </c>
      <c r="J4390" s="188"/>
      <c r="K4390" s="29"/>
      <c r="L4390" s="24"/>
      <c r="M4390" s="22"/>
      <c r="N4390" s="22"/>
      <c r="O4390" s="22"/>
      <c r="P4390" s="202" t="str">
        <f t="shared" si="1363"/>
        <v/>
      </c>
      <c r="Q4390" s="22"/>
      <c r="R4390" s="22"/>
      <c r="S4390" s="22"/>
      <c r="T4390" s="22"/>
      <c r="U4390" s="22"/>
      <c r="V4390" s="22"/>
      <c r="W4390" s="22"/>
      <c r="X4390" s="104"/>
      <c r="Y4390" s="195" t="str">
        <f t="shared" si="1360"/>
        <v/>
      </c>
      <c r="Z4390" s="196" t="str">
        <f t="shared" si="1361"/>
        <v/>
      </c>
      <c r="AA4390" s="22"/>
      <c r="AB4390" s="197" t="str">
        <f t="shared" si="1366"/>
        <v/>
      </c>
      <c r="AC4390" s="198" t="str">
        <f t="shared" si="1367"/>
        <v/>
      </c>
      <c r="AD4390" s="162"/>
      <c r="AE4390" s="199" t="str">
        <f t="shared" si="1368"/>
        <v/>
      </c>
      <c r="AF4390" s="199" t="str">
        <f>IF(AND(COUNTIFS($J$18:J4390,J4390)=1,AE4390=1),1,"")</f>
        <v/>
      </c>
      <c r="AG4390" s="199" t="str">
        <f>IF(C4390="","",IF(AND(COUNTIFS($J$18:J4390,J4390)=1,C4390&lt;&gt;""),1,""))</f>
        <v/>
      </c>
      <c r="AH4390" s="199" t="str">
        <f>IF(G4390="","",IF(AND(COUNTIFS($J$18:J4390,J4390)=1,G4390&lt;&gt;""),1,""))</f>
        <v/>
      </c>
      <c r="AI4390" s="200">
        <f t="shared" si="1369"/>
        <v>0</v>
      </c>
      <c r="AJ4390" s="200">
        <f t="shared" si="1370"/>
        <v>0</v>
      </c>
      <c r="AK4390" s="201" t="str">
        <f t="shared" si="1371"/>
        <v/>
      </c>
      <c r="AL4390" s="24"/>
      <c r="AM4390" s="24"/>
      <c r="AN4390" s="24"/>
      <c r="AO4390" s="24"/>
      <c r="AP4390" s="165" t="str">
        <f t="shared" si="1372"/>
        <v/>
      </c>
      <c r="AQ4390" s="203" t="str">
        <f t="shared" si="1373"/>
        <v/>
      </c>
      <c r="AR4390" s="206">
        <f t="shared" si="1374"/>
        <v>0</v>
      </c>
      <c r="AS4390" s="22" t="str">
        <f t="shared" si="1375"/>
        <v/>
      </c>
      <c r="AT4390" s="24" t="str">
        <f t="shared" si="1376"/>
        <v/>
      </c>
      <c r="AU4390" s="22" t="s">
        <v>3240</v>
      </c>
    </row>
    <row r="4391" spans="1:47">
      <c r="A4391" s="246" t="str">
        <f t="shared" si="1364"/>
        <v/>
      </c>
      <c r="B4391" s="23"/>
      <c r="C4391" s="23"/>
      <c r="D4391" s="202" t="str">
        <f t="shared" si="1365"/>
        <v/>
      </c>
      <c r="E4391" s="33" t="str">
        <f t="shared" si="1359"/>
        <v/>
      </c>
      <c r="F4391" s="23"/>
      <c r="G4391" s="23"/>
      <c r="H4391" s="29"/>
      <c r="I4391" s="204" t="str">
        <f t="shared" si="1362"/>
        <v/>
      </c>
      <c r="J4391" s="188"/>
      <c r="K4391" s="29"/>
      <c r="L4391" s="24"/>
      <c r="M4391" s="22"/>
      <c r="N4391" s="22"/>
      <c r="O4391" s="22"/>
      <c r="P4391" s="202" t="str">
        <f t="shared" si="1363"/>
        <v/>
      </c>
      <c r="Q4391" s="22"/>
      <c r="R4391" s="22"/>
      <c r="S4391" s="22"/>
      <c r="T4391" s="22"/>
      <c r="U4391" s="22"/>
      <c r="V4391" s="22"/>
      <c r="W4391" s="22"/>
      <c r="X4391" s="104"/>
      <c r="Y4391" s="195" t="str">
        <f t="shared" si="1360"/>
        <v/>
      </c>
      <c r="Z4391" s="196" t="str">
        <f t="shared" si="1361"/>
        <v/>
      </c>
      <c r="AA4391" s="22"/>
      <c r="AB4391" s="197" t="str">
        <f t="shared" si="1366"/>
        <v/>
      </c>
      <c r="AC4391" s="198" t="str">
        <f t="shared" si="1367"/>
        <v/>
      </c>
      <c r="AD4391" s="162"/>
      <c r="AE4391" s="199" t="str">
        <f t="shared" si="1368"/>
        <v/>
      </c>
      <c r="AF4391" s="199" t="str">
        <f>IF(AND(COUNTIFS($J$18:J4391,J4391)=1,AE4391=1),1,"")</f>
        <v/>
      </c>
      <c r="AG4391" s="199" t="str">
        <f>IF(C4391="","",IF(AND(COUNTIFS($J$18:J4391,J4391)=1,C4391&lt;&gt;""),1,""))</f>
        <v/>
      </c>
      <c r="AH4391" s="199" t="str">
        <f>IF(G4391="","",IF(AND(COUNTIFS($J$18:J4391,J4391)=1,G4391&lt;&gt;""),1,""))</f>
        <v/>
      </c>
      <c r="AI4391" s="200">
        <f t="shared" si="1369"/>
        <v>0</v>
      </c>
      <c r="AJ4391" s="200">
        <f t="shared" si="1370"/>
        <v>0</v>
      </c>
      <c r="AK4391" s="201" t="str">
        <f t="shared" si="1371"/>
        <v/>
      </c>
      <c r="AL4391" s="24"/>
      <c r="AM4391" s="24"/>
      <c r="AN4391" s="24"/>
      <c r="AO4391" s="24"/>
      <c r="AP4391" s="165" t="str">
        <f t="shared" si="1372"/>
        <v/>
      </c>
      <c r="AQ4391" s="203" t="str">
        <f t="shared" si="1373"/>
        <v/>
      </c>
      <c r="AR4391" s="206">
        <f t="shared" si="1374"/>
        <v>0</v>
      </c>
      <c r="AS4391" s="22" t="str">
        <f t="shared" si="1375"/>
        <v/>
      </c>
      <c r="AT4391" s="24" t="str">
        <f t="shared" si="1376"/>
        <v/>
      </c>
      <c r="AU4391" s="22" t="s">
        <v>3240</v>
      </c>
    </row>
    <row r="4392" spans="1:47">
      <c r="A4392" s="246" t="str">
        <f t="shared" si="1364"/>
        <v/>
      </c>
      <c r="B4392" s="23"/>
      <c r="C4392" s="23"/>
      <c r="D4392" s="202" t="str">
        <f t="shared" si="1365"/>
        <v/>
      </c>
      <c r="E4392" s="33" t="str">
        <f t="shared" si="1359"/>
        <v/>
      </c>
      <c r="F4392" s="23"/>
      <c r="G4392" s="23"/>
      <c r="H4392" s="29"/>
      <c r="I4392" s="204" t="str">
        <f t="shared" si="1362"/>
        <v/>
      </c>
      <c r="J4392" s="188"/>
      <c r="K4392" s="29"/>
      <c r="L4392" s="24"/>
      <c r="M4392" s="22"/>
      <c r="N4392" s="22"/>
      <c r="O4392" s="22"/>
      <c r="P4392" s="202" t="str">
        <f t="shared" si="1363"/>
        <v/>
      </c>
      <c r="Q4392" s="22"/>
      <c r="R4392" s="22"/>
      <c r="S4392" s="22"/>
      <c r="T4392" s="22"/>
      <c r="U4392" s="22"/>
      <c r="V4392" s="22"/>
      <c r="W4392" s="22"/>
      <c r="X4392" s="104"/>
      <c r="Y4392" s="195" t="str">
        <f t="shared" si="1360"/>
        <v/>
      </c>
      <c r="Z4392" s="196" t="str">
        <f t="shared" si="1361"/>
        <v/>
      </c>
      <c r="AA4392" s="22"/>
      <c r="AB4392" s="197" t="str">
        <f t="shared" si="1366"/>
        <v/>
      </c>
      <c r="AC4392" s="198" t="str">
        <f t="shared" si="1367"/>
        <v/>
      </c>
      <c r="AD4392" s="162"/>
      <c r="AE4392" s="199" t="str">
        <f t="shared" si="1368"/>
        <v/>
      </c>
      <c r="AF4392" s="199" t="str">
        <f>IF(AND(COUNTIFS($J$18:J4392,J4392)=1,AE4392=1),1,"")</f>
        <v/>
      </c>
      <c r="AG4392" s="199" t="str">
        <f>IF(C4392="","",IF(AND(COUNTIFS($J$18:J4392,J4392)=1,C4392&lt;&gt;""),1,""))</f>
        <v/>
      </c>
      <c r="AH4392" s="199" t="str">
        <f>IF(G4392="","",IF(AND(COUNTIFS($J$18:J4392,J4392)=1,G4392&lt;&gt;""),1,""))</f>
        <v/>
      </c>
      <c r="AI4392" s="200">
        <f t="shared" si="1369"/>
        <v>0</v>
      </c>
      <c r="AJ4392" s="200">
        <f t="shared" si="1370"/>
        <v>0</v>
      </c>
      <c r="AK4392" s="201" t="str">
        <f t="shared" si="1371"/>
        <v/>
      </c>
      <c r="AL4392" s="24"/>
      <c r="AM4392" s="24"/>
      <c r="AN4392" s="24"/>
      <c r="AO4392" s="24"/>
      <c r="AP4392" s="165" t="str">
        <f t="shared" si="1372"/>
        <v/>
      </c>
      <c r="AQ4392" s="203" t="str">
        <f t="shared" si="1373"/>
        <v/>
      </c>
      <c r="AR4392" s="206">
        <f t="shared" si="1374"/>
        <v>0</v>
      </c>
      <c r="AS4392" s="22" t="str">
        <f t="shared" si="1375"/>
        <v/>
      </c>
      <c r="AT4392" s="24" t="str">
        <f t="shared" si="1376"/>
        <v/>
      </c>
      <c r="AU4392" s="22" t="s">
        <v>3240</v>
      </c>
    </row>
    <row r="4393" spans="1:47">
      <c r="A4393" s="246" t="str">
        <f t="shared" si="1364"/>
        <v/>
      </c>
      <c r="B4393" s="23"/>
      <c r="C4393" s="23"/>
      <c r="D4393" s="202" t="str">
        <f t="shared" si="1365"/>
        <v/>
      </c>
      <c r="E4393" s="33" t="str">
        <f t="shared" si="1359"/>
        <v/>
      </c>
      <c r="F4393" s="23"/>
      <c r="G4393" s="23"/>
      <c r="H4393" s="29"/>
      <c r="I4393" s="204" t="str">
        <f t="shared" si="1362"/>
        <v/>
      </c>
      <c r="J4393" s="188"/>
      <c r="K4393" s="29"/>
      <c r="L4393" s="24"/>
      <c r="M4393" s="22"/>
      <c r="N4393" s="22"/>
      <c r="O4393" s="22"/>
      <c r="P4393" s="202" t="str">
        <f t="shared" si="1363"/>
        <v/>
      </c>
      <c r="Q4393" s="22"/>
      <c r="R4393" s="22"/>
      <c r="S4393" s="22"/>
      <c r="T4393" s="22"/>
      <c r="U4393" s="22"/>
      <c r="V4393" s="22"/>
      <c r="W4393" s="22"/>
      <c r="X4393" s="104"/>
      <c r="Y4393" s="195" t="str">
        <f t="shared" si="1360"/>
        <v/>
      </c>
      <c r="Z4393" s="196" t="str">
        <f t="shared" si="1361"/>
        <v/>
      </c>
      <c r="AA4393" s="22"/>
      <c r="AB4393" s="197" t="str">
        <f t="shared" si="1366"/>
        <v/>
      </c>
      <c r="AC4393" s="198" t="str">
        <f t="shared" si="1367"/>
        <v/>
      </c>
      <c r="AD4393" s="162"/>
      <c r="AE4393" s="199" t="str">
        <f t="shared" si="1368"/>
        <v/>
      </c>
      <c r="AF4393" s="199" t="str">
        <f>IF(AND(COUNTIFS($J$18:J4393,J4393)=1,AE4393=1),1,"")</f>
        <v/>
      </c>
      <c r="AG4393" s="199" t="str">
        <f>IF(C4393="","",IF(AND(COUNTIFS($J$18:J4393,J4393)=1,C4393&lt;&gt;""),1,""))</f>
        <v/>
      </c>
      <c r="AH4393" s="199" t="str">
        <f>IF(G4393="","",IF(AND(COUNTIFS($J$18:J4393,J4393)=1,G4393&lt;&gt;""),1,""))</f>
        <v/>
      </c>
      <c r="AI4393" s="200">
        <f t="shared" si="1369"/>
        <v>0</v>
      </c>
      <c r="AJ4393" s="200">
        <f t="shared" si="1370"/>
        <v>0</v>
      </c>
      <c r="AK4393" s="201" t="str">
        <f t="shared" si="1371"/>
        <v/>
      </c>
      <c r="AL4393" s="24"/>
      <c r="AM4393" s="24"/>
      <c r="AN4393" s="24"/>
      <c r="AO4393" s="24"/>
      <c r="AP4393" s="165" t="str">
        <f t="shared" si="1372"/>
        <v/>
      </c>
      <c r="AQ4393" s="203" t="str">
        <f t="shared" si="1373"/>
        <v/>
      </c>
      <c r="AR4393" s="206">
        <f t="shared" si="1374"/>
        <v>0</v>
      </c>
      <c r="AS4393" s="22" t="str">
        <f t="shared" si="1375"/>
        <v/>
      </c>
      <c r="AT4393" s="24" t="str">
        <f t="shared" si="1376"/>
        <v/>
      </c>
      <c r="AU4393" s="22" t="s">
        <v>3240</v>
      </c>
    </row>
    <row r="4394" spans="1:47">
      <c r="A4394" s="246" t="str">
        <f t="shared" si="1364"/>
        <v/>
      </c>
      <c r="B4394" s="23"/>
      <c r="C4394" s="23"/>
      <c r="D4394" s="202" t="str">
        <f t="shared" si="1365"/>
        <v/>
      </c>
      <c r="E4394" s="33" t="str">
        <f t="shared" si="1359"/>
        <v/>
      </c>
      <c r="F4394" s="23"/>
      <c r="G4394" s="23"/>
      <c r="H4394" s="29"/>
      <c r="I4394" s="204" t="str">
        <f t="shared" si="1362"/>
        <v/>
      </c>
      <c r="J4394" s="188"/>
      <c r="K4394" s="29"/>
      <c r="L4394" s="24"/>
      <c r="M4394" s="22"/>
      <c r="N4394" s="22"/>
      <c r="O4394" s="22"/>
      <c r="P4394" s="202" t="str">
        <f t="shared" si="1363"/>
        <v/>
      </c>
      <c r="Q4394" s="22"/>
      <c r="R4394" s="22"/>
      <c r="S4394" s="22"/>
      <c r="T4394" s="22"/>
      <c r="U4394" s="22"/>
      <c r="V4394" s="22"/>
      <c r="W4394" s="22"/>
      <c r="X4394" s="104"/>
      <c r="Y4394" s="195" t="str">
        <f t="shared" si="1360"/>
        <v/>
      </c>
      <c r="Z4394" s="196" t="str">
        <f t="shared" si="1361"/>
        <v/>
      </c>
      <c r="AA4394" s="22"/>
      <c r="AB4394" s="197" t="str">
        <f t="shared" si="1366"/>
        <v/>
      </c>
      <c r="AC4394" s="198" t="str">
        <f t="shared" si="1367"/>
        <v/>
      </c>
      <c r="AD4394" s="162"/>
      <c r="AE4394" s="199" t="str">
        <f t="shared" si="1368"/>
        <v/>
      </c>
      <c r="AF4394" s="199" t="str">
        <f>IF(AND(COUNTIFS($J$18:J4394,J4394)=1,AE4394=1),1,"")</f>
        <v/>
      </c>
      <c r="AG4394" s="199" t="str">
        <f>IF(C4394="","",IF(AND(COUNTIFS($J$18:J4394,J4394)=1,C4394&lt;&gt;""),1,""))</f>
        <v/>
      </c>
      <c r="AH4394" s="199" t="str">
        <f>IF(G4394="","",IF(AND(COUNTIFS($J$18:J4394,J4394)=1,G4394&lt;&gt;""),1,""))</f>
        <v/>
      </c>
      <c r="AI4394" s="200">
        <f t="shared" si="1369"/>
        <v>0</v>
      </c>
      <c r="AJ4394" s="200">
        <f t="shared" si="1370"/>
        <v>0</v>
      </c>
      <c r="AK4394" s="201" t="str">
        <f t="shared" si="1371"/>
        <v/>
      </c>
      <c r="AL4394" s="24"/>
      <c r="AM4394" s="24"/>
      <c r="AN4394" s="24"/>
      <c r="AO4394" s="24"/>
      <c r="AP4394" s="165" t="str">
        <f t="shared" si="1372"/>
        <v/>
      </c>
      <c r="AQ4394" s="203" t="str">
        <f t="shared" si="1373"/>
        <v/>
      </c>
      <c r="AR4394" s="206">
        <f t="shared" si="1374"/>
        <v>0</v>
      </c>
      <c r="AS4394" s="22" t="str">
        <f t="shared" si="1375"/>
        <v/>
      </c>
      <c r="AT4394" s="24" t="str">
        <f t="shared" si="1376"/>
        <v/>
      </c>
      <c r="AU4394" s="22" t="s">
        <v>3240</v>
      </c>
    </row>
    <row r="4395" spans="1:47">
      <c r="A4395" s="246" t="str">
        <f t="shared" si="1364"/>
        <v/>
      </c>
      <c r="B4395" s="23"/>
      <c r="C4395" s="23"/>
      <c r="D4395" s="202" t="str">
        <f t="shared" si="1365"/>
        <v/>
      </c>
      <c r="E4395" s="33" t="str">
        <f t="shared" si="1359"/>
        <v/>
      </c>
      <c r="F4395" s="23"/>
      <c r="G4395" s="23"/>
      <c r="H4395" s="29"/>
      <c r="I4395" s="204" t="str">
        <f t="shared" si="1362"/>
        <v/>
      </c>
      <c r="J4395" s="188"/>
      <c r="K4395" s="29"/>
      <c r="L4395" s="24"/>
      <c r="M4395" s="22"/>
      <c r="N4395" s="22"/>
      <c r="O4395" s="22"/>
      <c r="P4395" s="202" t="str">
        <f t="shared" si="1363"/>
        <v/>
      </c>
      <c r="Q4395" s="22"/>
      <c r="R4395" s="22"/>
      <c r="S4395" s="22"/>
      <c r="T4395" s="22"/>
      <c r="U4395" s="22"/>
      <c r="V4395" s="22"/>
      <c r="W4395" s="22"/>
      <c r="X4395" s="104"/>
      <c r="Y4395" s="195" t="str">
        <f t="shared" si="1360"/>
        <v/>
      </c>
      <c r="Z4395" s="196" t="str">
        <f t="shared" si="1361"/>
        <v/>
      </c>
      <c r="AA4395" s="22"/>
      <c r="AB4395" s="197" t="str">
        <f t="shared" si="1366"/>
        <v/>
      </c>
      <c r="AC4395" s="198" t="str">
        <f t="shared" si="1367"/>
        <v/>
      </c>
      <c r="AD4395" s="162"/>
      <c r="AE4395" s="199" t="str">
        <f t="shared" si="1368"/>
        <v/>
      </c>
      <c r="AF4395" s="199" t="str">
        <f>IF(AND(COUNTIFS($J$18:J4395,J4395)=1,AE4395=1),1,"")</f>
        <v/>
      </c>
      <c r="AG4395" s="199" t="str">
        <f>IF(C4395="","",IF(AND(COUNTIFS($J$18:J4395,J4395)=1,C4395&lt;&gt;""),1,""))</f>
        <v/>
      </c>
      <c r="AH4395" s="199" t="str">
        <f>IF(G4395="","",IF(AND(COUNTIFS($J$18:J4395,J4395)=1,G4395&lt;&gt;""),1,""))</f>
        <v/>
      </c>
      <c r="AI4395" s="200">
        <f t="shared" si="1369"/>
        <v>0</v>
      </c>
      <c r="AJ4395" s="200">
        <f t="shared" si="1370"/>
        <v>0</v>
      </c>
      <c r="AK4395" s="201" t="str">
        <f t="shared" si="1371"/>
        <v/>
      </c>
      <c r="AL4395" s="24"/>
      <c r="AM4395" s="24"/>
      <c r="AN4395" s="24"/>
      <c r="AO4395" s="24"/>
      <c r="AP4395" s="165" t="str">
        <f t="shared" si="1372"/>
        <v/>
      </c>
      <c r="AQ4395" s="203" t="str">
        <f t="shared" si="1373"/>
        <v/>
      </c>
      <c r="AR4395" s="206">
        <f t="shared" si="1374"/>
        <v>0</v>
      </c>
      <c r="AS4395" s="22" t="str">
        <f t="shared" si="1375"/>
        <v/>
      </c>
      <c r="AT4395" s="24" t="str">
        <f t="shared" si="1376"/>
        <v/>
      </c>
      <c r="AU4395" s="22" t="s">
        <v>3240</v>
      </c>
    </row>
    <row r="4396" spans="1:47">
      <c r="A4396" s="246" t="str">
        <f t="shared" si="1364"/>
        <v/>
      </c>
      <c r="B4396" s="23"/>
      <c r="C4396" s="23"/>
      <c r="D4396" s="202" t="str">
        <f t="shared" si="1365"/>
        <v/>
      </c>
      <c r="E4396" s="33" t="str">
        <f t="shared" si="1359"/>
        <v/>
      </c>
      <c r="F4396" s="23"/>
      <c r="G4396" s="23"/>
      <c r="H4396" s="29"/>
      <c r="I4396" s="204" t="str">
        <f t="shared" si="1362"/>
        <v/>
      </c>
      <c r="J4396" s="188"/>
      <c r="K4396" s="29"/>
      <c r="L4396" s="24"/>
      <c r="M4396" s="22"/>
      <c r="N4396" s="22"/>
      <c r="O4396" s="22"/>
      <c r="P4396" s="202" t="str">
        <f t="shared" si="1363"/>
        <v/>
      </c>
      <c r="Q4396" s="22"/>
      <c r="R4396" s="22"/>
      <c r="S4396" s="22"/>
      <c r="T4396" s="22"/>
      <c r="U4396" s="22"/>
      <c r="V4396" s="22"/>
      <c r="W4396" s="22"/>
      <c r="X4396" s="104"/>
      <c r="Y4396" s="195" t="str">
        <f t="shared" si="1360"/>
        <v/>
      </c>
      <c r="Z4396" s="196" t="str">
        <f t="shared" si="1361"/>
        <v/>
      </c>
      <c r="AA4396" s="22"/>
      <c r="AB4396" s="197" t="str">
        <f t="shared" si="1366"/>
        <v/>
      </c>
      <c r="AC4396" s="198" t="str">
        <f t="shared" si="1367"/>
        <v/>
      </c>
      <c r="AD4396" s="162"/>
      <c r="AE4396" s="199" t="str">
        <f t="shared" si="1368"/>
        <v/>
      </c>
      <c r="AF4396" s="199" t="str">
        <f>IF(AND(COUNTIFS($J$18:J4396,J4396)=1,AE4396=1),1,"")</f>
        <v/>
      </c>
      <c r="AG4396" s="199" t="str">
        <f>IF(C4396="","",IF(AND(COUNTIFS($J$18:J4396,J4396)=1,C4396&lt;&gt;""),1,""))</f>
        <v/>
      </c>
      <c r="AH4396" s="199" t="str">
        <f>IF(G4396="","",IF(AND(COUNTIFS($J$18:J4396,J4396)=1,G4396&lt;&gt;""),1,""))</f>
        <v/>
      </c>
      <c r="AI4396" s="200">
        <f t="shared" si="1369"/>
        <v>0</v>
      </c>
      <c r="AJ4396" s="200">
        <f t="shared" si="1370"/>
        <v>0</v>
      </c>
      <c r="AK4396" s="201" t="str">
        <f t="shared" si="1371"/>
        <v/>
      </c>
      <c r="AL4396" s="24"/>
      <c r="AM4396" s="24"/>
      <c r="AN4396" s="24"/>
      <c r="AO4396" s="24"/>
      <c r="AP4396" s="165" t="str">
        <f t="shared" si="1372"/>
        <v/>
      </c>
      <c r="AQ4396" s="203" t="str">
        <f t="shared" si="1373"/>
        <v/>
      </c>
      <c r="AR4396" s="206">
        <f t="shared" si="1374"/>
        <v>0</v>
      </c>
      <c r="AS4396" s="22" t="str">
        <f t="shared" si="1375"/>
        <v/>
      </c>
      <c r="AT4396" s="24" t="str">
        <f t="shared" si="1376"/>
        <v/>
      </c>
      <c r="AU4396" s="22" t="s">
        <v>3240</v>
      </c>
    </row>
    <row r="4397" spans="1:47">
      <c r="A4397" s="246" t="str">
        <f t="shared" si="1364"/>
        <v/>
      </c>
      <c r="B4397" s="23"/>
      <c r="C4397" s="23"/>
      <c r="D4397" s="202" t="str">
        <f t="shared" si="1365"/>
        <v/>
      </c>
      <c r="E4397" s="33" t="str">
        <f t="shared" si="1359"/>
        <v/>
      </c>
      <c r="F4397" s="23"/>
      <c r="G4397" s="23"/>
      <c r="H4397" s="29"/>
      <c r="I4397" s="204" t="str">
        <f t="shared" si="1362"/>
        <v/>
      </c>
      <c r="J4397" s="188"/>
      <c r="K4397" s="29"/>
      <c r="L4397" s="24"/>
      <c r="M4397" s="22"/>
      <c r="N4397" s="22"/>
      <c r="O4397" s="22"/>
      <c r="P4397" s="202" t="str">
        <f t="shared" si="1363"/>
        <v/>
      </c>
      <c r="Q4397" s="22"/>
      <c r="R4397" s="22"/>
      <c r="S4397" s="22"/>
      <c r="T4397" s="22"/>
      <c r="U4397" s="22"/>
      <c r="V4397" s="22"/>
      <c r="W4397" s="22"/>
      <c r="X4397" s="104"/>
      <c r="Y4397" s="195" t="str">
        <f t="shared" si="1360"/>
        <v/>
      </c>
      <c r="Z4397" s="196" t="str">
        <f t="shared" si="1361"/>
        <v/>
      </c>
      <c r="AA4397" s="22"/>
      <c r="AB4397" s="197" t="str">
        <f t="shared" si="1366"/>
        <v/>
      </c>
      <c r="AC4397" s="198" t="str">
        <f t="shared" si="1367"/>
        <v/>
      </c>
      <c r="AD4397" s="162"/>
      <c r="AE4397" s="199" t="str">
        <f t="shared" si="1368"/>
        <v/>
      </c>
      <c r="AF4397" s="199" t="str">
        <f>IF(AND(COUNTIFS($J$18:J4397,J4397)=1,AE4397=1),1,"")</f>
        <v/>
      </c>
      <c r="AG4397" s="199" t="str">
        <f>IF(C4397="","",IF(AND(COUNTIFS($J$18:J4397,J4397)=1,C4397&lt;&gt;""),1,""))</f>
        <v/>
      </c>
      <c r="AH4397" s="199" t="str">
        <f>IF(G4397="","",IF(AND(COUNTIFS($J$18:J4397,J4397)=1,G4397&lt;&gt;""),1,""))</f>
        <v/>
      </c>
      <c r="AI4397" s="200">
        <f t="shared" si="1369"/>
        <v>0</v>
      </c>
      <c r="AJ4397" s="200">
        <f t="shared" si="1370"/>
        <v>0</v>
      </c>
      <c r="AK4397" s="201" t="str">
        <f t="shared" si="1371"/>
        <v/>
      </c>
      <c r="AL4397" s="24"/>
      <c r="AM4397" s="24"/>
      <c r="AN4397" s="24"/>
      <c r="AO4397" s="24"/>
      <c r="AP4397" s="165" t="str">
        <f t="shared" si="1372"/>
        <v/>
      </c>
      <c r="AQ4397" s="203" t="str">
        <f t="shared" si="1373"/>
        <v/>
      </c>
      <c r="AR4397" s="206">
        <f t="shared" si="1374"/>
        <v>0</v>
      </c>
      <c r="AS4397" s="22" t="str">
        <f t="shared" si="1375"/>
        <v/>
      </c>
      <c r="AT4397" s="24" t="str">
        <f t="shared" si="1376"/>
        <v/>
      </c>
      <c r="AU4397" s="22" t="s">
        <v>3240</v>
      </c>
    </row>
    <row r="4398" spans="1:47">
      <c r="A4398" s="246" t="str">
        <f t="shared" si="1364"/>
        <v/>
      </c>
      <c r="B4398" s="23"/>
      <c r="C4398" s="23"/>
      <c r="D4398" s="202" t="str">
        <f t="shared" si="1365"/>
        <v/>
      </c>
      <c r="E4398" s="33" t="str">
        <f t="shared" si="1359"/>
        <v/>
      </c>
      <c r="F4398" s="23"/>
      <c r="G4398" s="23"/>
      <c r="H4398" s="29"/>
      <c r="I4398" s="204" t="str">
        <f t="shared" si="1362"/>
        <v/>
      </c>
      <c r="J4398" s="188"/>
      <c r="K4398" s="29"/>
      <c r="L4398" s="24"/>
      <c r="M4398" s="22"/>
      <c r="N4398" s="22"/>
      <c r="O4398" s="22"/>
      <c r="P4398" s="202" t="str">
        <f t="shared" si="1363"/>
        <v/>
      </c>
      <c r="Q4398" s="22"/>
      <c r="R4398" s="22"/>
      <c r="S4398" s="22"/>
      <c r="T4398" s="22"/>
      <c r="U4398" s="22"/>
      <c r="V4398" s="22"/>
      <c r="W4398" s="22"/>
      <c r="X4398" s="104"/>
      <c r="Y4398" s="195" t="str">
        <f t="shared" si="1360"/>
        <v/>
      </c>
      <c r="Z4398" s="196" t="str">
        <f t="shared" si="1361"/>
        <v/>
      </c>
      <c r="AA4398" s="22"/>
      <c r="AB4398" s="197" t="str">
        <f t="shared" si="1366"/>
        <v/>
      </c>
      <c r="AC4398" s="198" t="str">
        <f t="shared" si="1367"/>
        <v/>
      </c>
      <c r="AD4398" s="162"/>
      <c r="AE4398" s="199" t="str">
        <f t="shared" si="1368"/>
        <v/>
      </c>
      <c r="AF4398" s="199" t="str">
        <f>IF(AND(COUNTIFS($J$18:J4398,J4398)=1,AE4398=1),1,"")</f>
        <v/>
      </c>
      <c r="AG4398" s="199" t="str">
        <f>IF(C4398="","",IF(AND(COUNTIFS($J$18:J4398,J4398)=1,C4398&lt;&gt;""),1,""))</f>
        <v/>
      </c>
      <c r="AH4398" s="199" t="str">
        <f>IF(G4398="","",IF(AND(COUNTIFS($J$18:J4398,J4398)=1,G4398&lt;&gt;""),1,""))</f>
        <v/>
      </c>
      <c r="AI4398" s="200">
        <f t="shared" si="1369"/>
        <v>0</v>
      </c>
      <c r="AJ4398" s="200">
        <f t="shared" si="1370"/>
        <v>0</v>
      </c>
      <c r="AK4398" s="201" t="str">
        <f t="shared" si="1371"/>
        <v/>
      </c>
      <c r="AL4398" s="24"/>
      <c r="AM4398" s="24"/>
      <c r="AN4398" s="24"/>
      <c r="AO4398" s="24"/>
      <c r="AP4398" s="165" t="str">
        <f t="shared" si="1372"/>
        <v/>
      </c>
      <c r="AQ4398" s="203" t="str">
        <f t="shared" si="1373"/>
        <v/>
      </c>
      <c r="AR4398" s="206">
        <f t="shared" si="1374"/>
        <v>0</v>
      </c>
      <c r="AS4398" s="22" t="str">
        <f t="shared" si="1375"/>
        <v/>
      </c>
      <c r="AT4398" s="24" t="str">
        <f t="shared" si="1376"/>
        <v/>
      </c>
      <c r="AU4398" s="22" t="s">
        <v>3240</v>
      </c>
    </row>
    <row r="4399" spans="1:47">
      <c r="A4399" s="246" t="str">
        <f t="shared" si="1364"/>
        <v/>
      </c>
      <c r="B4399" s="23"/>
      <c r="C4399" s="23"/>
      <c r="D4399" s="202" t="str">
        <f t="shared" si="1365"/>
        <v/>
      </c>
      <c r="E4399" s="33" t="str">
        <f t="shared" si="1359"/>
        <v/>
      </c>
      <c r="F4399" s="23"/>
      <c r="G4399" s="23"/>
      <c r="H4399" s="29"/>
      <c r="I4399" s="204" t="str">
        <f t="shared" si="1362"/>
        <v/>
      </c>
      <c r="J4399" s="188"/>
      <c r="K4399" s="29"/>
      <c r="L4399" s="24"/>
      <c r="M4399" s="22"/>
      <c r="N4399" s="22"/>
      <c r="O4399" s="22"/>
      <c r="P4399" s="202" t="str">
        <f t="shared" si="1363"/>
        <v/>
      </c>
      <c r="Q4399" s="22"/>
      <c r="R4399" s="22"/>
      <c r="S4399" s="22"/>
      <c r="T4399" s="22"/>
      <c r="U4399" s="22"/>
      <c r="V4399" s="22"/>
      <c r="W4399" s="22"/>
      <c r="X4399" s="104"/>
      <c r="Y4399" s="195" t="str">
        <f t="shared" si="1360"/>
        <v/>
      </c>
      <c r="Z4399" s="196" t="str">
        <f t="shared" si="1361"/>
        <v/>
      </c>
      <c r="AA4399" s="22"/>
      <c r="AB4399" s="197" t="str">
        <f t="shared" si="1366"/>
        <v/>
      </c>
      <c r="AC4399" s="198" t="str">
        <f t="shared" si="1367"/>
        <v/>
      </c>
      <c r="AD4399" s="162"/>
      <c r="AE4399" s="199" t="str">
        <f t="shared" si="1368"/>
        <v/>
      </c>
      <c r="AF4399" s="199" t="str">
        <f>IF(AND(COUNTIFS($J$18:J4399,J4399)=1,AE4399=1),1,"")</f>
        <v/>
      </c>
      <c r="AG4399" s="199" t="str">
        <f>IF(C4399="","",IF(AND(COUNTIFS($J$18:J4399,J4399)=1,C4399&lt;&gt;""),1,""))</f>
        <v/>
      </c>
      <c r="AH4399" s="199" t="str">
        <f>IF(G4399="","",IF(AND(COUNTIFS($J$18:J4399,J4399)=1,G4399&lt;&gt;""),1,""))</f>
        <v/>
      </c>
      <c r="AI4399" s="200">
        <f t="shared" si="1369"/>
        <v>0</v>
      </c>
      <c r="AJ4399" s="200">
        <f t="shared" si="1370"/>
        <v>0</v>
      </c>
      <c r="AK4399" s="201" t="str">
        <f t="shared" si="1371"/>
        <v/>
      </c>
      <c r="AL4399" s="24"/>
      <c r="AM4399" s="24"/>
      <c r="AN4399" s="24"/>
      <c r="AO4399" s="24"/>
      <c r="AP4399" s="165" t="str">
        <f t="shared" si="1372"/>
        <v/>
      </c>
      <c r="AQ4399" s="203" t="str">
        <f t="shared" si="1373"/>
        <v/>
      </c>
      <c r="AR4399" s="206">
        <f t="shared" si="1374"/>
        <v>0</v>
      </c>
      <c r="AS4399" s="22" t="str">
        <f t="shared" si="1375"/>
        <v/>
      </c>
      <c r="AT4399" s="24" t="str">
        <f t="shared" si="1376"/>
        <v/>
      </c>
      <c r="AU4399" s="22" t="s">
        <v>3240</v>
      </c>
    </row>
    <row r="4400" spans="1:47">
      <c r="A4400" s="246" t="str">
        <f t="shared" si="1364"/>
        <v/>
      </c>
      <c r="B4400" s="23"/>
      <c r="C4400" s="23"/>
      <c r="D4400" s="202" t="str">
        <f t="shared" si="1365"/>
        <v/>
      </c>
      <c r="E4400" s="33" t="str">
        <f t="shared" si="1359"/>
        <v/>
      </c>
      <c r="F4400" s="23"/>
      <c r="G4400" s="23"/>
      <c r="H4400" s="29"/>
      <c r="I4400" s="204" t="str">
        <f t="shared" si="1362"/>
        <v/>
      </c>
      <c r="J4400" s="188"/>
      <c r="K4400" s="29"/>
      <c r="L4400" s="24"/>
      <c r="M4400" s="22"/>
      <c r="N4400" s="22"/>
      <c r="O4400" s="22"/>
      <c r="P4400" s="202" t="str">
        <f t="shared" si="1363"/>
        <v/>
      </c>
      <c r="Q4400" s="22"/>
      <c r="R4400" s="22"/>
      <c r="S4400" s="22"/>
      <c r="T4400" s="22"/>
      <c r="U4400" s="22"/>
      <c r="V4400" s="22"/>
      <c r="W4400" s="22"/>
      <c r="X4400" s="104"/>
      <c r="Y4400" s="195" t="str">
        <f t="shared" si="1360"/>
        <v/>
      </c>
      <c r="Z4400" s="196" t="str">
        <f t="shared" si="1361"/>
        <v/>
      </c>
      <c r="AA4400" s="22"/>
      <c r="AB4400" s="197" t="str">
        <f t="shared" si="1366"/>
        <v/>
      </c>
      <c r="AC4400" s="198" t="str">
        <f t="shared" si="1367"/>
        <v/>
      </c>
      <c r="AD4400" s="162"/>
      <c r="AE4400" s="199" t="str">
        <f t="shared" si="1368"/>
        <v/>
      </c>
      <c r="AF4400" s="199" t="str">
        <f>IF(AND(COUNTIFS($J$18:J4400,J4400)=1,AE4400=1),1,"")</f>
        <v/>
      </c>
      <c r="AG4400" s="199" t="str">
        <f>IF(C4400="","",IF(AND(COUNTIFS($J$18:J4400,J4400)=1,C4400&lt;&gt;""),1,""))</f>
        <v/>
      </c>
      <c r="AH4400" s="199" t="str">
        <f>IF(G4400="","",IF(AND(COUNTIFS($J$18:J4400,J4400)=1,G4400&lt;&gt;""),1,""))</f>
        <v/>
      </c>
      <c r="AI4400" s="200">
        <f t="shared" si="1369"/>
        <v>0</v>
      </c>
      <c r="AJ4400" s="200">
        <f t="shared" si="1370"/>
        <v>0</v>
      </c>
      <c r="AK4400" s="201" t="str">
        <f t="shared" si="1371"/>
        <v/>
      </c>
      <c r="AL4400" s="24"/>
      <c r="AM4400" s="24"/>
      <c r="AN4400" s="24"/>
      <c r="AO4400" s="24"/>
      <c r="AP4400" s="165" t="str">
        <f t="shared" si="1372"/>
        <v/>
      </c>
      <c r="AQ4400" s="203" t="str">
        <f t="shared" si="1373"/>
        <v/>
      </c>
      <c r="AR4400" s="206">
        <f t="shared" si="1374"/>
        <v>0</v>
      </c>
      <c r="AS4400" s="22" t="str">
        <f t="shared" si="1375"/>
        <v/>
      </c>
      <c r="AT4400" s="24" t="str">
        <f t="shared" si="1376"/>
        <v/>
      </c>
      <c r="AU4400" s="22" t="s">
        <v>3240</v>
      </c>
    </row>
    <row r="4401" spans="1:47">
      <c r="A4401" s="246" t="str">
        <f t="shared" si="1364"/>
        <v/>
      </c>
      <c r="B4401" s="23"/>
      <c r="C4401" s="23"/>
      <c r="D4401" s="202" t="str">
        <f t="shared" si="1365"/>
        <v/>
      </c>
      <c r="E4401" s="33" t="str">
        <f t="shared" si="1359"/>
        <v/>
      </c>
      <c r="F4401" s="23"/>
      <c r="G4401" s="23"/>
      <c r="H4401" s="29"/>
      <c r="I4401" s="204" t="str">
        <f t="shared" si="1362"/>
        <v/>
      </c>
      <c r="J4401" s="188"/>
      <c r="K4401" s="29"/>
      <c r="L4401" s="24"/>
      <c r="M4401" s="22"/>
      <c r="N4401" s="22"/>
      <c r="O4401" s="22"/>
      <c r="P4401" s="202" t="str">
        <f t="shared" si="1363"/>
        <v/>
      </c>
      <c r="Q4401" s="22"/>
      <c r="R4401" s="22"/>
      <c r="S4401" s="22"/>
      <c r="T4401" s="22"/>
      <c r="U4401" s="22"/>
      <c r="V4401" s="22"/>
      <c r="W4401" s="22"/>
      <c r="X4401" s="104"/>
      <c r="Y4401" s="195" t="str">
        <f t="shared" si="1360"/>
        <v/>
      </c>
      <c r="Z4401" s="196" t="str">
        <f t="shared" si="1361"/>
        <v/>
      </c>
      <c r="AA4401" s="22"/>
      <c r="AB4401" s="197" t="str">
        <f t="shared" si="1366"/>
        <v/>
      </c>
      <c r="AC4401" s="198" t="str">
        <f t="shared" si="1367"/>
        <v/>
      </c>
      <c r="AD4401" s="162"/>
      <c r="AE4401" s="199" t="str">
        <f t="shared" si="1368"/>
        <v/>
      </c>
      <c r="AF4401" s="199" t="str">
        <f>IF(AND(COUNTIFS($J$18:J4401,J4401)=1,AE4401=1),1,"")</f>
        <v/>
      </c>
      <c r="AG4401" s="199" t="str">
        <f>IF(C4401="","",IF(AND(COUNTIFS($J$18:J4401,J4401)=1,C4401&lt;&gt;""),1,""))</f>
        <v/>
      </c>
      <c r="AH4401" s="199" t="str">
        <f>IF(G4401="","",IF(AND(COUNTIFS($J$18:J4401,J4401)=1,G4401&lt;&gt;""),1,""))</f>
        <v/>
      </c>
      <c r="AI4401" s="200">
        <f t="shared" si="1369"/>
        <v>0</v>
      </c>
      <c r="AJ4401" s="200">
        <f t="shared" si="1370"/>
        <v>0</v>
      </c>
      <c r="AK4401" s="201" t="str">
        <f t="shared" si="1371"/>
        <v/>
      </c>
      <c r="AL4401" s="24"/>
      <c r="AM4401" s="24"/>
      <c r="AN4401" s="24"/>
      <c r="AO4401" s="24"/>
      <c r="AP4401" s="165" t="str">
        <f t="shared" si="1372"/>
        <v/>
      </c>
      <c r="AQ4401" s="203" t="str">
        <f t="shared" si="1373"/>
        <v/>
      </c>
      <c r="AR4401" s="206">
        <f t="shared" si="1374"/>
        <v>0</v>
      </c>
      <c r="AS4401" s="22" t="str">
        <f t="shared" si="1375"/>
        <v/>
      </c>
      <c r="AT4401" s="24" t="str">
        <f t="shared" si="1376"/>
        <v/>
      </c>
      <c r="AU4401" s="22" t="s">
        <v>3240</v>
      </c>
    </row>
    <row r="4402" spans="1:47">
      <c r="A4402" s="246" t="str">
        <f t="shared" si="1364"/>
        <v/>
      </c>
      <c r="B4402" s="23"/>
      <c r="C4402" s="23"/>
      <c r="D4402" s="202" t="str">
        <f t="shared" si="1365"/>
        <v/>
      </c>
      <c r="E4402" s="33" t="str">
        <f t="shared" si="1359"/>
        <v/>
      </c>
      <c r="F4402" s="23"/>
      <c r="G4402" s="23"/>
      <c r="H4402" s="29"/>
      <c r="I4402" s="204" t="str">
        <f t="shared" si="1362"/>
        <v/>
      </c>
      <c r="J4402" s="188"/>
      <c r="K4402" s="29"/>
      <c r="L4402" s="24"/>
      <c r="M4402" s="22"/>
      <c r="N4402" s="22"/>
      <c r="O4402" s="22"/>
      <c r="P4402" s="202" t="str">
        <f t="shared" si="1363"/>
        <v/>
      </c>
      <c r="Q4402" s="22"/>
      <c r="R4402" s="22"/>
      <c r="S4402" s="22"/>
      <c r="T4402" s="22"/>
      <c r="U4402" s="22"/>
      <c r="V4402" s="22"/>
      <c r="W4402" s="22"/>
      <c r="X4402" s="104"/>
      <c r="Y4402" s="195" t="str">
        <f t="shared" si="1360"/>
        <v/>
      </c>
      <c r="Z4402" s="196" t="str">
        <f t="shared" si="1361"/>
        <v/>
      </c>
      <c r="AA4402" s="22"/>
      <c r="AB4402" s="197" t="str">
        <f t="shared" si="1366"/>
        <v/>
      </c>
      <c r="AC4402" s="198" t="str">
        <f t="shared" si="1367"/>
        <v/>
      </c>
      <c r="AD4402" s="162"/>
      <c r="AE4402" s="199" t="str">
        <f t="shared" si="1368"/>
        <v/>
      </c>
      <c r="AF4402" s="199" t="str">
        <f>IF(AND(COUNTIFS($J$18:J4402,J4402)=1,AE4402=1),1,"")</f>
        <v/>
      </c>
      <c r="AG4402" s="199" t="str">
        <f>IF(C4402="","",IF(AND(COUNTIFS($J$18:J4402,J4402)=1,C4402&lt;&gt;""),1,""))</f>
        <v/>
      </c>
      <c r="AH4402" s="199" t="str">
        <f>IF(G4402="","",IF(AND(COUNTIFS($J$18:J4402,J4402)=1,G4402&lt;&gt;""),1,""))</f>
        <v/>
      </c>
      <c r="AI4402" s="200">
        <f t="shared" si="1369"/>
        <v>0</v>
      </c>
      <c r="AJ4402" s="200">
        <f t="shared" si="1370"/>
        <v>0</v>
      </c>
      <c r="AK4402" s="201" t="str">
        <f t="shared" si="1371"/>
        <v/>
      </c>
      <c r="AL4402" s="24"/>
      <c r="AM4402" s="24"/>
      <c r="AN4402" s="24"/>
      <c r="AO4402" s="24"/>
      <c r="AP4402" s="165" t="str">
        <f t="shared" si="1372"/>
        <v/>
      </c>
      <c r="AQ4402" s="203" t="str">
        <f t="shared" si="1373"/>
        <v/>
      </c>
      <c r="AR4402" s="206">
        <f t="shared" si="1374"/>
        <v>0</v>
      </c>
      <c r="AS4402" s="22" t="str">
        <f t="shared" si="1375"/>
        <v/>
      </c>
      <c r="AT4402" s="24" t="str">
        <f t="shared" si="1376"/>
        <v/>
      </c>
      <c r="AU4402" s="22" t="s">
        <v>3240</v>
      </c>
    </row>
    <row r="4403" spans="1:47">
      <c r="A4403" s="246" t="str">
        <f t="shared" si="1364"/>
        <v/>
      </c>
      <c r="B4403" s="23"/>
      <c r="C4403" s="23"/>
      <c r="D4403" s="202" t="str">
        <f t="shared" si="1365"/>
        <v/>
      </c>
      <c r="E4403" s="33" t="str">
        <f t="shared" si="1359"/>
        <v/>
      </c>
      <c r="F4403" s="23"/>
      <c r="G4403" s="23"/>
      <c r="H4403" s="29"/>
      <c r="I4403" s="204" t="str">
        <f t="shared" si="1362"/>
        <v/>
      </c>
      <c r="J4403" s="188"/>
      <c r="K4403" s="29"/>
      <c r="L4403" s="24"/>
      <c r="M4403" s="22"/>
      <c r="N4403" s="22"/>
      <c r="O4403" s="22"/>
      <c r="P4403" s="202" t="str">
        <f t="shared" si="1363"/>
        <v/>
      </c>
      <c r="Q4403" s="22"/>
      <c r="R4403" s="22"/>
      <c r="S4403" s="22"/>
      <c r="T4403" s="22"/>
      <c r="U4403" s="22"/>
      <c r="V4403" s="22"/>
      <c r="W4403" s="22"/>
      <c r="X4403" s="104"/>
      <c r="Y4403" s="195" t="str">
        <f t="shared" si="1360"/>
        <v/>
      </c>
      <c r="Z4403" s="196" t="str">
        <f t="shared" si="1361"/>
        <v/>
      </c>
      <c r="AA4403" s="22"/>
      <c r="AB4403" s="197" t="str">
        <f t="shared" si="1366"/>
        <v/>
      </c>
      <c r="AC4403" s="198" t="str">
        <f t="shared" si="1367"/>
        <v/>
      </c>
      <c r="AD4403" s="162"/>
      <c r="AE4403" s="199" t="str">
        <f t="shared" si="1368"/>
        <v/>
      </c>
      <c r="AF4403" s="199" t="str">
        <f>IF(AND(COUNTIFS($J$18:J4403,J4403)=1,AE4403=1),1,"")</f>
        <v/>
      </c>
      <c r="AG4403" s="199" t="str">
        <f>IF(C4403="","",IF(AND(COUNTIFS($J$18:J4403,J4403)=1,C4403&lt;&gt;""),1,""))</f>
        <v/>
      </c>
      <c r="AH4403" s="199" t="str">
        <f>IF(G4403="","",IF(AND(COUNTIFS($J$18:J4403,J4403)=1,G4403&lt;&gt;""),1,""))</f>
        <v/>
      </c>
      <c r="AI4403" s="200">
        <f t="shared" si="1369"/>
        <v>0</v>
      </c>
      <c r="AJ4403" s="200">
        <f t="shared" si="1370"/>
        <v>0</v>
      </c>
      <c r="AK4403" s="201" t="str">
        <f t="shared" si="1371"/>
        <v/>
      </c>
      <c r="AL4403" s="24"/>
      <c r="AM4403" s="24"/>
      <c r="AN4403" s="24"/>
      <c r="AO4403" s="24"/>
      <c r="AP4403" s="165" t="str">
        <f t="shared" si="1372"/>
        <v/>
      </c>
      <c r="AQ4403" s="203" t="str">
        <f t="shared" si="1373"/>
        <v/>
      </c>
      <c r="AR4403" s="206">
        <f t="shared" si="1374"/>
        <v>0</v>
      </c>
      <c r="AS4403" s="22" t="str">
        <f t="shared" si="1375"/>
        <v/>
      </c>
      <c r="AT4403" s="24" t="str">
        <f t="shared" si="1376"/>
        <v/>
      </c>
      <c r="AU4403" s="22" t="s">
        <v>3240</v>
      </c>
    </row>
    <row r="4404" spans="1:47">
      <c r="A4404" s="246" t="str">
        <f t="shared" si="1364"/>
        <v/>
      </c>
      <c r="B4404" s="23"/>
      <c r="C4404" s="23"/>
      <c r="D4404" s="202" t="str">
        <f t="shared" si="1365"/>
        <v/>
      </c>
      <c r="E4404" s="33" t="str">
        <f t="shared" si="1359"/>
        <v/>
      </c>
      <c r="F4404" s="23"/>
      <c r="G4404" s="23"/>
      <c r="H4404" s="29"/>
      <c r="I4404" s="204" t="str">
        <f t="shared" si="1362"/>
        <v/>
      </c>
      <c r="J4404" s="188"/>
      <c r="K4404" s="29"/>
      <c r="L4404" s="24"/>
      <c r="M4404" s="22"/>
      <c r="N4404" s="22"/>
      <c r="O4404" s="22"/>
      <c r="P4404" s="202" t="str">
        <f t="shared" si="1363"/>
        <v/>
      </c>
      <c r="Q4404" s="22"/>
      <c r="R4404" s="22"/>
      <c r="S4404" s="22"/>
      <c r="T4404" s="22"/>
      <c r="U4404" s="22"/>
      <c r="V4404" s="22"/>
      <c r="W4404" s="22"/>
      <c r="X4404" s="104"/>
      <c r="Y4404" s="195" t="str">
        <f t="shared" si="1360"/>
        <v/>
      </c>
      <c r="Z4404" s="196" t="str">
        <f t="shared" si="1361"/>
        <v/>
      </c>
      <c r="AA4404" s="22"/>
      <c r="AB4404" s="197" t="str">
        <f t="shared" si="1366"/>
        <v/>
      </c>
      <c r="AC4404" s="198" t="str">
        <f t="shared" si="1367"/>
        <v/>
      </c>
      <c r="AD4404" s="162"/>
      <c r="AE4404" s="199" t="str">
        <f t="shared" si="1368"/>
        <v/>
      </c>
      <c r="AF4404" s="199" t="str">
        <f>IF(AND(COUNTIFS($J$18:J4404,J4404)=1,AE4404=1),1,"")</f>
        <v/>
      </c>
      <c r="AG4404" s="199" t="str">
        <f>IF(C4404="","",IF(AND(COUNTIFS($J$18:J4404,J4404)=1,C4404&lt;&gt;""),1,""))</f>
        <v/>
      </c>
      <c r="AH4404" s="199" t="str">
        <f>IF(G4404="","",IF(AND(COUNTIFS($J$18:J4404,J4404)=1,G4404&lt;&gt;""),1,""))</f>
        <v/>
      </c>
      <c r="AI4404" s="200">
        <f t="shared" si="1369"/>
        <v>0</v>
      </c>
      <c r="AJ4404" s="200">
        <f t="shared" si="1370"/>
        <v>0</v>
      </c>
      <c r="AK4404" s="201" t="str">
        <f t="shared" si="1371"/>
        <v/>
      </c>
      <c r="AL4404" s="24"/>
      <c r="AM4404" s="24"/>
      <c r="AN4404" s="24"/>
      <c r="AO4404" s="24"/>
      <c r="AP4404" s="165" t="str">
        <f t="shared" si="1372"/>
        <v/>
      </c>
      <c r="AQ4404" s="203" t="str">
        <f t="shared" si="1373"/>
        <v/>
      </c>
      <c r="AR4404" s="206">
        <f t="shared" si="1374"/>
        <v>0</v>
      </c>
      <c r="AS4404" s="22" t="str">
        <f t="shared" si="1375"/>
        <v/>
      </c>
      <c r="AT4404" s="24" t="str">
        <f t="shared" si="1376"/>
        <v/>
      </c>
      <c r="AU4404" s="22" t="s">
        <v>3240</v>
      </c>
    </row>
    <row r="4405" spans="1:47">
      <c r="A4405" s="246" t="str">
        <f t="shared" si="1364"/>
        <v/>
      </c>
      <c r="B4405" s="23"/>
      <c r="C4405" s="23"/>
      <c r="D4405" s="202" t="str">
        <f t="shared" si="1365"/>
        <v/>
      </c>
      <c r="E4405" s="33" t="str">
        <f t="shared" si="1359"/>
        <v/>
      </c>
      <c r="F4405" s="23"/>
      <c r="G4405" s="23"/>
      <c r="H4405" s="29"/>
      <c r="I4405" s="204" t="str">
        <f t="shared" si="1362"/>
        <v/>
      </c>
      <c r="J4405" s="188"/>
      <c r="K4405" s="29"/>
      <c r="L4405" s="24"/>
      <c r="M4405" s="22"/>
      <c r="N4405" s="22"/>
      <c r="O4405" s="22"/>
      <c r="P4405" s="202" t="str">
        <f t="shared" si="1363"/>
        <v/>
      </c>
      <c r="Q4405" s="22"/>
      <c r="R4405" s="22"/>
      <c r="S4405" s="22"/>
      <c r="T4405" s="22"/>
      <c r="U4405" s="22"/>
      <c r="V4405" s="22"/>
      <c r="W4405" s="22"/>
      <c r="X4405" s="104"/>
      <c r="Y4405" s="195" t="str">
        <f t="shared" si="1360"/>
        <v/>
      </c>
      <c r="Z4405" s="196" t="str">
        <f t="shared" si="1361"/>
        <v/>
      </c>
      <c r="AA4405" s="22"/>
      <c r="AB4405" s="197" t="str">
        <f t="shared" si="1366"/>
        <v/>
      </c>
      <c r="AC4405" s="198" t="str">
        <f t="shared" si="1367"/>
        <v/>
      </c>
      <c r="AD4405" s="162"/>
      <c r="AE4405" s="199" t="str">
        <f t="shared" si="1368"/>
        <v/>
      </c>
      <c r="AF4405" s="199" t="str">
        <f>IF(AND(COUNTIFS($J$18:J4405,J4405)=1,AE4405=1),1,"")</f>
        <v/>
      </c>
      <c r="AG4405" s="199" t="str">
        <f>IF(C4405="","",IF(AND(COUNTIFS($J$18:J4405,J4405)=1,C4405&lt;&gt;""),1,""))</f>
        <v/>
      </c>
      <c r="AH4405" s="199" t="str">
        <f>IF(G4405="","",IF(AND(COUNTIFS($J$18:J4405,J4405)=1,G4405&lt;&gt;""),1,""))</f>
        <v/>
      </c>
      <c r="AI4405" s="200">
        <f t="shared" si="1369"/>
        <v>0</v>
      </c>
      <c r="AJ4405" s="200">
        <f t="shared" si="1370"/>
        <v>0</v>
      </c>
      <c r="AK4405" s="201" t="str">
        <f t="shared" si="1371"/>
        <v/>
      </c>
      <c r="AL4405" s="24"/>
      <c r="AM4405" s="24"/>
      <c r="AN4405" s="24"/>
      <c r="AO4405" s="24"/>
      <c r="AP4405" s="165" t="str">
        <f t="shared" si="1372"/>
        <v/>
      </c>
      <c r="AQ4405" s="203" t="str">
        <f t="shared" si="1373"/>
        <v/>
      </c>
      <c r="AR4405" s="206">
        <f t="shared" si="1374"/>
        <v>0</v>
      </c>
      <c r="AS4405" s="22" t="str">
        <f t="shared" si="1375"/>
        <v/>
      </c>
      <c r="AT4405" s="24" t="str">
        <f t="shared" si="1376"/>
        <v/>
      </c>
      <c r="AU4405" s="22" t="s">
        <v>3240</v>
      </c>
    </row>
    <row r="4406" spans="1:47">
      <c r="A4406" s="246" t="str">
        <f t="shared" si="1364"/>
        <v/>
      </c>
      <c r="B4406" s="23"/>
      <c r="C4406" s="23"/>
      <c r="D4406" s="202" t="str">
        <f t="shared" si="1365"/>
        <v/>
      </c>
      <c r="E4406" s="33" t="str">
        <f t="shared" si="1359"/>
        <v/>
      </c>
      <c r="F4406" s="23"/>
      <c r="G4406" s="23"/>
      <c r="H4406" s="29"/>
      <c r="I4406" s="204" t="str">
        <f t="shared" si="1362"/>
        <v/>
      </c>
      <c r="J4406" s="188"/>
      <c r="K4406" s="29"/>
      <c r="L4406" s="24"/>
      <c r="M4406" s="22"/>
      <c r="N4406" s="22"/>
      <c r="O4406" s="22"/>
      <c r="P4406" s="202" t="str">
        <f t="shared" si="1363"/>
        <v/>
      </c>
      <c r="Q4406" s="22"/>
      <c r="R4406" s="22"/>
      <c r="S4406" s="22"/>
      <c r="T4406" s="22"/>
      <c r="U4406" s="22"/>
      <c r="V4406" s="22"/>
      <c r="W4406" s="22"/>
      <c r="X4406" s="104"/>
      <c r="Y4406" s="195" t="str">
        <f t="shared" si="1360"/>
        <v/>
      </c>
      <c r="Z4406" s="196" t="str">
        <f t="shared" si="1361"/>
        <v/>
      </c>
      <c r="AA4406" s="22"/>
      <c r="AB4406" s="197" t="str">
        <f t="shared" si="1366"/>
        <v/>
      </c>
      <c r="AC4406" s="198" t="str">
        <f t="shared" si="1367"/>
        <v/>
      </c>
      <c r="AD4406" s="162"/>
      <c r="AE4406" s="199" t="str">
        <f t="shared" si="1368"/>
        <v/>
      </c>
      <c r="AF4406" s="199" t="str">
        <f>IF(AND(COUNTIFS($J$18:J4406,J4406)=1,AE4406=1),1,"")</f>
        <v/>
      </c>
      <c r="AG4406" s="199" t="str">
        <f>IF(C4406="","",IF(AND(COUNTIFS($J$18:J4406,J4406)=1,C4406&lt;&gt;""),1,""))</f>
        <v/>
      </c>
      <c r="AH4406" s="199" t="str">
        <f>IF(G4406="","",IF(AND(COUNTIFS($J$18:J4406,J4406)=1,G4406&lt;&gt;""),1,""))</f>
        <v/>
      </c>
      <c r="AI4406" s="200">
        <f t="shared" si="1369"/>
        <v>0</v>
      </c>
      <c r="AJ4406" s="200">
        <f t="shared" si="1370"/>
        <v>0</v>
      </c>
      <c r="AK4406" s="201" t="str">
        <f t="shared" si="1371"/>
        <v/>
      </c>
      <c r="AL4406" s="24"/>
      <c r="AM4406" s="24"/>
      <c r="AN4406" s="24"/>
      <c r="AO4406" s="24"/>
      <c r="AP4406" s="165" t="str">
        <f t="shared" si="1372"/>
        <v/>
      </c>
      <c r="AQ4406" s="203" t="str">
        <f t="shared" si="1373"/>
        <v/>
      </c>
      <c r="AR4406" s="206">
        <f t="shared" si="1374"/>
        <v>0</v>
      </c>
      <c r="AS4406" s="22" t="str">
        <f t="shared" si="1375"/>
        <v/>
      </c>
      <c r="AT4406" s="24" t="str">
        <f t="shared" si="1376"/>
        <v/>
      </c>
      <c r="AU4406" s="22" t="s">
        <v>3240</v>
      </c>
    </row>
    <row r="4407" spans="1:47">
      <c r="A4407" s="246" t="str">
        <f t="shared" si="1364"/>
        <v/>
      </c>
      <c r="B4407" s="23"/>
      <c r="C4407" s="23"/>
      <c r="D4407" s="202" t="str">
        <f t="shared" si="1365"/>
        <v/>
      </c>
      <c r="E4407" s="33" t="str">
        <f t="shared" si="1359"/>
        <v/>
      </c>
      <c r="F4407" s="23"/>
      <c r="G4407" s="23"/>
      <c r="H4407" s="29"/>
      <c r="I4407" s="204" t="str">
        <f t="shared" si="1362"/>
        <v/>
      </c>
      <c r="J4407" s="188"/>
      <c r="K4407" s="29"/>
      <c r="L4407" s="24"/>
      <c r="M4407" s="22"/>
      <c r="N4407" s="22"/>
      <c r="O4407" s="22"/>
      <c r="P4407" s="202" t="str">
        <f t="shared" si="1363"/>
        <v/>
      </c>
      <c r="Q4407" s="22"/>
      <c r="R4407" s="22"/>
      <c r="S4407" s="22"/>
      <c r="T4407" s="22"/>
      <c r="U4407" s="22"/>
      <c r="V4407" s="22"/>
      <c r="W4407" s="22"/>
      <c r="X4407" s="104"/>
      <c r="Y4407" s="195" t="str">
        <f t="shared" si="1360"/>
        <v/>
      </c>
      <c r="Z4407" s="196" t="str">
        <f t="shared" si="1361"/>
        <v/>
      </c>
      <c r="AA4407" s="22"/>
      <c r="AB4407" s="197" t="str">
        <f t="shared" si="1366"/>
        <v/>
      </c>
      <c r="AC4407" s="198" t="str">
        <f t="shared" si="1367"/>
        <v/>
      </c>
      <c r="AD4407" s="162"/>
      <c r="AE4407" s="199" t="str">
        <f t="shared" si="1368"/>
        <v/>
      </c>
      <c r="AF4407" s="199" t="str">
        <f>IF(AND(COUNTIFS($J$18:J4407,J4407)=1,AE4407=1),1,"")</f>
        <v/>
      </c>
      <c r="AG4407" s="199" t="str">
        <f>IF(C4407="","",IF(AND(COUNTIFS($J$18:J4407,J4407)=1,C4407&lt;&gt;""),1,""))</f>
        <v/>
      </c>
      <c r="AH4407" s="199" t="str">
        <f>IF(G4407="","",IF(AND(COUNTIFS($J$18:J4407,J4407)=1,G4407&lt;&gt;""),1,""))</f>
        <v/>
      </c>
      <c r="AI4407" s="200">
        <f t="shared" si="1369"/>
        <v>0</v>
      </c>
      <c r="AJ4407" s="200">
        <f t="shared" si="1370"/>
        <v>0</v>
      </c>
      <c r="AK4407" s="201" t="str">
        <f t="shared" si="1371"/>
        <v/>
      </c>
      <c r="AL4407" s="24"/>
      <c r="AM4407" s="24"/>
      <c r="AN4407" s="24"/>
      <c r="AO4407" s="24"/>
      <c r="AP4407" s="165" t="str">
        <f t="shared" si="1372"/>
        <v/>
      </c>
      <c r="AQ4407" s="203" t="str">
        <f t="shared" si="1373"/>
        <v/>
      </c>
      <c r="AR4407" s="206">
        <f t="shared" si="1374"/>
        <v>0</v>
      </c>
      <c r="AS4407" s="22" t="str">
        <f t="shared" si="1375"/>
        <v/>
      </c>
      <c r="AT4407" s="24" t="str">
        <f t="shared" si="1376"/>
        <v/>
      </c>
      <c r="AU4407" s="22" t="s">
        <v>3240</v>
      </c>
    </row>
    <row r="4408" spans="1:47">
      <c r="A4408" s="246" t="str">
        <f t="shared" si="1364"/>
        <v/>
      </c>
      <c r="B4408" s="23"/>
      <c r="C4408" s="23"/>
      <c r="D4408" s="202" t="str">
        <f t="shared" si="1365"/>
        <v/>
      </c>
      <c r="E4408" s="33" t="str">
        <f t="shared" si="1359"/>
        <v/>
      </c>
      <c r="F4408" s="23"/>
      <c r="G4408" s="23"/>
      <c r="H4408" s="29"/>
      <c r="I4408" s="204" t="str">
        <f t="shared" si="1362"/>
        <v/>
      </c>
      <c r="J4408" s="188"/>
      <c r="K4408" s="29"/>
      <c r="L4408" s="24"/>
      <c r="M4408" s="22"/>
      <c r="N4408" s="22"/>
      <c r="O4408" s="22"/>
      <c r="P4408" s="202" t="str">
        <f t="shared" si="1363"/>
        <v/>
      </c>
      <c r="Q4408" s="22"/>
      <c r="R4408" s="22"/>
      <c r="S4408" s="22"/>
      <c r="T4408" s="22"/>
      <c r="U4408" s="22"/>
      <c r="V4408" s="22"/>
      <c r="W4408" s="22"/>
      <c r="X4408" s="104"/>
      <c r="Y4408" s="195" t="str">
        <f t="shared" si="1360"/>
        <v/>
      </c>
      <c r="Z4408" s="196" t="str">
        <f t="shared" si="1361"/>
        <v/>
      </c>
      <c r="AA4408" s="22"/>
      <c r="AB4408" s="197" t="str">
        <f t="shared" si="1366"/>
        <v/>
      </c>
      <c r="AC4408" s="198" t="str">
        <f t="shared" si="1367"/>
        <v/>
      </c>
      <c r="AD4408" s="162"/>
      <c r="AE4408" s="199" t="str">
        <f t="shared" si="1368"/>
        <v/>
      </c>
      <c r="AF4408" s="199" t="str">
        <f>IF(AND(COUNTIFS($J$18:J4408,J4408)=1,AE4408=1),1,"")</f>
        <v/>
      </c>
      <c r="AG4408" s="199" t="str">
        <f>IF(C4408="","",IF(AND(COUNTIFS($J$18:J4408,J4408)=1,C4408&lt;&gt;""),1,""))</f>
        <v/>
      </c>
      <c r="AH4408" s="199" t="str">
        <f>IF(G4408="","",IF(AND(COUNTIFS($J$18:J4408,J4408)=1,G4408&lt;&gt;""),1,""))</f>
        <v/>
      </c>
      <c r="AI4408" s="200">
        <f t="shared" si="1369"/>
        <v>0</v>
      </c>
      <c r="AJ4408" s="200">
        <f t="shared" si="1370"/>
        <v>0</v>
      </c>
      <c r="AK4408" s="201" t="str">
        <f t="shared" si="1371"/>
        <v/>
      </c>
      <c r="AL4408" s="24"/>
      <c r="AM4408" s="24"/>
      <c r="AN4408" s="24"/>
      <c r="AO4408" s="24"/>
      <c r="AP4408" s="165" t="str">
        <f t="shared" si="1372"/>
        <v/>
      </c>
      <c r="AQ4408" s="203" t="str">
        <f t="shared" si="1373"/>
        <v/>
      </c>
      <c r="AR4408" s="206">
        <f t="shared" si="1374"/>
        <v>0</v>
      </c>
      <c r="AS4408" s="22" t="str">
        <f t="shared" si="1375"/>
        <v/>
      </c>
      <c r="AT4408" s="24" t="str">
        <f t="shared" si="1376"/>
        <v/>
      </c>
      <c r="AU4408" s="22" t="s">
        <v>3240</v>
      </c>
    </row>
    <row r="4409" spans="1:47">
      <c r="A4409" s="246" t="str">
        <f t="shared" si="1364"/>
        <v/>
      </c>
      <c r="B4409" s="23"/>
      <c r="C4409" s="23"/>
      <c r="D4409" s="202" t="str">
        <f t="shared" si="1365"/>
        <v/>
      </c>
      <c r="E4409" s="33" t="str">
        <f t="shared" si="1359"/>
        <v/>
      </c>
      <c r="F4409" s="23"/>
      <c r="G4409" s="23"/>
      <c r="H4409" s="29"/>
      <c r="I4409" s="204" t="str">
        <f t="shared" si="1362"/>
        <v/>
      </c>
      <c r="J4409" s="188"/>
      <c r="K4409" s="29"/>
      <c r="L4409" s="24"/>
      <c r="M4409" s="22"/>
      <c r="N4409" s="22"/>
      <c r="O4409" s="22"/>
      <c r="P4409" s="202" t="str">
        <f t="shared" si="1363"/>
        <v/>
      </c>
      <c r="Q4409" s="22"/>
      <c r="R4409" s="22"/>
      <c r="S4409" s="22"/>
      <c r="T4409" s="22"/>
      <c r="U4409" s="22"/>
      <c r="V4409" s="22"/>
      <c r="W4409" s="22"/>
      <c r="X4409" s="104"/>
      <c r="Y4409" s="195" t="str">
        <f t="shared" si="1360"/>
        <v/>
      </c>
      <c r="Z4409" s="196" t="str">
        <f t="shared" si="1361"/>
        <v/>
      </c>
      <c r="AA4409" s="22"/>
      <c r="AB4409" s="197" t="str">
        <f t="shared" si="1366"/>
        <v/>
      </c>
      <c r="AC4409" s="198" t="str">
        <f t="shared" si="1367"/>
        <v/>
      </c>
      <c r="AD4409" s="162"/>
      <c r="AE4409" s="199" t="str">
        <f t="shared" si="1368"/>
        <v/>
      </c>
      <c r="AF4409" s="199" t="str">
        <f>IF(AND(COUNTIFS($J$18:J4409,J4409)=1,AE4409=1),1,"")</f>
        <v/>
      </c>
      <c r="AG4409" s="199" t="str">
        <f>IF(C4409="","",IF(AND(COUNTIFS($J$18:J4409,J4409)=1,C4409&lt;&gt;""),1,""))</f>
        <v/>
      </c>
      <c r="AH4409" s="199" t="str">
        <f>IF(G4409="","",IF(AND(COUNTIFS($J$18:J4409,J4409)=1,G4409&lt;&gt;""),1,""))</f>
        <v/>
      </c>
      <c r="AI4409" s="200">
        <f t="shared" si="1369"/>
        <v>0</v>
      </c>
      <c r="AJ4409" s="200">
        <f t="shared" si="1370"/>
        <v>0</v>
      </c>
      <c r="AK4409" s="201" t="str">
        <f t="shared" si="1371"/>
        <v/>
      </c>
      <c r="AL4409" s="24"/>
      <c r="AM4409" s="24"/>
      <c r="AN4409" s="24"/>
      <c r="AO4409" s="24"/>
      <c r="AP4409" s="165" t="str">
        <f t="shared" si="1372"/>
        <v/>
      </c>
      <c r="AQ4409" s="203" t="str">
        <f t="shared" si="1373"/>
        <v/>
      </c>
      <c r="AR4409" s="206">
        <f t="shared" si="1374"/>
        <v>0</v>
      </c>
      <c r="AS4409" s="22" t="str">
        <f t="shared" si="1375"/>
        <v/>
      </c>
      <c r="AT4409" s="24" t="str">
        <f t="shared" si="1376"/>
        <v/>
      </c>
      <c r="AU4409" s="22" t="s">
        <v>3240</v>
      </c>
    </row>
    <row r="4410" spans="1:47">
      <c r="A4410" s="246" t="str">
        <f t="shared" si="1364"/>
        <v/>
      </c>
      <c r="B4410" s="23"/>
      <c r="C4410" s="23"/>
      <c r="D4410" s="202" t="str">
        <f t="shared" si="1365"/>
        <v/>
      </c>
      <c r="E4410" s="33" t="str">
        <f t="shared" si="1359"/>
        <v/>
      </c>
      <c r="F4410" s="23"/>
      <c r="G4410" s="23"/>
      <c r="H4410" s="29"/>
      <c r="I4410" s="204" t="str">
        <f t="shared" si="1362"/>
        <v/>
      </c>
      <c r="J4410" s="188"/>
      <c r="K4410" s="29"/>
      <c r="L4410" s="24"/>
      <c r="M4410" s="22"/>
      <c r="N4410" s="22"/>
      <c r="O4410" s="22"/>
      <c r="P4410" s="202" t="str">
        <f t="shared" si="1363"/>
        <v/>
      </c>
      <c r="Q4410" s="22"/>
      <c r="R4410" s="22"/>
      <c r="S4410" s="22"/>
      <c r="T4410" s="22"/>
      <c r="U4410" s="22"/>
      <c r="V4410" s="22"/>
      <c r="W4410" s="22"/>
      <c r="X4410" s="104"/>
      <c r="Y4410" s="195" t="str">
        <f t="shared" si="1360"/>
        <v/>
      </c>
      <c r="Z4410" s="196" t="str">
        <f t="shared" si="1361"/>
        <v/>
      </c>
      <c r="AA4410" s="22"/>
      <c r="AB4410" s="197" t="str">
        <f t="shared" si="1366"/>
        <v/>
      </c>
      <c r="AC4410" s="198" t="str">
        <f t="shared" si="1367"/>
        <v/>
      </c>
      <c r="AD4410" s="162"/>
      <c r="AE4410" s="199" t="str">
        <f t="shared" si="1368"/>
        <v/>
      </c>
      <c r="AF4410" s="199" t="str">
        <f>IF(AND(COUNTIFS($J$18:J4410,J4410)=1,AE4410=1),1,"")</f>
        <v/>
      </c>
      <c r="AG4410" s="199" t="str">
        <f>IF(C4410="","",IF(AND(COUNTIFS($J$18:J4410,J4410)=1,C4410&lt;&gt;""),1,""))</f>
        <v/>
      </c>
      <c r="AH4410" s="199" t="str">
        <f>IF(G4410="","",IF(AND(COUNTIFS($J$18:J4410,J4410)=1,G4410&lt;&gt;""),1,""))</f>
        <v/>
      </c>
      <c r="AI4410" s="200">
        <f t="shared" si="1369"/>
        <v>0</v>
      </c>
      <c r="AJ4410" s="200">
        <f t="shared" si="1370"/>
        <v>0</v>
      </c>
      <c r="AK4410" s="201" t="str">
        <f t="shared" si="1371"/>
        <v/>
      </c>
      <c r="AL4410" s="24"/>
      <c r="AM4410" s="24"/>
      <c r="AN4410" s="24"/>
      <c r="AO4410" s="24"/>
      <c r="AP4410" s="165" t="str">
        <f t="shared" si="1372"/>
        <v/>
      </c>
      <c r="AQ4410" s="203" t="str">
        <f t="shared" si="1373"/>
        <v/>
      </c>
      <c r="AR4410" s="206">
        <f t="shared" si="1374"/>
        <v>0</v>
      </c>
      <c r="AS4410" s="22" t="str">
        <f t="shared" si="1375"/>
        <v/>
      </c>
      <c r="AT4410" s="24" t="str">
        <f t="shared" si="1376"/>
        <v/>
      </c>
      <c r="AU4410" s="22" t="s">
        <v>3240</v>
      </c>
    </row>
    <row r="4411" spans="1:47">
      <c r="A4411" s="246" t="str">
        <f t="shared" si="1364"/>
        <v/>
      </c>
      <c r="B4411" s="23"/>
      <c r="C4411" s="23"/>
      <c r="D4411" s="202" t="str">
        <f t="shared" si="1365"/>
        <v/>
      </c>
      <c r="E4411" s="33" t="str">
        <f t="shared" si="1359"/>
        <v/>
      </c>
      <c r="F4411" s="23"/>
      <c r="G4411" s="23"/>
      <c r="H4411" s="29"/>
      <c r="I4411" s="204" t="str">
        <f t="shared" si="1362"/>
        <v/>
      </c>
      <c r="J4411" s="188"/>
      <c r="K4411" s="29"/>
      <c r="L4411" s="24"/>
      <c r="M4411" s="22"/>
      <c r="N4411" s="22"/>
      <c r="O4411" s="22"/>
      <c r="P4411" s="202" t="str">
        <f t="shared" si="1363"/>
        <v/>
      </c>
      <c r="Q4411" s="22"/>
      <c r="R4411" s="22"/>
      <c r="S4411" s="22"/>
      <c r="T4411" s="22"/>
      <c r="U4411" s="22"/>
      <c r="V4411" s="22"/>
      <c r="W4411" s="22"/>
      <c r="X4411" s="104"/>
      <c r="Y4411" s="195" t="str">
        <f t="shared" si="1360"/>
        <v/>
      </c>
      <c r="Z4411" s="196" t="str">
        <f t="shared" si="1361"/>
        <v/>
      </c>
      <c r="AA4411" s="22"/>
      <c r="AB4411" s="197" t="str">
        <f t="shared" si="1366"/>
        <v/>
      </c>
      <c r="AC4411" s="198" t="str">
        <f t="shared" si="1367"/>
        <v/>
      </c>
      <c r="AD4411" s="162"/>
      <c r="AE4411" s="199" t="str">
        <f t="shared" si="1368"/>
        <v/>
      </c>
      <c r="AF4411" s="199" t="str">
        <f>IF(AND(COUNTIFS($J$18:J4411,J4411)=1,AE4411=1),1,"")</f>
        <v/>
      </c>
      <c r="AG4411" s="199" t="str">
        <f>IF(C4411="","",IF(AND(COUNTIFS($J$18:J4411,J4411)=1,C4411&lt;&gt;""),1,""))</f>
        <v/>
      </c>
      <c r="AH4411" s="199" t="str">
        <f>IF(G4411="","",IF(AND(COUNTIFS($J$18:J4411,J4411)=1,G4411&lt;&gt;""),1,""))</f>
        <v/>
      </c>
      <c r="AI4411" s="200">
        <f t="shared" si="1369"/>
        <v>0</v>
      </c>
      <c r="AJ4411" s="200">
        <f t="shared" si="1370"/>
        <v>0</v>
      </c>
      <c r="AK4411" s="201" t="str">
        <f t="shared" si="1371"/>
        <v/>
      </c>
      <c r="AL4411" s="24"/>
      <c r="AM4411" s="24"/>
      <c r="AN4411" s="24"/>
      <c r="AO4411" s="24"/>
      <c r="AP4411" s="165" t="str">
        <f t="shared" si="1372"/>
        <v/>
      </c>
      <c r="AQ4411" s="203" t="str">
        <f t="shared" si="1373"/>
        <v/>
      </c>
      <c r="AR4411" s="206">
        <f t="shared" si="1374"/>
        <v>0</v>
      </c>
      <c r="AS4411" s="22" t="str">
        <f t="shared" si="1375"/>
        <v/>
      </c>
      <c r="AT4411" s="24" t="str">
        <f t="shared" si="1376"/>
        <v/>
      </c>
      <c r="AU4411" s="22" t="s">
        <v>3240</v>
      </c>
    </row>
    <row r="4412" spans="1:47">
      <c r="A4412" s="246" t="str">
        <f t="shared" si="1364"/>
        <v/>
      </c>
      <c r="B4412" s="23"/>
      <c r="C4412" s="23"/>
      <c r="D4412" s="202" t="str">
        <f t="shared" si="1365"/>
        <v/>
      </c>
      <c r="E4412" s="33" t="str">
        <f t="shared" si="1359"/>
        <v/>
      </c>
      <c r="F4412" s="23"/>
      <c r="G4412" s="23"/>
      <c r="H4412" s="29"/>
      <c r="I4412" s="204" t="str">
        <f t="shared" si="1362"/>
        <v/>
      </c>
      <c r="J4412" s="188"/>
      <c r="K4412" s="29"/>
      <c r="L4412" s="24"/>
      <c r="M4412" s="22"/>
      <c r="N4412" s="22"/>
      <c r="O4412" s="22"/>
      <c r="P4412" s="202" t="str">
        <f t="shared" si="1363"/>
        <v/>
      </c>
      <c r="Q4412" s="22"/>
      <c r="R4412" s="22"/>
      <c r="S4412" s="22"/>
      <c r="T4412" s="22"/>
      <c r="U4412" s="22"/>
      <c r="V4412" s="22"/>
      <c r="W4412" s="22"/>
      <c r="X4412" s="104"/>
      <c r="Y4412" s="195" t="str">
        <f t="shared" si="1360"/>
        <v/>
      </c>
      <c r="Z4412" s="196" t="str">
        <f t="shared" si="1361"/>
        <v/>
      </c>
      <c r="AA4412" s="22"/>
      <c r="AB4412" s="197" t="str">
        <f t="shared" si="1366"/>
        <v/>
      </c>
      <c r="AC4412" s="198" t="str">
        <f t="shared" si="1367"/>
        <v/>
      </c>
      <c r="AD4412" s="162"/>
      <c r="AE4412" s="199" t="str">
        <f t="shared" si="1368"/>
        <v/>
      </c>
      <c r="AF4412" s="199" t="str">
        <f>IF(AND(COUNTIFS($J$18:J4412,J4412)=1,AE4412=1),1,"")</f>
        <v/>
      </c>
      <c r="AG4412" s="199" t="str">
        <f>IF(C4412="","",IF(AND(COUNTIFS($J$18:J4412,J4412)=1,C4412&lt;&gt;""),1,""))</f>
        <v/>
      </c>
      <c r="AH4412" s="199" t="str">
        <f>IF(G4412="","",IF(AND(COUNTIFS($J$18:J4412,J4412)=1,G4412&lt;&gt;""),1,""))</f>
        <v/>
      </c>
      <c r="AI4412" s="200">
        <f t="shared" si="1369"/>
        <v>0</v>
      </c>
      <c r="AJ4412" s="200">
        <f t="shared" si="1370"/>
        <v>0</v>
      </c>
      <c r="AK4412" s="201" t="str">
        <f t="shared" si="1371"/>
        <v/>
      </c>
      <c r="AL4412" s="24"/>
      <c r="AM4412" s="24"/>
      <c r="AN4412" s="24"/>
      <c r="AO4412" s="24"/>
      <c r="AP4412" s="165" t="str">
        <f t="shared" si="1372"/>
        <v/>
      </c>
      <c r="AQ4412" s="203" t="str">
        <f t="shared" si="1373"/>
        <v/>
      </c>
      <c r="AR4412" s="206">
        <f t="shared" si="1374"/>
        <v>0</v>
      </c>
      <c r="AS4412" s="22" t="str">
        <f t="shared" si="1375"/>
        <v/>
      </c>
      <c r="AT4412" s="24" t="str">
        <f t="shared" si="1376"/>
        <v/>
      </c>
      <c r="AU4412" s="22" t="s">
        <v>3240</v>
      </c>
    </row>
    <row r="4413" spans="1:47">
      <c r="A4413" s="246" t="str">
        <f t="shared" si="1364"/>
        <v/>
      </c>
      <c r="B4413" s="23"/>
      <c r="C4413" s="23"/>
      <c r="D4413" s="202" t="str">
        <f t="shared" si="1365"/>
        <v/>
      </c>
      <c r="E4413" s="33" t="str">
        <f t="shared" si="1359"/>
        <v/>
      </c>
      <c r="F4413" s="23"/>
      <c r="G4413" s="23"/>
      <c r="H4413" s="29"/>
      <c r="I4413" s="204" t="str">
        <f t="shared" si="1362"/>
        <v/>
      </c>
      <c r="J4413" s="188"/>
      <c r="K4413" s="29"/>
      <c r="L4413" s="24"/>
      <c r="M4413" s="22"/>
      <c r="N4413" s="22"/>
      <c r="O4413" s="22"/>
      <c r="P4413" s="202" t="str">
        <f t="shared" si="1363"/>
        <v/>
      </c>
      <c r="Q4413" s="22"/>
      <c r="R4413" s="22"/>
      <c r="S4413" s="22"/>
      <c r="T4413" s="22"/>
      <c r="U4413" s="22"/>
      <c r="V4413" s="22"/>
      <c r="W4413" s="22"/>
      <c r="X4413" s="104"/>
      <c r="Y4413" s="195" t="str">
        <f t="shared" si="1360"/>
        <v/>
      </c>
      <c r="Z4413" s="196" t="str">
        <f t="shared" si="1361"/>
        <v/>
      </c>
      <c r="AA4413" s="22"/>
      <c r="AB4413" s="197" t="str">
        <f t="shared" si="1366"/>
        <v/>
      </c>
      <c r="AC4413" s="198" t="str">
        <f t="shared" si="1367"/>
        <v/>
      </c>
      <c r="AD4413" s="162"/>
      <c r="AE4413" s="199" t="str">
        <f t="shared" si="1368"/>
        <v/>
      </c>
      <c r="AF4413" s="199" t="str">
        <f>IF(AND(COUNTIFS($J$18:J4413,J4413)=1,AE4413=1),1,"")</f>
        <v/>
      </c>
      <c r="AG4413" s="199" t="str">
        <f>IF(C4413="","",IF(AND(COUNTIFS($J$18:J4413,J4413)=1,C4413&lt;&gt;""),1,""))</f>
        <v/>
      </c>
      <c r="AH4413" s="199" t="str">
        <f>IF(G4413="","",IF(AND(COUNTIFS($J$18:J4413,J4413)=1,G4413&lt;&gt;""),1,""))</f>
        <v/>
      </c>
      <c r="AI4413" s="200">
        <f t="shared" si="1369"/>
        <v>0</v>
      </c>
      <c r="AJ4413" s="200">
        <f t="shared" si="1370"/>
        <v>0</v>
      </c>
      <c r="AK4413" s="201" t="str">
        <f t="shared" si="1371"/>
        <v/>
      </c>
      <c r="AL4413" s="24"/>
      <c r="AM4413" s="24"/>
      <c r="AN4413" s="24"/>
      <c r="AO4413" s="24"/>
      <c r="AP4413" s="165" t="str">
        <f t="shared" si="1372"/>
        <v/>
      </c>
      <c r="AQ4413" s="203" t="str">
        <f t="shared" si="1373"/>
        <v/>
      </c>
      <c r="AR4413" s="206">
        <f t="shared" si="1374"/>
        <v>0</v>
      </c>
      <c r="AS4413" s="22" t="str">
        <f t="shared" si="1375"/>
        <v/>
      </c>
      <c r="AT4413" s="24" t="str">
        <f t="shared" si="1376"/>
        <v/>
      </c>
      <c r="AU4413" s="22" t="s">
        <v>3240</v>
      </c>
    </row>
    <row r="4414" spans="1:47">
      <c r="A4414" s="246" t="str">
        <f t="shared" si="1364"/>
        <v/>
      </c>
      <c r="B4414" s="23"/>
      <c r="C4414" s="23"/>
      <c r="D4414" s="202" t="str">
        <f t="shared" si="1365"/>
        <v/>
      </c>
      <c r="E4414" s="33" t="str">
        <f t="shared" si="1359"/>
        <v/>
      </c>
      <c r="F4414" s="23"/>
      <c r="G4414" s="23"/>
      <c r="H4414" s="29"/>
      <c r="I4414" s="204" t="str">
        <f t="shared" si="1362"/>
        <v/>
      </c>
      <c r="J4414" s="188"/>
      <c r="K4414" s="29"/>
      <c r="L4414" s="24"/>
      <c r="M4414" s="22"/>
      <c r="N4414" s="22"/>
      <c r="O4414" s="22"/>
      <c r="P4414" s="202" t="str">
        <f t="shared" si="1363"/>
        <v/>
      </c>
      <c r="Q4414" s="22"/>
      <c r="R4414" s="22"/>
      <c r="S4414" s="22"/>
      <c r="T4414" s="22"/>
      <c r="U4414" s="22"/>
      <c r="V4414" s="22"/>
      <c r="W4414" s="22"/>
      <c r="X4414" s="104"/>
      <c r="Y4414" s="195" t="str">
        <f t="shared" si="1360"/>
        <v/>
      </c>
      <c r="Z4414" s="196" t="str">
        <f t="shared" si="1361"/>
        <v/>
      </c>
      <c r="AA4414" s="22"/>
      <c r="AB4414" s="197" t="str">
        <f t="shared" si="1366"/>
        <v/>
      </c>
      <c r="AC4414" s="198" t="str">
        <f t="shared" si="1367"/>
        <v/>
      </c>
      <c r="AD4414" s="162"/>
      <c r="AE4414" s="199" t="str">
        <f t="shared" si="1368"/>
        <v/>
      </c>
      <c r="AF4414" s="199" t="str">
        <f>IF(AND(COUNTIFS($J$18:J4414,J4414)=1,AE4414=1),1,"")</f>
        <v/>
      </c>
      <c r="AG4414" s="199" t="str">
        <f>IF(C4414="","",IF(AND(COUNTIFS($J$18:J4414,J4414)=1,C4414&lt;&gt;""),1,""))</f>
        <v/>
      </c>
      <c r="AH4414" s="199" t="str">
        <f>IF(G4414="","",IF(AND(COUNTIFS($J$18:J4414,J4414)=1,G4414&lt;&gt;""),1,""))</f>
        <v/>
      </c>
      <c r="AI4414" s="200">
        <f t="shared" si="1369"/>
        <v>0</v>
      </c>
      <c r="AJ4414" s="200">
        <f t="shared" si="1370"/>
        <v>0</v>
      </c>
      <c r="AK4414" s="201" t="str">
        <f t="shared" si="1371"/>
        <v/>
      </c>
      <c r="AL4414" s="24"/>
      <c r="AM4414" s="24"/>
      <c r="AN4414" s="24"/>
      <c r="AO4414" s="24"/>
      <c r="AP4414" s="165" t="str">
        <f t="shared" si="1372"/>
        <v/>
      </c>
      <c r="AQ4414" s="203" t="str">
        <f t="shared" si="1373"/>
        <v/>
      </c>
      <c r="AR4414" s="206">
        <f t="shared" si="1374"/>
        <v>0</v>
      </c>
      <c r="AS4414" s="22" t="str">
        <f t="shared" si="1375"/>
        <v/>
      </c>
      <c r="AT4414" s="24" t="str">
        <f t="shared" si="1376"/>
        <v/>
      </c>
      <c r="AU4414" s="22" t="s">
        <v>3240</v>
      </c>
    </row>
    <row r="4415" spans="1:47">
      <c r="A4415" s="246" t="str">
        <f t="shared" si="1364"/>
        <v/>
      </c>
      <c r="B4415" s="23"/>
      <c r="C4415" s="23"/>
      <c r="D4415" s="202" t="str">
        <f t="shared" si="1365"/>
        <v/>
      </c>
      <c r="E4415" s="33" t="str">
        <f t="shared" si="1359"/>
        <v/>
      </c>
      <c r="F4415" s="23"/>
      <c r="G4415" s="23"/>
      <c r="H4415" s="29"/>
      <c r="I4415" s="204" t="str">
        <f t="shared" si="1362"/>
        <v/>
      </c>
      <c r="J4415" s="188"/>
      <c r="K4415" s="29"/>
      <c r="L4415" s="24"/>
      <c r="M4415" s="22"/>
      <c r="N4415" s="22"/>
      <c r="O4415" s="22"/>
      <c r="P4415" s="202" t="str">
        <f t="shared" si="1363"/>
        <v/>
      </c>
      <c r="Q4415" s="22"/>
      <c r="R4415" s="22"/>
      <c r="S4415" s="22"/>
      <c r="T4415" s="22"/>
      <c r="U4415" s="22"/>
      <c r="V4415" s="22"/>
      <c r="W4415" s="22"/>
      <c r="X4415" s="104"/>
      <c r="Y4415" s="195" t="str">
        <f t="shared" si="1360"/>
        <v/>
      </c>
      <c r="Z4415" s="196" t="str">
        <f t="shared" si="1361"/>
        <v/>
      </c>
      <c r="AA4415" s="22"/>
      <c r="AB4415" s="197" t="str">
        <f t="shared" si="1366"/>
        <v/>
      </c>
      <c r="AC4415" s="198" t="str">
        <f t="shared" si="1367"/>
        <v/>
      </c>
      <c r="AD4415" s="162"/>
      <c r="AE4415" s="199" t="str">
        <f t="shared" si="1368"/>
        <v/>
      </c>
      <c r="AF4415" s="199" t="str">
        <f>IF(AND(COUNTIFS($J$18:J4415,J4415)=1,AE4415=1),1,"")</f>
        <v/>
      </c>
      <c r="AG4415" s="199" t="str">
        <f>IF(C4415="","",IF(AND(COUNTIFS($J$18:J4415,J4415)=1,C4415&lt;&gt;""),1,""))</f>
        <v/>
      </c>
      <c r="AH4415" s="199" t="str">
        <f>IF(G4415="","",IF(AND(COUNTIFS($J$18:J4415,J4415)=1,G4415&lt;&gt;""),1,""))</f>
        <v/>
      </c>
      <c r="AI4415" s="200">
        <f t="shared" si="1369"/>
        <v>0</v>
      </c>
      <c r="AJ4415" s="200">
        <f t="shared" si="1370"/>
        <v>0</v>
      </c>
      <c r="AK4415" s="201" t="str">
        <f t="shared" si="1371"/>
        <v/>
      </c>
      <c r="AL4415" s="24"/>
      <c r="AM4415" s="24"/>
      <c r="AN4415" s="24"/>
      <c r="AO4415" s="24"/>
      <c r="AP4415" s="165" t="str">
        <f t="shared" si="1372"/>
        <v/>
      </c>
      <c r="AQ4415" s="203" t="str">
        <f t="shared" si="1373"/>
        <v/>
      </c>
      <c r="AR4415" s="206">
        <f t="shared" si="1374"/>
        <v>0</v>
      </c>
      <c r="AS4415" s="22" t="str">
        <f t="shared" si="1375"/>
        <v/>
      </c>
      <c r="AT4415" s="24" t="str">
        <f t="shared" si="1376"/>
        <v/>
      </c>
      <c r="AU4415" s="22" t="s">
        <v>3240</v>
      </c>
    </row>
    <row r="4416" spans="1:47">
      <c r="A4416" s="246" t="str">
        <f t="shared" si="1364"/>
        <v/>
      </c>
      <c r="B4416" s="23"/>
      <c r="C4416" s="23"/>
      <c r="D4416" s="202" t="str">
        <f t="shared" si="1365"/>
        <v/>
      </c>
      <c r="E4416" s="33" t="str">
        <f t="shared" si="1359"/>
        <v/>
      </c>
      <c r="F4416" s="23"/>
      <c r="G4416" s="23"/>
      <c r="H4416" s="29"/>
      <c r="I4416" s="204" t="str">
        <f t="shared" si="1362"/>
        <v/>
      </c>
      <c r="J4416" s="188"/>
      <c r="K4416" s="29"/>
      <c r="L4416" s="24"/>
      <c r="M4416" s="22"/>
      <c r="N4416" s="22"/>
      <c r="O4416" s="22"/>
      <c r="P4416" s="202" t="str">
        <f t="shared" si="1363"/>
        <v/>
      </c>
      <c r="Q4416" s="22"/>
      <c r="R4416" s="22"/>
      <c r="S4416" s="22"/>
      <c r="T4416" s="22"/>
      <c r="U4416" s="22"/>
      <c r="V4416" s="22"/>
      <c r="W4416" s="22"/>
      <c r="X4416" s="104"/>
      <c r="Y4416" s="195" t="str">
        <f t="shared" si="1360"/>
        <v/>
      </c>
      <c r="Z4416" s="196" t="str">
        <f t="shared" si="1361"/>
        <v/>
      </c>
      <c r="AA4416" s="22"/>
      <c r="AB4416" s="197" t="str">
        <f t="shared" si="1366"/>
        <v/>
      </c>
      <c r="AC4416" s="198" t="str">
        <f t="shared" si="1367"/>
        <v/>
      </c>
      <c r="AD4416" s="162"/>
      <c r="AE4416" s="199" t="str">
        <f t="shared" si="1368"/>
        <v/>
      </c>
      <c r="AF4416" s="199" t="str">
        <f>IF(AND(COUNTIFS($J$18:J4416,J4416)=1,AE4416=1),1,"")</f>
        <v/>
      </c>
      <c r="AG4416" s="199" t="str">
        <f>IF(C4416="","",IF(AND(COUNTIFS($J$18:J4416,J4416)=1,C4416&lt;&gt;""),1,""))</f>
        <v/>
      </c>
      <c r="AH4416" s="199" t="str">
        <f>IF(G4416="","",IF(AND(COUNTIFS($J$18:J4416,J4416)=1,G4416&lt;&gt;""),1,""))</f>
        <v/>
      </c>
      <c r="AI4416" s="200">
        <f t="shared" si="1369"/>
        <v>0</v>
      </c>
      <c r="AJ4416" s="200">
        <f t="shared" si="1370"/>
        <v>0</v>
      </c>
      <c r="AK4416" s="201" t="str">
        <f t="shared" si="1371"/>
        <v/>
      </c>
      <c r="AL4416" s="24"/>
      <c r="AM4416" s="24"/>
      <c r="AN4416" s="24"/>
      <c r="AO4416" s="24"/>
      <c r="AP4416" s="165" t="str">
        <f t="shared" si="1372"/>
        <v/>
      </c>
      <c r="AQ4416" s="203" t="str">
        <f t="shared" si="1373"/>
        <v/>
      </c>
      <c r="AR4416" s="206">
        <f t="shared" si="1374"/>
        <v>0</v>
      </c>
      <c r="AS4416" s="22" t="str">
        <f t="shared" si="1375"/>
        <v/>
      </c>
      <c r="AT4416" s="24" t="str">
        <f t="shared" si="1376"/>
        <v/>
      </c>
      <c r="AU4416" s="22" t="s">
        <v>3240</v>
      </c>
    </row>
    <row r="4417" spans="1:47">
      <c r="A4417" s="246" t="str">
        <f t="shared" si="1364"/>
        <v/>
      </c>
      <c r="B4417" s="23"/>
      <c r="C4417" s="23"/>
      <c r="D4417" s="202" t="str">
        <f t="shared" si="1365"/>
        <v/>
      </c>
      <c r="E4417" s="33" t="str">
        <f t="shared" si="1359"/>
        <v/>
      </c>
      <c r="F4417" s="23"/>
      <c r="G4417" s="23"/>
      <c r="H4417" s="29"/>
      <c r="I4417" s="204" t="str">
        <f t="shared" si="1362"/>
        <v/>
      </c>
      <c r="J4417" s="188"/>
      <c r="K4417" s="29"/>
      <c r="L4417" s="24"/>
      <c r="M4417" s="22"/>
      <c r="N4417" s="22"/>
      <c r="O4417" s="22"/>
      <c r="P4417" s="202" t="str">
        <f t="shared" si="1363"/>
        <v/>
      </c>
      <c r="Q4417" s="22"/>
      <c r="R4417" s="22"/>
      <c r="S4417" s="22"/>
      <c r="T4417" s="22"/>
      <c r="U4417" s="22"/>
      <c r="V4417" s="22"/>
      <c r="W4417" s="22"/>
      <c r="X4417" s="104"/>
      <c r="Y4417" s="195" t="str">
        <f t="shared" si="1360"/>
        <v/>
      </c>
      <c r="Z4417" s="196" t="str">
        <f t="shared" si="1361"/>
        <v/>
      </c>
      <c r="AA4417" s="22"/>
      <c r="AB4417" s="197" t="str">
        <f t="shared" si="1366"/>
        <v/>
      </c>
      <c r="AC4417" s="198" t="str">
        <f t="shared" si="1367"/>
        <v/>
      </c>
      <c r="AD4417" s="162"/>
      <c r="AE4417" s="199" t="str">
        <f t="shared" si="1368"/>
        <v/>
      </c>
      <c r="AF4417" s="199" t="str">
        <f>IF(AND(COUNTIFS($J$18:J4417,J4417)=1,AE4417=1),1,"")</f>
        <v/>
      </c>
      <c r="AG4417" s="199" t="str">
        <f>IF(C4417="","",IF(AND(COUNTIFS($J$18:J4417,J4417)=1,C4417&lt;&gt;""),1,""))</f>
        <v/>
      </c>
      <c r="AH4417" s="199" t="str">
        <f>IF(G4417="","",IF(AND(COUNTIFS($J$18:J4417,J4417)=1,G4417&lt;&gt;""),1,""))</f>
        <v/>
      </c>
      <c r="AI4417" s="200">
        <f t="shared" si="1369"/>
        <v>0</v>
      </c>
      <c r="AJ4417" s="200">
        <f t="shared" si="1370"/>
        <v>0</v>
      </c>
      <c r="AK4417" s="201" t="str">
        <f t="shared" si="1371"/>
        <v/>
      </c>
      <c r="AL4417" s="24"/>
      <c r="AM4417" s="24"/>
      <c r="AN4417" s="24"/>
      <c r="AO4417" s="24"/>
      <c r="AP4417" s="165" t="str">
        <f t="shared" si="1372"/>
        <v/>
      </c>
      <c r="AQ4417" s="203" t="str">
        <f t="shared" si="1373"/>
        <v/>
      </c>
      <c r="AR4417" s="206">
        <f t="shared" si="1374"/>
        <v>0</v>
      </c>
      <c r="AS4417" s="22" t="str">
        <f t="shared" si="1375"/>
        <v/>
      </c>
      <c r="AT4417" s="24" t="str">
        <f t="shared" si="1376"/>
        <v/>
      </c>
      <c r="AU4417" s="22" t="s">
        <v>3240</v>
      </c>
    </row>
    <row r="4418" spans="1:47">
      <c r="A4418" s="246" t="str">
        <f t="shared" si="1364"/>
        <v/>
      </c>
      <c r="B4418" s="23"/>
      <c r="C4418" s="23"/>
      <c r="D4418" s="202" t="str">
        <f t="shared" si="1365"/>
        <v/>
      </c>
      <c r="E4418" s="33" t="str">
        <f t="shared" si="1359"/>
        <v/>
      </c>
      <c r="F4418" s="23"/>
      <c r="G4418" s="23"/>
      <c r="H4418" s="29"/>
      <c r="I4418" s="204" t="str">
        <f t="shared" si="1362"/>
        <v/>
      </c>
      <c r="J4418" s="188"/>
      <c r="K4418" s="29"/>
      <c r="L4418" s="24"/>
      <c r="M4418" s="22"/>
      <c r="N4418" s="22"/>
      <c r="O4418" s="22"/>
      <c r="P4418" s="202" t="str">
        <f t="shared" si="1363"/>
        <v/>
      </c>
      <c r="Q4418" s="22"/>
      <c r="R4418" s="22"/>
      <c r="S4418" s="22"/>
      <c r="T4418" s="22"/>
      <c r="U4418" s="22"/>
      <c r="V4418" s="22"/>
      <c r="W4418" s="22"/>
      <c r="X4418" s="104"/>
      <c r="Y4418" s="195" t="str">
        <f t="shared" si="1360"/>
        <v/>
      </c>
      <c r="Z4418" s="196" t="str">
        <f t="shared" si="1361"/>
        <v/>
      </c>
      <c r="AA4418" s="22"/>
      <c r="AB4418" s="197" t="str">
        <f t="shared" si="1366"/>
        <v/>
      </c>
      <c r="AC4418" s="198" t="str">
        <f t="shared" si="1367"/>
        <v/>
      </c>
      <c r="AD4418" s="162"/>
      <c r="AE4418" s="199" t="str">
        <f t="shared" si="1368"/>
        <v/>
      </c>
      <c r="AF4418" s="199" t="str">
        <f>IF(AND(COUNTIFS($J$18:J4418,J4418)=1,AE4418=1),1,"")</f>
        <v/>
      </c>
      <c r="AG4418" s="199" t="str">
        <f>IF(C4418="","",IF(AND(COUNTIFS($J$18:J4418,J4418)=1,C4418&lt;&gt;""),1,""))</f>
        <v/>
      </c>
      <c r="AH4418" s="199" t="str">
        <f>IF(G4418="","",IF(AND(COUNTIFS($J$18:J4418,J4418)=1,G4418&lt;&gt;""),1,""))</f>
        <v/>
      </c>
      <c r="AI4418" s="200">
        <f t="shared" si="1369"/>
        <v>0</v>
      </c>
      <c r="AJ4418" s="200">
        <f t="shared" si="1370"/>
        <v>0</v>
      </c>
      <c r="AK4418" s="201" t="str">
        <f t="shared" si="1371"/>
        <v/>
      </c>
      <c r="AL4418" s="24"/>
      <c r="AM4418" s="24"/>
      <c r="AN4418" s="24"/>
      <c r="AO4418" s="24"/>
      <c r="AP4418" s="165" t="str">
        <f t="shared" si="1372"/>
        <v/>
      </c>
      <c r="AQ4418" s="203" t="str">
        <f t="shared" si="1373"/>
        <v/>
      </c>
      <c r="AR4418" s="206">
        <f t="shared" si="1374"/>
        <v>0</v>
      </c>
      <c r="AS4418" s="22" t="str">
        <f t="shared" si="1375"/>
        <v/>
      </c>
      <c r="AT4418" s="24" t="str">
        <f t="shared" si="1376"/>
        <v/>
      </c>
      <c r="AU4418" s="22" t="s">
        <v>3240</v>
      </c>
    </row>
    <row r="4419" spans="1:47">
      <c r="A4419" s="246" t="str">
        <f t="shared" si="1364"/>
        <v/>
      </c>
      <c r="B4419" s="23"/>
      <c r="C4419" s="23"/>
      <c r="D4419" s="202" t="str">
        <f t="shared" si="1365"/>
        <v/>
      </c>
      <c r="E4419" s="33" t="str">
        <f t="shared" si="1359"/>
        <v/>
      </c>
      <c r="F4419" s="23"/>
      <c r="G4419" s="23"/>
      <c r="H4419" s="29"/>
      <c r="I4419" s="204" t="str">
        <f t="shared" si="1362"/>
        <v/>
      </c>
      <c r="J4419" s="188"/>
      <c r="K4419" s="29"/>
      <c r="L4419" s="24"/>
      <c r="M4419" s="22"/>
      <c r="N4419" s="22"/>
      <c r="O4419" s="22"/>
      <c r="P4419" s="202" t="str">
        <f t="shared" si="1363"/>
        <v/>
      </c>
      <c r="Q4419" s="22"/>
      <c r="R4419" s="22"/>
      <c r="S4419" s="22"/>
      <c r="T4419" s="22"/>
      <c r="U4419" s="22"/>
      <c r="V4419" s="22"/>
      <c r="W4419" s="22"/>
      <c r="X4419" s="104"/>
      <c r="Y4419" s="195" t="str">
        <f t="shared" si="1360"/>
        <v/>
      </c>
      <c r="Z4419" s="196" t="str">
        <f t="shared" si="1361"/>
        <v/>
      </c>
      <c r="AA4419" s="22"/>
      <c r="AB4419" s="197" t="str">
        <f t="shared" si="1366"/>
        <v/>
      </c>
      <c r="AC4419" s="198" t="str">
        <f t="shared" si="1367"/>
        <v/>
      </c>
      <c r="AD4419" s="162"/>
      <c r="AE4419" s="199" t="str">
        <f t="shared" si="1368"/>
        <v/>
      </c>
      <c r="AF4419" s="199" t="str">
        <f>IF(AND(COUNTIFS($J$18:J4419,J4419)=1,AE4419=1),1,"")</f>
        <v/>
      </c>
      <c r="AG4419" s="199" t="str">
        <f>IF(C4419="","",IF(AND(COUNTIFS($J$18:J4419,J4419)=1,C4419&lt;&gt;""),1,""))</f>
        <v/>
      </c>
      <c r="AH4419" s="199" t="str">
        <f>IF(G4419="","",IF(AND(COUNTIFS($J$18:J4419,J4419)=1,G4419&lt;&gt;""),1,""))</f>
        <v/>
      </c>
      <c r="AI4419" s="200">
        <f t="shared" si="1369"/>
        <v>0</v>
      </c>
      <c r="AJ4419" s="200">
        <f t="shared" si="1370"/>
        <v>0</v>
      </c>
      <c r="AK4419" s="201" t="str">
        <f t="shared" si="1371"/>
        <v/>
      </c>
      <c r="AL4419" s="24"/>
      <c r="AM4419" s="24"/>
      <c r="AN4419" s="24"/>
      <c r="AO4419" s="24"/>
      <c r="AP4419" s="165" t="str">
        <f t="shared" si="1372"/>
        <v/>
      </c>
      <c r="AQ4419" s="203" t="str">
        <f t="shared" si="1373"/>
        <v/>
      </c>
      <c r="AR4419" s="206">
        <f t="shared" si="1374"/>
        <v>0</v>
      </c>
      <c r="AS4419" s="22" t="str">
        <f t="shared" si="1375"/>
        <v/>
      </c>
      <c r="AT4419" s="24" t="str">
        <f t="shared" si="1376"/>
        <v/>
      </c>
      <c r="AU4419" s="22" t="s">
        <v>3240</v>
      </c>
    </row>
    <row r="4420" spans="1:47">
      <c r="A4420" s="246" t="str">
        <f t="shared" si="1364"/>
        <v/>
      </c>
      <c r="B4420" s="23"/>
      <c r="C4420" s="23"/>
      <c r="D4420" s="202" t="str">
        <f t="shared" si="1365"/>
        <v/>
      </c>
      <c r="E4420" s="33" t="str">
        <f t="shared" si="1359"/>
        <v/>
      </c>
      <c r="F4420" s="23"/>
      <c r="G4420" s="23"/>
      <c r="H4420" s="29"/>
      <c r="I4420" s="204" t="str">
        <f t="shared" si="1362"/>
        <v/>
      </c>
      <c r="J4420" s="188"/>
      <c r="K4420" s="29"/>
      <c r="L4420" s="24"/>
      <c r="M4420" s="22"/>
      <c r="N4420" s="22"/>
      <c r="O4420" s="22"/>
      <c r="P4420" s="202" t="str">
        <f t="shared" si="1363"/>
        <v/>
      </c>
      <c r="Q4420" s="22"/>
      <c r="R4420" s="22"/>
      <c r="S4420" s="22"/>
      <c r="T4420" s="22"/>
      <c r="U4420" s="22"/>
      <c r="V4420" s="22"/>
      <c r="W4420" s="22"/>
      <c r="X4420" s="104"/>
      <c r="Y4420" s="195" t="str">
        <f t="shared" si="1360"/>
        <v/>
      </c>
      <c r="Z4420" s="196" t="str">
        <f t="shared" si="1361"/>
        <v/>
      </c>
      <c r="AA4420" s="22"/>
      <c r="AB4420" s="197" t="str">
        <f t="shared" si="1366"/>
        <v/>
      </c>
      <c r="AC4420" s="198" t="str">
        <f t="shared" si="1367"/>
        <v/>
      </c>
      <c r="AD4420" s="162"/>
      <c r="AE4420" s="199" t="str">
        <f t="shared" si="1368"/>
        <v/>
      </c>
      <c r="AF4420" s="199" t="str">
        <f>IF(AND(COUNTIFS($J$18:J4420,J4420)=1,AE4420=1),1,"")</f>
        <v/>
      </c>
      <c r="AG4420" s="199" t="str">
        <f>IF(C4420="","",IF(AND(COUNTIFS($J$18:J4420,J4420)=1,C4420&lt;&gt;""),1,""))</f>
        <v/>
      </c>
      <c r="AH4420" s="199" t="str">
        <f>IF(G4420="","",IF(AND(COUNTIFS($J$18:J4420,J4420)=1,G4420&lt;&gt;""),1,""))</f>
        <v/>
      </c>
      <c r="AI4420" s="200">
        <f t="shared" si="1369"/>
        <v>0</v>
      </c>
      <c r="AJ4420" s="200">
        <f t="shared" si="1370"/>
        <v>0</v>
      </c>
      <c r="AK4420" s="201" t="str">
        <f t="shared" si="1371"/>
        <v/>
      </c>
      <c r="AL4420" s="24"/>
      <c r="AM4420" s="24"/>
      <c r="AN4420" s="24"/>
      <c r="AO4420" s="24"/>
      <c r="AP4420" s="165" t="str">
        <f t="shared" si="1372"/>
        <v/>
      </c>
      <c r="AQ4420" s="203" t="str">
        <f t="shared" si="1373"/>
        <v/>
      </c>
      <c r="AR4420" s="206">
        <f t="shared" si="1374"/>
        <v>0</v>
      </c>
      <c r="AS4420" s="22" t="str">
        <f t="shared" si="1375"/>
        <v/>
      </c>
      <c r="AT4420" s="24" t="str">
        <f t="shared" si="1376"/>
        <v/>
      </c>
      <c r="AU4420" s="22" t="s">
        <v>3240</v>
      </c>
    </row>
    <row r="4421" spans="1:47">
      <c r="A4421" s="246" t="str">
        <f t="shared" si="1364"/>
        <v/>
      </c>
      <c r="B4421" s="23"/>
      <c r="C4421" s="23"/>
      <c r="D4421" s="202" t="str">
        <f t="shared" si="1365"/>
        <v/>
      </c>
      <c r="E4421" s="33" t="str">
        <f t="shared" si="1359"/>
        <v/>
      </c>
      <c r="F4421" s="23"/>
      <c r="G4421" s="23"/>
      <c r="H4421" s="29"/>
      <c r="I4421" s="204" t="str">
        <f t="shared" si="1362"/>
        <v/>
      </c>
      <c r="J4421" s="188"/>
      <c r="K4421" s="29"/>
      <c r="L4421" s="24"/>
      <c r="M4421" s="22"/>
      <c r="N4421" s="22"/>
      <c r="O4421" s="22"/>
      <c r="P4421" s="202" t="str">
        <f t="shared" si="1363"/>
        <v/>
      </c>
      <c r="Q4421" s="22"/>
      <c r="R4421" s="22"/>
      <c r="S4421" s="22"/>
      <c r="T4421" s="22"/>
      <c r="U4421" s="22"/>
      <c r="V4421" s="22"/>
      <c r="W4421" s="22"/>
      <c r="X4421" s="104"/>
      <c r="Y4421" s="195" t="str">
        <f t="shared" si="1360"/>
        <v/>
      </c>
      <c r="Z4421" s="196" t="str">
        <f t="shared" si="1361"/>
        <v/>
      </c>
      <c r="AA4421" s="22"/>
      <c r="AB4421" s="197" t="str">
        <f t="shared" si="1366"/>
        <v/>
      </c>
      <c r="AC4421" s="198" t="str">
        <f t="shared" si="1367"/>
        <v/>
      </c>
      <c r="AD4421" s="162"/>
      <c r="AE4421" s="199" t="str">
        <f t="shared" si="1368"/>
        <v/>
      </c>
      <c r="AF4421" s="199" t="str">
        <f>IF(AND(COUNTIFS($J$18:J4421,J4421)=1,AE4421=1),1,"")</f>
        <v/>
      </c>
      <c r="AG4421" s="199" t="str">
        <f>IF(C4421="","",IF(AND(COUNTIFS($J$18:J4421,J4421)=1,C4421&lt;&gt;""),1,""))</f>
        <v/>
      </c>
      <c r="AH4421" s="199" t="str">
        <f>IF(G4421="","",IF(AND(COUNTIFS($J$18:J4421,J4421)=1,G4421&lt;&gt;""),1,""))</f>
        <v/>
      </c>
      <c r="AI4421" s="200">
        <f t="shared" si="1369"/>
        <v>0</v>
      </c>
      <c r="AJ4421" s="200">
        <f t="shared" si="1370"/>
        <v>0</v>
      </c>
      <c r="AK4421" s="201" t="str">
        <f t="shared" si="1371"/>
        <v/>
      </c>
      <c r="AL4421" s="24"/>
      <c r="AM4421" s="24"/>
      <c r="AN4421" s="24"/>
      <c r="AO4421" s="24"/>
      <c r="AP4421" s="165" t="str">
        <f t="shared" si="1372"/>
        <v/>
      </c>
      <c r="AQ4421" s="203" t="str">
        <f t="shared" si="1373"/>
        <v/>
      </c>
      <c r="AR4421" s="206">
        <f t="shared" si="1374"/>
        <v>0</v>
      </c>
      <c r="AS4421" s="22" t="str">
        <f t="shared" si="1375"/>
        <v/>
      </c>
      <c r="AT4421" s="24" t="str">
        <f t="shared" si="1376"/>
        <v/>
      </c>
      <c r="AU4421" s="22" t="s">
        <v>3240</v>
      </c>
    </row>
    <row r="4422" spans="1:47">
      <c r="A4422" s="246" t="str">
        <f t="shared" si="1364"/>
        <v/>
      </c>
      <c r="B4422" s="23"/>
      <c r="C4422" s="23"/>
      <c r="D4422" s="202" t="str">
        <f t="shared" si="1365"/>
        <v/>
      </c>
      <c r="E4422" s="33" t="str">
        <f t="shared" si="1359"/>
        <v/>
      </c>
      <c r="F4422" s="23"/>
      <c r="G4422" s="23"/>
      <c r="H4422" s="29"/>
      <c r="I4422" s="204" t="str">
        <f t="shared" si="1362"/>
        <v/>
      </c>
      <c r="J4422" s="188"/>
      <c r="K4422" s="29"/>
      <c r="L4422" s="24"/>
      <c r="M4422" s="22"/>
      <c r="N4422" s="22"/>
      <c r="O4422" s="22"/>
      <c r="P4422" s="202" t="str">
        <f t="shared" si="1363"/>
        <v/>
      </c>
      <c r="Q4422" s="22"/>
      <c r="R4422" s="22"/>
      <c r="S4422" s="22"/>
      <c r="T4422" s="22"/>
      <c r="U4422" s="22"/>
      <c r="V4422" s="22"/>
      <c r="W4422" s="22"/>
      <c r="X4422" s="104"/>
      <c r="Y4422" s="195" t="str">
        <f t="shared" si="1360"/>
        <v/>
      </c>
      <c r="Z4422" s="196" t="str">
        <f t="shared" si="1361"/>
        <v/>
      </c>
      <c r="AA4422" s="22"/>
      <c r="AB4422" s="197" t="str">
        <f t="shared" si="1366"/>
        <v/>
      </c>
      <c r="AC4422" s="198" t="str">
        <f t="shared" si="1367"/>
        <v/>
      </c>
      <c r="AD4422" s="162"/>
      <c r="AE4422" s="199" t="str">
        <f t="shared" si="1368"/>
        <v/>
      </c>
      <c r="AF4422" s="199" t="str">
        <f>IF(AND(COUNTIFS($J$18:J4422,J4422)=1,AE4422=1),1,"")</f>
        <v/>
      </c>
      <c r="AG4422" s="199" t="str">
        <f>IF(C4422="","",IF(AND(COUNTIFS($J$18:J4422,J4422)=1,C4422&lt;&gt;""),1,""))</f>
        <v/>
      </c>
      <c r="AH4422" s="199" t="str">
        <f>IF(G4422="","",IF(AND(COUNTIFS($J$18:J4422,J4422)=1,G4422&lt;&gt;""),1,""))</f>
        <v/>
      </c>
      <c r="AI4422" s="200">
        <f t="shared" si="1369"/>
        <v>0</v>
      </c>
      <c r="AJ4422" s="200">
        <f t="shared" si="1370"/>
        <v>0</v>
      </c>
      <c r="AK4422" s="201" t="str">
        <f t="shared" si="1371"/>
        <v/>
      </c>
      <c r="AL4422" s="24"/>
      <c r="AM4422" s="24"/>
      <c r="AN4422" s="24"/>
      <c r="AO4422" s="24"/>
      <c r="AP4422" s="165" t="str">
        <f t="shared" si="1372"/>
        <v/>
      </c>
      <c r="AQ4422" s="203" t="str">
        <f t="shared" si="1373"/>
        <v/>
      </c>
      <c r="AR4422" s="206">
        <f t="shared" si="1374"/>
        <v>0</v>
      </c>
      <c r="AS4422" s="22" t="str">
        <f t="shared" si="1375"/>
        <v/>
      </c>
      <c r="AT4422" s="24" t="str">
        <f t="shared" si="1376"/>
        <v/>
      </c>
      <c r="AU4422" s="22" t="s">
        <v>3240</v>
      </c>
    </row>
    <row r="4423" spans="1:47">
      <c r="A4423" s="246" t="str">
        <f t="shared" si="1364"/>
        <v/>
      </c>
      <c r="B4423" s="23"/>
      <c r="C4423" s="23"/>
      <c r="D4423" s="202" t="str">
        <f t="shared" si="1365"/>
        <v/>
      </c>
      <c r="E4423" s="33" t="str">
        <f t="shared" si="1359"/>
        <v/>
      </c>
      <c r="F4423" s="23"/>
      <c r="G4423" s="23"/>
      <c r="H4423" s="29"/>
      <c r="I4423" s="204" t="str">
        <f t="shared" si="1362"/>
        <v/>
      </c>
      <c r="J4423" s="188"/>
      <c r="K4423" s="29"/>
      <c r="L4423" s="24"/>
      <c r="M4423" s="22"/>
      <c r="N4423" s="22"/>
      <c r="O4423" s="22"/>
      <c r="P4423" s="202" t="str">
        <f t="shared" si="1363"/>
        <v/>
      </c>
      <c r="Q4423" s="22"/>
      <c r="R4423" s="22"/>
      <c r="S4423" s="22"/>
      <c r="T4423" s="22"/>
      <c r="U4423" s="22"/>
      <c r="V4423" s="22"/>
      <c r="W4423" s="22"/>
      <c r="X4423" s="104"/>
      <c r="Y4423" s="195" t="str">
        <f t="shared" si="1360"/>
        <v/>
      </c>
      <c r="Z4423" s="196" t="str">
        <f t="shared" si="1361"/>
        <v/>
      </c>
      <c r="AA4423" s="22"/>
      <c r="AB4423" s="197" t="str">
        <f t="shared" si="1366"/>
        <v/>
      </c>
      <c r="AC4423" s="198" t="str">
        <f t="shared" si="1367"/>
        <v/>
      </c>
      <c r="AD4423" s="162"/>
      <c r="AE4423" s="199" t="str">
        <f t="shared" si="1368"/>
        <v/>
      </c>
      <c r="AF4423" s="199" t="str">
        <f>IF(AND(COUNTIFS($J$18:J4423,J4423)=1,AE4423=1),1,"")</f>
        <v/>
      </c>
      <c r="AG4423" s="199" t="str">
        <f>IF(C4423="","",IF(AND(COUNTIFS($J$18:J4423,J4423)=1,C4423&lt;&gt;""),1,""))</f>
        <v/>
      </c>
      <c r="AH4423" s="199" t="str">
        <f>IF(G4423="","",IF(AND(COUNTIFS($J$18:J4423,J4423)=1,G4423&lt;&gt;""),1,""))</f>
        <v/>
      </c>
      <c r="AI4423" s="200">
        <f t="shared" si="1369"/>
        <v>0</v>
      </c>
      <c r="AJ4423" s="200">
        <f t="shared" si="1370"/>
        <v>0</v>
      </c>
      <c r="AK4423" s="201" t="str">
        <f t="shared" si="1371"/>
        <v/>
      </c>
      <c r="AL4423" s="24"/>
      <c r="AM4423" s="24"/>
      <c r="AN4423" s="24"/>
      <c r="AO4423" s="24"/>
      <c r="AP4423" s="165" t="str">
        <f t="shared" si="1372"/>
        <v/>
      </c>
      <c r="AQ4423" s="203" t="str">
        <f t="shared" si="1373"/>
        <v/>
      </c>
      <c r="AR4423" s="206">
        <f t="shared" si="1374"/>
        <v>0</v>
      </c>
      <c r="AS4423" s="22" t="str">
        <f t="shared" si="1375"/>
        <v/>
      </c>
      <c r="AT4423" s="24" t="str">
        <f t="shared" si="1376"/>
        <v/>
      </c>
      <c r="AU4423" s="22" t="s">
        <v>3240</v>
      </c>
    </row>
    <row r="4424" spans="1:47">
      <c r="A4424" s="246" t="str">
        <f t="shared" si="1364"/>
        <v/>
      </c>
      <c r="B4424" s="23"/>
      <c r="C4424" s="23"/>
      <c r="D4424" s="202" t="str">
        <f t="shared" si="1365"/>
        <v/>
      </c>
      <c r="E4424" s="33" t="str">
        <f t="shared" si="1359"/>
        <v/>
      </c>
      <c r="F4424" s="23"/>
      <c r="G4424" s="23"/>
      <c r="H4424" s="29"/>
      <c r="I4424" s="204" t="str">
        <f t="shared" si="1362"/>
        <v/>
      </c>
      <c r="J4424" s="188"/>
      <c r="K4424" s="29"/>
      <c r="L4424" s="24"/>
      <c r="M4424" s="22"/>
      <c r="N4424" s="22"/>
      <c r="O4424" s="22"/>
      <c r="P4424" s="202" t="str">
        <f t="shared" si="1363"/>
        <v/>
      </c>
      <c r="Q4424" s="22"/>
      <c r="R4424" s="22"/>
      <c r="S4424" s="22"/>
      <c r="T4424" s="22"/>
      <c r="U4424" s="22"/>
      <c r="V4424" s="22"/>
      <c r="W4424" s="22"/>
      <c r="X4424" s="104"/>
      <c r="Y4424" s="195" t="str">
        <f t="shared" si="1360"/>
        <v/>
      </c>
      <c r="Z4424" s="196" t="str">
        <f t="shared" si="1361"/>
        <v/>
      </c>
      <c r="AA4424" s="22"/>
      <c r="AB4424" s="197" t="str">
        <f t="shared" si="1366"/>
        <v/>
      </c>
      <c r="AC4424" s="198" t="str">
        <f t="shared" si="1367"/>
        <v/>
      </c>
      <c r="AD4424" s="162"/>
      <c r="AE4424" s="199" t="str">
        <f t="shared" si="1368"/>
        <v/>
      </c>
      <c r="AF4424" s="199" t="str">
        <f>IF(AND(COUNTIFS($J$18:J4424,J4424)=1,AE4424=1),1,"")</f>
        <v/>
      </c>
      <c r="AG4424" s="199" t="str">
        <f>IF(C4424="","",IF(AND(COUNTIFS($J$18:J4424,J4424)=1,C4424&lt;&gt;""),1,""))</f>
        <v/>
      </c>
      <c r="AH4424" s="199" t="str">
        <f>IF(G4424="","",IF(AND(COUNTIFS($J$18:J4424,J4424)=1,G4424&lt;&gt;""),1,""))</f>
        <v/>
      </c>
      <c r="AI4424" s="200">
        <f t="shared" si="1369"/>
        <v>0</v>
      </c>
      <c r="AJ4424" s="200">
        <f t="shared" si="1370"/>
        <v>0</v>
      </c>
      <c r="AK4424" s="201" t="str">
        <f t="shared" si="1371"/>
        <v/>
      </c>
      <c r="AL4424" s="24"/>
      <c r="AM4424" s="24"/>
      <c r="AN4424" s="24"/>
      <c r="AO4424" s="24"/>
      <c r="AP4424" s="165" t="str">
        <f t="shared" si="1372"/>
        <v/>
      </c>
      <c r="AQ4424" s="203" t="str">
        <f t="shared" si="1373"/>
        <v/>
      </c>
      <c r="AR4424" s="206">
        <f t="shared" si="1374"/>
        <v>0</v>
      </c>
      <c r="AS4424" s="22" t="str">
        <f t="shared" si="1375"/>
        <v/>
      </c>
      <c r="AT4424" s="24" t="str">
        <f t="shared" si="1376"/>
        <v/>
      </c>
      <c r="AU4424" s="22" t="s">
        <v>3240</v>
      </c>
    </row>
    <row r="4425" spans="1:47">
      <c r="A4425" s="246" t="str">
        <f t="shared" si="1364"/>
        <v/>
      </c>
      <c r="B4425" s="23"/>
      <c r="C4425" s="23"/>
      <c r="D4425" s="202" t="str">
        <f t="shared" si="1365"/>
        <v/>
      </c>
      <c r="E4425" s="33" t="str">
        <f t="shared" si="1359"/>
        <v/>
      </c>
      <c r="F4425" s="23"/>
      <c r="G4425" s="23"/>
      <c r="H4425" s="29"/>
      <c r="I4425" s="204" t="str">
        <f t="shared" si="1362"/>
        <v/>
      </c>
      <c r="J4425" s="188"/>
      <c r="K4425" s="29"/>
      <c r="L4425" s="24"/>
      <c r="M4425" s="22"/>
      <c r="N4425" s="22"/>
      <c r="O4425" s="22"/>
      <c r="P4425" s="202" t="str">
        <f t="shared" si="1363"/>
        <v/>
      </c>
      <c r="Q4425" s="22"/>
      <c r="R4425" s="22"/>
      <c r="S4425" s="22"/>
      <c r="T4425" s="22"/>
      <c r="U4425" s="22"/>
      <c r="V4425" s="22"/>
      <c r="W4425" s="22"/>
      <c r="X4425" s="104"/>
      <c r="Y4425" s="195" t="str">
        <f t="shared" si="1360"/>
        <v/>
      </c>
      <c r="Z4425" s="196" t="str">
        <f t="shared" si="1361"/>
        <v/>
      </c>
      <c r="AA4425" s="22"/>
      <c r="AB4425" s="197" t="str">
        <f t="shared" si="1366"/>
        <v/>
      </c>
      <c r="AC4425" s="198" t="str">
        <f t="shared" si="1367"/>
        <v/>
      </c>
      <c r="AD4425" s="162"/>
      <c r="AE4425" s="199" t="str">
        <f t="shared" si="1368"/>
        <v/>
      </c>
      <c r="AF4425" s="199" t="str">
        <f>IF(AND(COUNTIFS($J$18:J4425,J4425)=1,AE4425=1),1,"")</f>
        <v/>
      </c>
      <c r="AG4425" s="199" t="str">
        <f>IF(C4425="","",IF(AND(COUNTIFS($J$18:J4425,J4425)=1,C4425&lt;&gt;""),1,""))</f>
        <v/>
      </c>
      <c r="AH4425" s="199" t="str">
        <f>IF(G4425="","",IF(AND(COUNTIFS($J$18:J4425,J4425)=1,G4425&lt;&gt;""),1,""))</f>
        <v/>
      </c>
      <c r="AI4425" s="200">
        <f t="shared" si="1369"/>
        <v>0</v>
      </c>
      <c r="AJ4425" s="200">
        <f t="shared" si="1370"/>
        <v>0</v>
      </c>
      <c r="AK4425" s="201" t="str">
        <f t="shared" si="1371"/>
        <v/>
      </c>
      <c r="AL4425" s="24"/>
      <c r="AM4425" s="24"/>
      <c r="AN4425" s="24"/>
      <c r="AO4425" s="24"/>
      <c r="AP4425" s="165" t="str">
        <f t="shared" si="1372"/>
        <v/>
      </c>
      <c r="AQ4425" s="203" t="str">
        <f t="shared" si="1373"/>
        <v/>
      </c>
      <c r="AR4425" s="206">
        <f t="shared" si="1374"/>
        <v>0</v>
      </c>
      <c r="AS4425" s="22" t="str">
        <f t="shared" si="1375"/>
        <v/>
      </c>
      <c r="AT4425" s="24" t="str">
        <f t="shared" si="1376"/>
        <v/>
      </c>
      <c r="AU4425" s="22" t="s">
        <v>3240</v>
      </c>
    </row>
    <row r="4426" spans="1:47">
      <c r="A4426" s="246" t="str">
        <f t="shared" si="1364"/>
        <v/>
      </c>
      <c r="B4426" s="23"/>
      <c r="C4426" s="23"/>
      <c r="D4426" s="202" t="str">
        <f t="shared" si="1365"/>
        <v/>
      </c>
      <c r="E4426" s="33" t="str">
        <f t="shared" si="1359"/>
        <v/>
      </c>
      <c r="F4426" s="23"/>
      <c r="G4426" s="23"/>
      <c r="H4426" s="29"/>
      <c r="I4426" s="204" t="str">
        <f t="shared" si="1362"/>
        <v/>
      </c>
      <c r="J4426" s="188"/>
      <c r="K4426" s="29"/>
      <c r="L4426" s="24"/>
      <c r="M4426" s="22"/>
      <c r="N4426" s="22"/>
      <c r="O4426" s="22"/>
      <c r="P4426" s="202" t="str">
        <f t="shared" si="1363"/>
        <v/>
      </c>
      <c r="Q4426" s="22"/>
      <c r="R4426" s="22"/>
      <c r="S4426" s="22"/>
      <c r="T4426" s="22"/>
      <c r="U4426" s="22"/>
      <c r="V4426" s="22"/>
      <c r="W4426" s="22"/>
      <c r="X4426" s="104"/>
      <c r="Y4426" s="195" t="str">
        <f t="shared" si="1360"/>
        <v/>
      </c>
      <c r="Z4426" s="196" t="str">
        <f t="shared" si="1361"/>
        <v/>
      </c>
      <c r="AA4426" s="22"/>
      <c r="AB4426" s="197" t="str">
        <f t="shared" si="1366"/>
        <v/>
      </c>
      <c r="AC4426" s="198" t="str">
        <f t="shared" si="1367"/>
        <v/>
      </c>
      <c r="AD4426" s="162"/>
      <c r="AE4426" s="199" t="str">
        <f t="shared" si="1368"/>
        <v/>
      </c>
      <c r="AF4426" s="199" t="str">
        <f>IF(AND(COUNTIFS($J$18:J4426,J4426)=1,AE4426=1),1,"")</f>
        <v/>
      </c>
      <c r="AG4426" s="199" t="str">
        <f>IF(C4426="","",IF(AND(COUNTIFS($J$18:J4426,J4426)=1,C4426&lt;&gt;""),1,""))</f>
        <v/>
      </c>
      <c r="AH4426" s="199" t="str">
        <f>IF(G4426="","",IF(AND(COUNTIFS($J$18:J4426,J4426)=1,G4426&lt;&gt;""),1,""))</f>
        <v/>
      </c>
      <c r="AI4426" s="200">
        <f t="shared" si="1369"/>
        <v>0</v>
      </c>
      <c r="AJ4426" s="200">
        <f t="shared" si="1370"/>
        <v>0</v>
      </c>
      <c r="AK4426" s="201" t="str">
        <f t="shared" si="1371"/>
        <v/>
      </c>
      <c r="AL4426" s="24"/>
      <c r="AM4426" s="24"/>
      <c r="AN4426" s="24"/>
      <c r="AO4426" s="24"/>
      <c r="AP4426" s="165" t="str">
        <f t="shared" si="1372"/>
        <v/>
      </c>
      <c r="AQ4426" s="203" t="str">
        <f t="shared" si="1373"/>
        <v/>
      </c>
      <c r="AR4426" s="206">
        <f t="shared" si="1374"/>
        <v>0</v>
      </c>
      <c r="AS4426" s="22" t="str">
        <f t="shared" si="1375"/>
        <v/>
      </c>
      <c r="AT4426" s="24" t="str">
        <f t="shared" si="1376"/>
        <v/>
      </c>
      <c r="AU4426" s="22" t="s">
        <v>3240</v>
      </c>
    </row>
    <row r="4427" spans="1:47">
      <c r="A4427" s="246" t="str">
        <f t="shared" si="1364"/>
        <v/>
      </c>
      <c r="B4427" s="23"/>
      <c r="C4427" s="23"/>
      <c r="D4427" s="202" t="str">
        <f t="shared" si="1365"/>
        <v/>
      </c>
      <c r="E4427" s="33" t="str">
        <f t="shared" si="1359"/>
        <v/>
      </c>
      <c r="F4427" s="23"/>
      <c r="G4427" s="23"/>
      <c r="H4427" s="29"/>
      <c r="I4427" s="204" t="str">
        <f t="shared" si="1362"/>
        <v/>
      </c>
      <c r="J4427" s="188"/>
      <c r="K4427" s="29"/>
      <c r="L4427" s="24"/>
      <c r="M4427" s="22"/>
      <c r="N4427" s="22"/>
      <c r="O4427" s="22"/>
      <c r="P4427" s="202" t="str">
        <f t="shared" si="1363"/>
        <v/>
      </c>
      <c r="Q4427" s="22"/>
      <c r="R4427" s="22"/>
      <c r="S4427" s="22"/>
      <c r="T4427" s="22"/>
      <c r="U4427" s="22"/>
      <c r="V4427" s="22"/>
      <c r="W4427" s="22"/>
      <c r="X4427" s="104"/>
      <c r="Y4427" s="195" t="str">
        <f t="shared" si="1360"/>
        <v/>
      </c>
      <c r="Z4427" s="196" t="str">
        <f t="shared" si="1361"/>
        <v/>
      </c>
      <c r="AA4427" s="22"/>
      <c r="AB4427" s="197" t="str">
        <f t="shared" si="1366"/>
        <v/>
      </c>
      <c r="AC4427" s="198" t="str">
        <f t="shared" si="1367"/>
        <v/>
      </c>
      <c r="AD4427" s="162"/>
      <c r="AE4427" s="199" t="str">
        <f t="shared" si="1368"/>
        <v/>
      </c>
      <c r="AF4427" s="199" t="str">
        <f>IF(AND(COUNTIFS($J$18:J4427,J4427)=1,AE4427=1),1,"")</f>
        <v/>
      </c>
      <c r="AG4427" s="199" t="str">
        <f>IF(C4427="","",IF(AND(COUNTIFS($J$18:J4427,J4427)=1,C4427&lt;&gt;""),1,""))</f>
        <v/>
      </c>
      <c r="AH4427" s="199" t="str">
        <f>IF(G4427="","",IF(AND(COUNTIFS($J$18:J4427,J4427)=1,G4427&lt;&gt;""),1,""))</f>
        <v/>
      </c>
      <c r="AI4427" s="200">
        <f t="shared" si="1369"/>
        <v>0</v>
      </c>
      <c r="AJ4427" s="200">
        <f t="shared" si="1370"/>
        <v>0</v>
      </c>
      <c r="AK4427" s="201" t="str">
        <f t="shared" si="1371"/>
        <v/>
      </c>
      <c r="AL4427" s="24"/>
      <c r="AM4427" s="24"/>
      <c r="AN4427" s="24"/>
      <c r="AO4427" s="24"/>
      <c r="AP4427" s="165" t="str">
        <f t="shared" si="1372"/>
        <v/>
      </c>
      <c r="AQ4427" s="203" t="str">
        <f t="shared" si="1373"/>
        <v/>
      </c>
      <c r="AR4427" s="206">
        <f t="shared" si="1374"/>
        <v>0</v>
      </c>
      <c r="AS4427" s="22" t="str">
        <f t="shared" si="1375"/>
        <v/>
      </c>
      <c r="AT4427" s="24" t="str">
        <f t="shared" si="1376"/>
        <v/>
      </c>
      <c r="AU4427" s="22" t="s">
        <v>3240</v>
      </c>
    </row>
    <row r="4428" spans="1:47">
      <c r="A4428" s="246" t="str">
        <f t="shared" si="1364"/>
        <v/>
      </c>
      <c r="B4428" s="23"/>
      <c r="C4428" s="23"/>
      <c r="D4428" s="202" t="str">
        <f t="shared" si="1365"/>
        <v/>
      </c>
      <c r="E4428" s="33" t="str">
        <f t="shared" si="1359"/>
        <v/>
      </c>
      <c r="F4428" s="23"/>
      <c r="G4428" s="23"/>
      <c r="H4428" s="29"/>
      <c r="I4428" s="204" t="str">
        <f t="shared" si="1362"/>
        <v/>
      </c>
      <c r="J4428" s="188"/>
      <c r="K4428" s="29"/>
      <c r="L4428" s="24"/>
      <c r="M4428" s="22"/>
      <c r="N4428" s="22"/>
      <c r="O4428" s="22"/>
      <c r="P4428" s="202" t="str">
        <f t="shared" si="1363"/>
        <v/>
      </c>
      <c r="Q4428" s="22"/>
      <c r="R4428" s="22"/>
      <c r="S4428" s="22"/>
      <c r="T4428" s="22"/>
      <c r="U4428" s="22"/>
      <c r="V4428" s="22"/>
      <c r="W4428" s="22"/>
      <c r="X4428" s="104"/>
      <c r="Y4428" s="195" t="str">
        <f t="shared" si="1360"/>
        <v/>
      </c>
      <c r="Z4428" s="196" t="str">
        <f t="shared" si="1361"/>
        <v/>
      </c>
      <c r="AA4428" s="22"/>
      <c r="AB4428" s="197" t="str">
        <f t="shared" si="1366"/>
        <v/>
      </c>
      <c r="AC4428" s="198" t="str">
        <f t="shared" si="1367"/>
        <v/>
      </c>
      <c r="AD4428" s="162"/>
      <c r="AE4428" s="199" t="str">
        <f t="shared" si="1368"/>
        <v/>
      </c>
      <c r="AF4428" s="199" t="str">
        <f>IF(AND(COUNTIFS($J$18:J4428,J4428)=1,AE4428=1),1,"")</f>
        <v/>
      </c>
      <c r="AG4428" s="199" t="str">
        <f>IF(C4428="","",IF(AND(COUNTIFS($J$18:J4428,J4428)=1,C4428&lt;&gt;""),1,""))</f>
        <v/>
      </c>
      <c r="AH4428" s="199" t="str">
        <f>IF(G4428="","",IF(AND(COUNTIFS($J$18:J4428,J4428)=1,G4428&lt;&gt;""),1,""))</f>
        <v/>
      </c>
      <c r="AI4428" s="200">
        <f t="shared" si="1369"/>
        <v>0</v>
      </c>
      <c r="AJ4428" s="200">
        <f t="shared" si="1370"/>
        <v>0</v>
      </c>
      <c r="AK4428" s="201" t="str">
        <f t="shared" si="1371"/>
        <v/>
      </c>
      <c r="AL4428" s="24"/>
      <c r="AM4428" s="24"/>
      <c r="AN4428" s="24"/>
      <c r="AO4428" s="24"/>
      <c r="AP4428" s="165" t="str">
        <f t="shared" si="1372"/>
        <v/>
      </c>
      <c r="AQ4428" s="203" t="str">
        <f t="shared" si="1373"/>
        <v/>
      </c>
      <c r="AR4428" s="206">
        <f t="shared" si="1374"/>
        <v>0</v>
      </c>
      <c r="AS4428" s="22" t="str">
        <f t="shared" si="1375"/>
        <v/>
      </c>
      <c r="AT4428" s="24" t="str">
        <f t="shared" si="1376"/>
        <v/>
      </c>
      <c r="AU4428" s="22" t="s">
        <v>3240</v>
      </c>
    </row>
    <row r="4429" spans="1:47">
      <c r="A4429" s="246" t="str">
        <f t="shared" si="1364"/>
        <v/>
      </c>
      <c r="B4429" s="23"/>
      <c r="C4429" s="23"/>
      <c r="D4429" s="202" t="str">
        <f t="shared" si="1365"/>
        <v/>
      </c>
      <c r="E4429" s="33" t="str">
        <f t="shared" si="1359"/>
        <v/>
      </c>
      <c r="F4429" s="23"/>
      <c r="G4429" s="23"/>
      <c r="H4429" s="29"/>
      <c r="I4429" s="204" t="str">
        <f t="shared" si="1362"/>
        <v/>
      </c>
      <c r="J4429" s="188"/>
      <c r="K4429" s="29"/>
      <c r="L4429" s="24"/>
      <c r="M4429" s="22"/>
      <c r="N4429" s="22"/>
      <c r="O4429" s="22"/>
      <c r="P4429" s="202" t="str">
        <f t="shared" si="1363"/>
        <v/>
      </c>
      <c r="Q4429" s="22"/>
      <c r="R4429" s="22"/>
      <c r="S4429" s="22"/>
      <c r="T4429" s="22"/>
      <c r="U4429" s="22"/>
      <c r="V4429" s="22"/>
      <c r="W4429" s="22"/>
      <c r="X4429" s="104"/>
      <c r="Y4429" s="195" t="str">
        <f t="shared" si="1360"/>
        <v/>
      </c>
      <c r="Z4429" s="196" t="str">
        <f t="shared" si="1361"/>
        <v/>
      </c>
      <c r="AA4429" s="22"/>
      <c r="AB4429" s="197" t="str">
        <f t="shared" si="1366"/>
        <v/>
      </c>
      <c r="AC4429" s="198" t="str">
        <f t="shared" si="1367"/>
        <v/>
      </c>
      <c r="AD4429" s="162"/>
      <c r="AE4429" s="199" t="str">
        <f t="shared" si="1368"/>
        <v/>
      </c>
      <c r="AF4429" s="199" t="str">
        <f>IF(AND(COUNTIFS($J$18:J4429,J4429)=1,AE4429=1),1,"")</f>
        <v/>
      </c>
      <c r="AG4429" s="199" t="str">
        <f>IF(C4429="","",IF(AND(COUNTIFS($J$18:J4429,J4429)=1,C4429&lt;&gt;""),1,""))</f>
        <v/>
      </c>
      <c r="AH4429" s="199" t="str">
        <f>IF(G4429="","",IF(AND(COUNTIFS($J$18:J4429,J4429)=1,G4429&lt;&gt;""),1,""))</f>
        <v/>
      </c>
      <c r="AI4429" s="200">
        <f t="shared" si="1369"/>
        <v>0</v>
      </c>
      <c r="AJ4429" s="200">
        <f t="shared" si="1370"/>
        <v>0</v>
      </c>
      <c r="AK4429" s="201" t="str">
        <f t="shared" si="1371"/>
        <v/>
      </c>
      <c r="AL4429" s="24"/>
      <c r="AM4429" s="24"/>
      <c r="AN4429" s="24"/>
      <c r="AO4429" s="24"/>
      <c r="AP4429" s="165" t="str">
        <f t="shared" si="1372"/>
        <v/>
      </c>
      <c r="AQ4429" s="203" t="str">
        <f t="shared" si="1373"/>
        <v/>
      </c>
      <c r="AR4429" s="206">
        <f t="shared" si="1374"/>
        <v>0</v>
      </c>
      <c r="AS4429" s="22" t="str">
        <f t="shared" si="1375"/>
        <v/>
      </c>
      <c r="AT4429" s="24" t="str">
        <f t="shared" si="1376"/>
        <v/>
      </c>
      <c r="AU4429" s="22" t="s">
        <v>3240</v>
      </c>
    </row>
    <row r="4430" spans="1:47">
      <c r="A4430" s="246" t="str">
        <f t="shared" si="1364"/>
        <v/>
      </c>
      <c r="B4430" s="23"/>
      <c r="C4430" s="23"/>
      <c r="D4430" s="202" t="str">
        <f t="shared" si="1365"/>
        <v/>
      </c>
      <c r="E4430" s="33" t="str">
        <f t="shared" si="1359"/>
        <v/>
      </c>
      <c r="F4430" s="23"/>
      <c r="G4430" s="23"/>
      <c r="H4430" s="29"/>
      <c r="I4430" s="204" t="str">
        <f t="shared" si="1362"/>
        <v/>
      </c>
      <c r="J4430" s="188"/>
      <c r="K4430" s="29"/>
      <c r="L4430" s="24"/>
      <c r="M4430" s="22"/>
      <c r="N4430" s="22"/>
      <c r="O4430" s="22"/>
      <c r="P4430" s="202" t="str">
        <f t="shared" si="1363"/>
        <v/>
      </c>
      <c r="Q4430" s="22"/>
      <c r="R4430" s="22"/>
      <c r="S4430" s="22"/>
      <c r="T4430" s="22"/>
      <c r="U4430" s="22"/>
      <c r="V4430" s="22"/>
      <c r="W4430" s="22"/>
      <c r="X4430" s="104"/>
      <c r="Y4430" s="195" t="str">
        <f t="shared" si="1360"/>
        <v/>
      </c>
      <c r="Z4430" s="196" t="str">
        <f t="shared" si="1361"/>
        <v/>
      </c>
      <c r="AA4430" s="22"/>
      <c r="AB4430" s="197" t="str">
        <f t="shared" si="1366"/>
        <v/>
      </c>
      <c r="AC4430" s="198" t="str">
        <f t="shared" si="1367"/>
        <v/>
      </c>
      <c r="AD4430" s="162"/>
      <c r="AE4430" s="199" t="str">
        <f t="shared" si="1368"/>
        <v/>
      </c>
      <c r="AF4430" s="199" t="str">
        <f>IF(AND(COUNTIFS($J$18:J4430,J4430)=1,AE4430=1),1,"")</f>
        <v/>
      </c>
      <c r="AG4430" s="199" t="str">
        <f>IF(C4430="","",IF(AND(COUNTIFS($J$18:J4430,J4430)=1,C4430&lt;&gt;""),1,""))</f>
        <v/>
      </c>
      <c r="AH4430" s="199" t="str">
        <f>IF(G4430="","",IF(AND(COUNTIFS($J$18:J4430,J4430)=1,G4430&lt;&gt;""),1,""))</f>
        <v/>
      </c>
      <c r="AI4430" s="200">
        <f t="shared" si="1369"/>
        <v>0</v>
      </c>
      <c r="AJ4430" s="200">
        <f t="shared" si="1370"/>
        <v>0</v>
      </c>
      <c r="AK4430" s="201" t="str">
        <f t="shared" si="1371"/>
        <v/>
      </c>
      <c r="AL4430" s="24"/>
      <c r="AM4430" s="24"/>
      <c r="AN4430" s="24"/>
      <c r="AO4430" s="24"/>
      <c r="AP4430" s="165" t="str">
        <f t="shared" si="1372"/>
        <v/>
      </c>
      <c r="AQ4430" s="203" t="str">
        <f t="shared" si="1373"/>
        <v/>
      </c>
      <c r="AR4430" s="206">
        <f t="shared" si="1374"/>
        <v>0</v>
      </c>
      <c r="AS4430" s="22" t="str">
        <f t="shared" si="1375"/>
        <v/>
      </c>
      <c r="AT4430" s="24" t="str">
        <f t="shared" si="1376"/>
        <v/>
      </c>
      <c r="AU4430" s="22" t="s">
        <v>3240</v>
      </c>
    </row>
    <row r="4431" spans="1:47">
      <c r="A4431" s="246" t="str">
        <f t="shared" si="1364"/>
        <v/>
      </c>
      <c r="B4431" s="23"/>
      <c r="C4431" s="23"/>
      <c r="D4431" s="202" t="str">
        <f t="shared" si="1365"/>
        <v/>
      </c>
      <c r="E4431" s="33" t="str">
        <f t="shared" si="1359"/>
        <v/>
      </c>
      <c r="F4431" s="23"/>
      <c r="G4431" s="23"/>
      <c r="H4431" s="29"/>
      <c r="I4431" s="204" t="str">
        <f t="shared" si="1362"/>
        <v/>
      </c>
      <c r="J4431" s="188"/>
      <c r="K4431" s="29"/>
      <c r="L4431" s="24"/>
      <c r="M4431" s="22"/>
      <c r="N4431" s="22"/>
      <c r="O4431" s="22"/>
      <c r="P4431" s="202" t="str">
        <f t="shared" si="1363"/>
        <v/>
      </c>
      <c r="Q4431" s="22"/>
      <c r="R4431" s="22"/>
      <c r="S4431" s="22"/>
      <c r="T4431" s="22"/>
      <c r="U4431" s="22"/>
      <c r="V4431" s="22"/>
      <c r="W4431" s="22"/>
      <c r="X4431" s="104"/>
      <c r="Y4431" s="195" t="str">
        <f t="shared" si="1360"/>
        <v/>
      </c>
      <c r="Z4431" s="196" t="str">
        <f t="shared" si="1361"/>
        <v/>
      </c>
      <c r="AA4431" s="22"/>
      <c r="AB4431" s="197" t="str">
        <f t="shared" si="1366"/>
        <v/>
      </c>
      <c r="AC4431" s="198" t="str">
        <f t="shared" si="1367"/>
        <v/>
      </c>
      <c r="AD4431" s="162"/>
      <c r="AE4431" s="199" t="str">
        <f t="shared" si="1368"/>
        <v/>
      </c>
      <c r="AF4431" s="199" t="str">
        <f>IF(AND(COUNTIFS($J$18:J4431,J4431)=1,AE4431=1),1,"")</f>
        <v/>
      </c>
      <c r="AG4431" s="199" t="str">
        <f>IF(C4431="","",IF(AND(COUNTIFS($J$18:J4431,J4431)=1,C4431&lt;&gt;""),1,""))</f>
        <v/>
      </c>
      <c r="AH4431" s="199" t="str">
        <f>IF(G4431="","",IF(AND(COUNTIFS($J$18:J4431,J4431)=1,G4431&lt;&gt;""),1,""))</f>
        <v/>
      </c>
      <c r="AI4431" s="200">
        <f t="shared" si="1369"/>
        <v>0</v>
      </c>
      <c r="AJ4431" s="200">
        <f t="shared" si="1370"/>
        <v>0</v>
      </c>
      <c r="AK4431" s="201" t="str">
        <f t="shared" si="1371"/>
        <v/>
      </c>
      <c r="AL4431" s="24"/>
      <c r="AM4431" s="24"/>
      <c r="AN4431" s="24"/>
      <c r="AO4431" s="24"/>
      <c r="AP4431" s="165" t="str">
        <f t="shared" si="1372"/>
        <v/>
      </c>
      <c r="AQ4431" s="203" t="str">
        <f t="shared" si="1373"/>
        <v/>
      </c>
      <c r="AR4431" s="206">
        <f t="shared" si="1374"/>
        <v>0</v>
      </c>
      <c r="AS4431" s="22" t="str">
        <f t="shared" si="1375"/>
        <v/>
      </c>
      <c r="AT4431" s="24" t="str">
        <f t="shared" si="1376"/>
        <v/>
      </c>
      <c r="AU4431" s="22" t="s">
        <v>3240</v>
      </c>
    </row>
    <row r="4432" spans="1:47">
      <c r="A4432" s="246" t="str">
        <f t="shared" si="1364"/>
        <v/>
      </c>
      <c r="B4432" s="23"/>
      <c r="C4432" s="23"/>
      <c r="D4432" s="202" t="str">
        <f t="shared" si="1365"/>
        <v/>
      </c>
      <c r="E4432" s="33" t="str">
        <f t="shared" si="1359"/>
        <v/>
      </c>
      <c r="F4432" s="23"/>
      <c r="G4432" s="23"/>
      <c r="H4432" s="29"/>
      <c r="I4432" s="204" t="str">
        <f t="shared" si="1362"/>
        <v/>
      </c>
      <c r="J4432" s="188"/>
      <c r="K4432" s="29"/>
      <c r="L4432" s="24"/>
      <c r="M4432" s="22"/>
      <c r="N4432" s="22"/>
      <c r="O4432" s="22"/>
      <c r="P4432" s="202" t="str">
        <f t="shared" si="1363"/>
        <v/>
      </c>
      <c r="Q4432" s="22"/>
      <c r="R4432" s="22"/>
      <c r="S4432" s="22"/>
      <c r="T4432" s="22"/>
      <c r="U4432" s="22"/>
      <c r="V4432" s="22"/>
      <c r="W4432" s="22"/>
      <c r="X4432" s="104"/>
      <c r="Y4432" s="195" t="str">
        <f t="shared" si="1360"/>
        <v/>
      </c>
      <c r="Z4432" s="196" t="str">
        <f t="shared" si="1361"/>
        <v/>
      </c>
      <c r="AA4432" s="22"/>
      <c r="AB4432" s="197" t="str">
        <f t="shared" si="1366"/>
        <v/>
      </c>
      <c r="AC4432" s="198" t="str">
        <f t="shared" si="1367"/>
        <v/>
      </c>
      <c r="AD4432" s="162"/>
      <c r="AE4432" s="199" t="str">
        <f t="shared" si="1368"/>
        <v/>
      </c>
      <c r="AF4432" s="199" t="str">
        <f>IF(AND(COUNTIFS($J$18:J4432,J4432)=1,AE4432=1),1,"")</f>
        <v/>
      </c>
      <c r="AG4432" s="199" t="str">
        <f>IF(C4432="","",IF(AND(COUNTIFS($J$18:J4432,J4432)=1,C4432&lt;&gt;""),1,""))</f>
        <v/>
      </c>
      <c r="AH4432" s="199" t="str">
        <f>IF(G4432="","",IF(AND(COUNTIFS($J$18:J4432,J4432)=1,G4432&lt;&gt;""),1,""))</f>
        <v/>
      </c>
      <c r="AI4432" s="200">
        <f t="shared" si="1369"/>
        <v>0</v>
      </c>
      <c r="AJ4432" s="200">
        <f t="shared" si="1370"/>
        <v>0</v>
      </c>
      <c r="AK4432" s="201" t="str">
        <f t="shared" si="1371"/>
        <v/>
      </c>
      <c r="AL4432" s="24"/>
      <c r="AM4432" s="24"/>
      <c r="AN4432" s="24"/>
      <c r="AO4432" s="24"/>
      <c r="AP4432" s="165" t="str">
        <f t="shared" si="1372"/>
        <v/>
      </c>
      <c r="AQ4432" s="203" t="str">
        <f t="shared" si="1373"/>
        <v/>
      </c>
      <c r="AR4432" s="206">
        <f t="shared" si="1374"/>
        <v>0</v>
      </c>
      <c r="AS4432" s="22" t="str">
        <f t="shared" si="1375"/>
        <v/>
      </c>
      <c r="AT4432" s="24" t="str">
        <f t="shared" si="1376"/>
        <v/>
      </c>
      <c r="AU4432" s="22" t="s">
        <v>3240</v>
      </c>
    </row>
    <row r="4433" spans="1:47">
      <c r="A4433" s="246" t="str">
        <f t="shared" si="1364"/>
        <v/>
      </c>
      <c r="B4433" s="23"/>
      <c r="C4433" s="23"/>
      <c r="D4433" s="202" t="str">
        <f t="shared" si="1365"/>
        <v/>
      </c>
      <c r="E4433" s="33" t="str">
        <f t="shared" si="1359"/>
        <v/>
      </c>
      <c r="F4433" s="23"/>
      <c r="G4433" s="23"/>
      <c r="H4433" s="29"/>
      <c r="I4433" s="204" t="str">
        <f t="shared" si="1362"/>
        <v/>
      </c>
      <c r="J4433" s="188"/>
      <c r="K4433" s="29"/>
      <c r="L4433" s="24"/>
      <c r="M4433" s="22"/>
      <c r="N4433" s="22"/>
      <c r="O4433" s="22"/>
      <c r="P4433" s="202" t="str">
        <f t="shared" si="1363"/>
        <v/>
      </c>
      <c r="Q4433" s="22"/>
      <c r="R4433" s="22"/>
      <c r="S4433" s="22"/>
      <c r="T4433" s="22"/>
      <c r="U4433" s="22"/>
      <c r="V4433" s="22"/>
      <c r="W4433" s="22"/>
      <c r="X4433" s="104"/>
      <c r="Y4433" s="195" t="str">
        <f t="shared" si="1360"/>
        <v/>
      </c>
      <c r="Z4433" s="196" t="str">
        <f t="shared" si="1361"/>
        <v/>
      </c>
      <c r="AA4433" s="22"/>
      <c r="AB4433" s="197" t="str">
        <f t="shared" si="1366"/>
        <v/>
      </c>
      <c r="AC4433" s="198" t="str">
        <f t="shared" si="1367"/>
        <v/>
      </c>
      <c r="AD4433" s="162"/>
      <c r="AE4433" s="199" t="str">
        <f t="shared" si="1368"/>
        <v/>
      </c>
      <c r="AF4433" s="199" t="str">
        <f>IF(AND(COUNTIFS($J$18:J4433,J4433)=1,AE4433=1),1,"")</f>
        <v/>
      </c>
      <c r="AG4433" s="199" t="str">
        <f>IF(C4433="","",IF(AND(COUNTIFS($J$18:J4433,J4433)=1,C4433&lt;&gt;""),1,""))</f>
        <v/>
      </c>
      <c r="AH4433" s="199" t="str">
        <f>IF(G4433="","",IF(AND(COUNTIFS($J$18:J4433,J4433)=1,G4433&lt;&gt;""),1,""))</f>
        <v/>
      </c>
      <c r="AI4433" s="200">
        <f t="shared" si="1369"/>
        <v>0</v>
      </c>
      <c r="AJ4433" s="200">
        <f t="shared" si="1370"/>
        <v>0</v>
      </c>
      <c r="AK4433" s="201" t="str">
        <f t="shared" si="1371"/>
        <v/>
      </c>
      <c r="AL4433" s="24"/>
      <c r="AM4433" s="24"/>
      <c r="AN4433" s="24"/>
      <c r="AO4433" s="24"/>
      <c r="AP4433" s="165" t="str">
        <f t="shared" si="1372"/>
        <v/>
      </c>
      <c r="AQ4433" s="203" t="str">
        <f t="shared" si="1373"/>
        <v/>
      </c>
      <c r="AR4433" s="206">
        <f t="shared" si="1374"/>
        <v>0</v>
      </c>
      <c r="AS4433" s="22" t="str">
        <f t="shared" si="1375"/>
        <v/>
      </c>
      <c r="AT4433" s="24" t="str">
        <f t="shared" si="1376"/>
        <v/>
      </c>
      <c r="AU4433" s="22" t="s">
        <v>3240</v>
      </c>
    </row>
    <row r="4434" spans="1:47">
      <c r="A4434" s="246" t="str">
        <f t="shared" si="1364"/>
        <v/>
      </c>
      <c r="B4434" s="23"/>
      <c r="C4434" s="23"/>
      <c r="D4434" s="202" t="str">
        <f t="shared" si="1365"/>
        <v/>
      </c>
      <c r="E4434" s="33" t="str">
        <f t="shared" si="1359"/>
        <v/>
      </c>
      <c r="F4434" s="23"/>
      <c r="G4434" s="23"/>
      <c r="H4434" s="29"/>
      <c r="I4434" s="204" t="str">
        <f t="shared" si="1362"/>
        <v/>
      </c>
      <c r="J4434" s="188"/>
      <c r="K4434" s="29"/>
      <c r="L4434" s="24"/>
      <c r="M4434" s="22"/>
      <c r="N4434" s="22"/>
      <c r="O4434" s="22"/>
      <c r="P4434" s="202" t="str">
        <f t="shared" si="1363"/>
        <v/>
      </c>
      <c r="Q4434" s="22"/>
      <c r="R4434" s="22"/>
      <c r="S4434" s="22"/>
      <c r="T4434" s="22"/>
      <c r="U4434" s="22"/>
      <c r="V4434" s="22"/>
      <c r="W4434" s="22"/>
      <c r="X4434" s="104"/>
      <c r="Y4434" s="195" t="str">
        <f t="shared" si="1360"/>
        <v/>
      </c>
      <c r="Z4434" s="196" t="str">
        <f t="shared" si="1361"/>
        <v/>
      </c>
      <c r="AA4434" s="22"/>
      <c r="AB4434" s="197" t="str">
        <f t="shared" si="1366"/>
        <v/>
      </c>
      <c r="AC4434" s="198" t="str">
        <f t="shared" si="1367"/>
        <v/>
      </c>
      <c r="AD4434" s="162"/>
      <c r="AE4434" s="199" t="str">
        <f t="shared" si="1368"/>
        <v/>
      </c>
      <c r="AF4434" s="199" t="str">
        <f>IF(AND(COUNTIFS($J$18:J4434,J4434)=1,AE4434=1),1,"")</f>
        <v/>
      </c>
      <c r="AG4434" s="199" t="str">
        <f>IF(C4434="","",IF(AND(COUNTIFS($J$18:J4434,J4434)=1,C4434&lt;&gt;""),1,""))</f>
        <v/>
      </c>
      <c r="AH4434" s="199" t="str">
        <f>IF(G4434="","",IF(AND(COUNTIFS($J$18:J4434,J4434)=1,G4434&lt;&gt;""),1,""))</f>
        <v/>
      </c>
      <c r="AI4434" s="200">
        <f t="shared" si="1369"/>
        <v>0</v>
      </c>
      <c r="AJ4434" s="200">
        <f t="shared" si="1370"/>
        <v>0</v>
      </c>
      <c r="AK4434" s="201" t="str">
        <f t="shared" si="1371"/>
        <v/>
      </c>
      <c r="AL4434" s="24"/>
      <c r="AM4434" s="24"/>
      <c r="AN4434" s="24"/>
      <c r="AO4434" s="24"/>
      <c r="AP4434" s="165" t="str">
        <f t="shared" si="1372"/>
        <v/>
      </c>
      <c r="AQ4434" s="203" t="str">
        <f t="shared" si="1373"/>
        <v/>
      </c>
      <c r="AR4434" s="206">
        <f t="shared" si="1374"/>
        <v>0</v>
      </c>
      <c r="AS4434" s="22" t="str">
        <f t="shared" si="1375"/>
        <v/>
      </c>
      <c r="AT4434" s="24" t="str">
        <f t="shared" si="1376"/>
        <v/>
      </c>
      <c r="AU4434" s="22" t="s">
        <v>3240</v>
      </c>
    </row>
    <row r="4435" spans="1:47">
      <c r="A4435" s="246" t="str">
        <f t="shared" si="1364"/>
        <v/>
      </c>
      <c r="B4435" s="23"/>
      <c r="C4435" s="23"/>
      <c r="D4435" s="202" t="str">
        <f t="shared" si="1365"/>
        <v/>
      </c>
      <c r="E4435" s="33" t="str">
        <f t="shared" si="1359"/>
        <v/>
      </c>
      <c r="F4435" s="23"/>
      <c r="G4435" s="23"/>
      <c r="H4435" s="29"/>
      <c r="I4435" s="204" t="str">
        <f t="shared" si="1362"/>
        <v/>
      </c>
      <c r="J4435" s="188"/>
      <c r="K4435" s="29"/>
      <c r="L4435" s="24"/>
      <c r="M4435" s="22"/>
      <c r="N4435" s="22"/>
      <c r="O4435" s="22"/>
      <c r="P4435" s="202" t="str">
        <f t="shared" si="1363"/>
        <v/>
      </c>
      <c r="Q4435" s="22"/>
      <c r="R4435" s="22"/>
      <c r="S4435" s="22"/>
      <c r="T4435" s="22"/>
      <c r="U4435" s="22"/>
      <c r="V4435" s="22"/>
      <c r="W4435" s="22"/>
      <c r="X4435" s="104"/>
      <c r="Y4435" s="195" t="str">
        <f t="shared" si="1360"/>
        <v/>
      </c>
      <c r="Z4435" s="196" t="str">
        <f t="shared" si="1361"/>
        <v/>
      </c>
      <c r="AA4435" s="22"/>
      <c r="AB4435" s="197" t="str">
        <f t="shared" si="1366"/>
        <v/>
      </c>
      <c r="AC4435" s="198" t="str">
        <f t="shared" si="1367"/>
        <v/>
      </c>
      <c r="AD4435" s="162"/>
      <c r="AE4435" s="199" t="str">
        <f t="shared" si="1368"/>
        <v/>
      </c>
      <c r="AF4435" s="199" t="str">
        <f>IF(AND(COUNTIFS($J$18:J4435,J4435)=1,AE4435=1),1,"")</f>
        <v/>
      </c>
      <c r="AG4435" s="199" t="str">
        <f>IF(C4435="","",IF(AND(COUNTIFS($J$18:J4435,J4435)=1,C4435&lt;&gt;""),1,""))</f>
        <v/>
      </c>
      <c r="AH4435" s="199" t="str">
        <f>IF(G4435="","",IF(AND(COUNTIFS($J$18:J4435,J4435)=1,G4435&lt;&gt;""),1,""))</f>
        <v/>
      </c>
      <c r="AI4435" s="200">
        <f t="shared" si="1369"/>
        <v>0</v>
      </c>
      <c r="AJ4435" s="200">
        <f t="shared" si="1370"/>
        <v>0</v>
      </c>
      <c r="AK4435" s="201" t="str">
        <f t="shared" si="1371"/>
        <v/>
      </c>
      <c r="AL4435" s="24"/>
      <c r="AM4435" s="24"/>
      <c r="AN4435" s="24"/>
      <c r="AO4435" s="24"/>
      <c r="AP4435" s="165" t="str">
        <f t="shared" si="1372"/>
        <v/>
      </c>
      <c r="AQ4435" s="203" t="str">
        <f t="shared" si="1373"/>
        <v/>
      </c>
      <c r="AR4435" s="206">
        <f t="shared" si="1374"/>
        <v>0</v>
      </c>
      <c r="AS4435" s="22" t="str">
        <f t="shared" si="1375"/>
        <v/>
      </c>
      <c r="AT4435" s="24" t="str">
        <f t="shared" si="1376"/>
        <v/>
      </c>
      <c r="AU4435" s="22" t="s">
        <v>3240</v>
      </c>
    </row>
    <row r="4436" spans="1:47">
      <c r="A4436" s="246" t="str">
        <f t="shared" si="1364"/>
        <v/>
      </c>
      <c r="B4436" s="23"/>
      <c r="C4436" s="23"/>
      <c r="D4436" s="202" t="str">
        <f t="shared" si="1365"/>
        <v/>
      </c>
      <c r="E4436" s="33" t="str">
        <f t="shared" si="1359"/>
        <v/>
      </c>
      <c r="F4436" s="23"/>
      <c r="G4436" s="23"/>
      <c r="H4436" s="29"/>
      <c r="I4436" s="204" t="str">
        <f t="shared" si="1362"/>
        <v/>
      </c>
      <c r="J4436" s="188"/>
      <c r="K4436" s="29"/>
      <c r="L4436" s="24"/>
      <c r="M4436" s="22"/>
      <c r="N4436" s="22"/>
      <c r="O4436" s="22"/>
      <c r="P4436" s="202" t="str">
        <f t="shared" si="1363"/>
        <v/>
      </c>
      <c r="Q4436" s="22"/>
      <c r="R4436" s="22"/>
      <c r="S4436" s="22"/>
      <c r="T4436" s="22"/>
      <c r="U4436" s="22"/>
      <c r="V4436" s="22"/>
      <c r="W4436" s="22"/>
      <c r="X4436" s="104"/>
      <c r="Y4436" s="195" t="str">
        <f t="shared" si="1360"/>
        <v/>
      </c>
      <c r="Z4436" s="196" t="str">
        <f t="shared" si="1361"/>
        <v/>
      </c>
      <c r="AA4436" s="22"/>
      <c r="AB4436" s="197" t="str">
        <f t="shared" si="1366"/>
        <v/>
      </c>
      <c r="AC4436" s="198" t="str">
        <f t="shared" si="1367"/>
        <v/>
      </c>
      <c r="AD4436" s="162"/>
      <c r="AE4436" s="199" t="str">
        <f t="shared" si="1368"/>
        <v/>
      </c>
      <c r="AF4436" s="199" t="str">
        <f>IF(AND(COUNTIFS($J$18:J4436,J4436)=1,AE4436=1),1,"")</f>
        <v/>
      </c>
      <c r="AG4436" s="199" t="str">
        <f>IF(C4436="","",IF(AND(COUNTIFS($J$18:J4436,J4436)=1,C4436&lt;&gt;""),1,""))</f>
        <v/>
      </c>
      <c r="AH4436" s="199" t="str">
        <f>IF(G4436="","",IF(AND(COUNTIFS($J$18:J4436,J4436)=1,G4436&lt;&gt;""),1,""))</f>
        <v/>
      </c>
      <c r="AI4436" s="200">
        <f t="shared" si="1369"/>
        <v>0</v>
      </c>
      <c r="AJ4436" s="200">
        <f t="shared" si="1370"/>
        <v>0</v>
      </c>
      <c r="AK4436" s="201" t="str">
        <f t="shared" si="1371"/>
        <v/>
      </c>
      <c r="AL4436" s="24"/>
      <c r="AM4436" s="24"/>
      <c r="AN4436" s="24"/>
      <c r="AO4436" s="24"/>
      <c r="AP4436" s="165" t="str">
        <f t="shared" si="1372"/>
        <v/>
      </c>
      <c r="AQ4436" s="203" t="str">
        <f t="shared" si="1373"/>
        <v/>
      </c>
      <c r="AR4436" s="206">
        <f t="shared" si="1374"/>
        <v>0</v>
      </c>
      <c r="AS4436" s="22" t="str">
        <f t="shared" si="1375"/>
        <v/>
      </c>
      <c r="AT4436" s="24" t="str">
        <f t="shared" si="1376"/>
        <v/>
      </c>
      <c r="AU4436" s="22" t="s">
        <v>3240</v>
      </c>
    </row>
    <row r="4437" spans="1:47">
      <c r="A4437" s="246" t="str">
        <f t="shared" si="1364"/>
        <v/>
      </c>
      <c r="B4437" s="23"/>
      <c r="C4437" s="23"/>
      <c r="D4437" s="202" t="str">
        <f t="shared" si="1365"/>
        <v/>
      </c>
      <c r="E4437" s="33" t="str">
        <f t="shared" si="1359"/>
        <v/>
      </c>
      <c r="F4437" s="23"/>
      <c r="G4437" s="23"/>
      <c r="H4437" s="29"/>
      <c r="I4437" s="204" t="str">
        <f t="shared" si="1362"/>
        <v/>
      </c>
      <c r="J4437" s="188"/>
      <c r="K4437" s="29"/>
      <c r="L4437" s="24"/>
      <c r="M4437" s="22"/>
      <c r="N4437" s="22"/>
      <c r="O4437" s="22"/>
      <c r="P4437" s="202" t="str">
        <f t="shared" si="1363"/>
        <v/>
      </c>
      <c r="Q4437" s="22"/>
      <c r="R4437" s="22"/>
      <c r="S4437" s="22"/>
      <c r="T4437" s="22"/>
      <c r="U4437" s="22"/>
      <c r="V4437" s="22"/>
      <c r="W4437" s="22"/>
      <c r="X4437" s="104"/>
      <c r="Y4437" s="195" t="str">
        <f t="shared" si="1360"/>
        <v/>
      </c>
      <c r="Z4437" s="196" t="str">
        <f t="shared" si="1361"/>
        <v/>
      </c>
      <c r="AA4437" s="22"/>
      <c r="AB4437" s="197" t="str">
        <f t="shared" si="1366"/>
        <v/>
      </c>
      <c r="AC4437" s="198" t="str">
        <f t="shared" si="1367"/>
        <v/>
      </c>
      <c r="AD4437" s="162"/>
      <c r="AE4437" s="199" t="str">
        <f t="shared" si="1368"/>
        <v/>
      </c>
      <c r="AF4437" s="199" t="str">
        <f>IF(AND(COUNTIFS($J$18:J4437,J4437)=1,AE4437=1),1,"")</f>
        <v/>
      </c>
      <c r="AG4437" s="199" t="str">
        <f>IF(C4437="","",IF(AND(COUNTIFS($J$18:J4437,J4437)=1,C4437&lt;&gt;""),1,""))</f>
        <v/>
      </c>
      <c r="AH4437" s="199" t="str">
        <f>IF(G4437="","",IF(AND(COUNTIFS($J$18:J4437,J4437)=1,G4437&lt;&gt;""),1,""))</f>
        <v/>
      </c>
      <c r="AI4437" s="200">
        <f t="shared" si="1369"/>
        <v>0</v>
      </c>
      <c r="AJ4437" s="200">
        <f t="shared" si="1370"/>
        <v>0</v>
      </c>
      <c r="AK4437" s="201" t="str">
        <f t="shared" si="1371"/>
        <v/>
      </c>
      <c r="AL4437" s="24"/>
      <c r="AM4437" s="24"/>
      <c r="AN4437" s="24"/>
      <c r="AO4437" s="24"/>
      <c r="AP4437" s="165" t="str">
        <f t="shared" si="1372"/>
        <v/>
      </c>
      <c r="AQ4437" s="203" t="str">
        <f t="shared" si="1373"/>
        <v/>
      </c>
      <c r="AR4437" s="206">
        <f t="shared" si="1374"/>
        <v>0</v>
      </c>
      <c r="AS4437" s="22" t="str">
        <f t="shared" si="1375"/>
        <v/>
      </c>
      <c r="AT4437" s="24" t="str">
        <f t="shared" si="1376"/>
        <v/>
      </c>
      <c r="AU4437" s="22" t="s">
        <v>3240</v>
      </c>
    </row>
    <row r="4438" spans="1:47">
      <c r="A4438" s="246" t="str">
        <f t="shared" si="1364"/>
        <v/>
      </c>
      <c r="B4438" s="23"/>
      <c r="C4438" s="23"/>
      <c r="D4438" s="202" t="str">
        <f t="shared" si="1365"/>
        <v/>
      </c>
      <c r="E4438" s="33" t="str">
        <f t="shared" si="1359"/>
        <v/>
      </c>
      <c r="F4438" s="23"/>
      <c r="G4438" s="23"/>
      <c r="H4438" s="29"/>
      <c r="I4438" s="204" t="str">
        <f t="shared" si="1362"/>
        <v/>
      </c>
      <c r="J4438" s="188"/>
      <c r="K4438" s="29"/>
      <c r="L4438" s="24"/>
      <c r="M4438" s="22"/>
      <c r="N4438" s="22"/>
      <c r="O4438" s="22"/>
      <c r="P4438" s="202" t="str">
        <f t="shared" si="1363"/>
        <v/>
      </c>
      <c r="Q4438" s="22"/>
      <c r="R4438" s="22"/>
      <c r="S4438" s="22"/>
      <c r="T4438" s="22"/>
      <c r="U4438" s="22"/>
      <c r="V4438" s="22"/>
      <c r="W4438" s="22"/>
      <c r="X4438" s="104"/>
      <c r="Y4438" s="195" t="str">
        <f t="shared" si="1360"/>
        <v/>
      </c>
      <c r="Z4438" s="196" t="str">
        <f t="shared" si="1361"/>
        <v/>
      </c>
      <c r="AA4438" s="22"/>
      <c r="AB4438" s="197" t="str">
        <f t="shared" si="1366"/>
        <v/>
      </c>
      <c r="AC4438" s="198" t="str">
        <f t="shared" si="1367"/>
        <v/>
      </c>
      <c r="AD4438" s="162"/>
      <c r="AE4438" s="199" t="str">
        <f t="shared" si="1368"/>
        <v/>
      </c>
      <c r="AF4438" s="199" t="str">
        <f>IF(AND(COUNTIFS($J$18:J4438,J4438)=1,AE4438=1),1,"")</f>
        <v/>
      </c>
      <c r="AG4438" s="199" t="str">
        <f>IF(C4438="","",IF(AND(COUNTIFS($J$18:J4438,J4438)=1,C4438&lt;&gt;""),1,""))</f>
        <v/>
      </c>
      <c r="AH4438" s="199" t="str">
        <f>IF(G4438="","",IF(AND(COUNTIFS($J$18:J4438,J4438)=1,G4438&lt;&gt;""),1,""))</f>
        <v/>
      </c>
      <c r="AI4438" s="200">
        <f t="shared" si="1369"/>
        <v>0</v>
      </c>
      <c r="AJ4438" s="200">
        <f t="shared" si="1370"/>
        <v>0</v>
      </c>
      <c r="AK4438" s="201" t="str">
        <f t="shared" si="1371"/>
        <v/>
      </c>
      <c r="AL4438" s="24"/>
      <c r="AM4438" s="24"/>
      <c r="AN4438" s="24"/>
      <c r="AO4438" s="24"/>
      <c r="AP4438" s="165" t="str">
        <f t="shared" si="1372"/>
        <v/>
      </c>
      <c r="AQ4438" s="203" t="str">
        <f t="shared" si="1373"/>
        <v/>
      </c>
      <c r="AR4438" s="206">
        <f t="shared" si="1374"/>
        <v>0</v>
      </c>
      <c r="AS4438" s="22" t="str">
        <f t="shared" si="1375"/>
        <v/>
      </c>
      <c r="AT4438" s="24" t="str">
        <f t="shared" si="1376"/>
        <v/>
      </c>
      <c r="AU4438" s="22" t="s">
        <v>3240</v>
      </c>
    </row>
    <row r="4439" spans="1:47">
      <c r="A4439" s="246" t="str">
        <f t="shared" si="1364"/>
        <v/>
      </c>
      <c r="B4439" s="23"/>
      <c r="C4439" s="23"/>
      <c r="D4439" s="202" t="str">
        <f t="shared" si="1365"/>
        <v/>
      </c>
      <c r="E4439" s="33" t="str">
        <f t="shared" si="1359"/>
        <v/>
      </c>
      <c r="F4439" s="23"/>
      <c r="G4439" s="23"/>
      <c r="H4439" s="29"/>
      <c r="I4439" s="204" t="str">
        <f t="shared" si="1362"/>
        <v/>
      </c>
      <c r="J4439" s="188"/>
      <c r="K4439" s="29"/>
      <c r="L4439" s="24"/>
      <c r="M4439" s="22"/>
      <c r="N4439" s="22"/>
      <c r="O4439" s="22"/>
      <c r="P4439" s="202" t="str">
        <f t="shared" si="1363"/>
        <v/>
      </c>
      <c r="Q4439" s="22"/>
      <c r="R4439" s="22"/>
      <c r="S4439" s="22"/>
      <c r="T4439" s="22"/>
      <c r="U4439" s="22"/>
      <c r="V4439" s="22"/>
      <c r="W4439" s="22"/>
      <c r="X4439" s="104"/>
      <c r="Y4439" s="195" t="str">
        <f t="shared" si="1360"/>
        <v/>
      </c>
      <c r="Z4439" s="196" t="str">
        <f t="shared" si="1361"/>
        <v/>
      </c>
      <c r="AA4439" s="22"/>
      <c r="AB4439" s="197" t="str">
        <f t="shared" si="1366"/>
        <v/>
      </c>
      <c r="AC4439" s="198" t="str">
        <f t="shared" si="1367"/>
        <v/>
      </c>
      <c r="AD4439" s="162"/>
      <c r="AE4439" s="199" t="str">
        <f t="shared" si="1368"/>
        <v/>
      </c>
      <c r="AF4439" s="199" t="str">
        <f>IF(AND(COUNTIFS($J$18:J4439,J4439)=1,AE4439=1),1,"")</f>
        <v/>
      </c>
      <c r="AG4439" s="199" t="str">
        <f>IF(C4439="","",IF(AND(COUNTIFS($J$18:J4439,J4439)=1,C4439&lt;&gt;""),1,""))</f>
        <v/>
      </c>
      <c r="AH4439" s="199" t="str">
        <f>IF(G4439="","",IF(AND(COUNTIFS($J$18:J4439,J4439)=1,G4439&lt;&gt;""),1,""))</f>
        <v/>
      </c>
      <c r="AI4439" s="200">
        <f t="shared" si="1369"/>
        <v>0</v>
      </c>
      <c r="AJ4439" s="200">
        <f t="shared" si="1370"/>
        <v>0</v>
      </c>
      <c r="AK4439" s="201" t="str">
        <f t="shared" si="1371"/>
        <v/>
      </c>
      <c r="AL4439" s="24"/>
      <c r="AM4439" s="24"/>
      <c r="AN4439" s="24"/>
      <c r="AO4439" s="24"/>
      <c r="AP4439" s="165" t="str">
        <f t="shared" si="1372"/>
        <v/>
      </c>
      <c r="AQ4439" s="203" t="str">
        <f t="shared" si="1373"/>
        <v/>
      </c>
      <c r="AR4439" s="206">
        <f t="shared" si="1374"/>
        <v>0</v>
      </c>
      <c r="AS4439" s="22" t="str">
        <f t="shared" si="1375"/>
        <v/>
      </c>
      <c r="AT4439" s="24" t="str">
        <f t="shared" si="1376"/>
        <v/>
      </c>
      <c r="AU4439" s="22" t="s">
        <v>3240</v>
      </c>
    </row>
    <row r="4440" spans="1:47">
      <c r="A4440" s="246" t="str">
        <f t="shared" si="1364"/>
        <v/>
      </c>
      <c r="B4440" s="23"/>
      <c r="C4440" s="23"/>
      <c r="D4440" s="202" t="str">
        <f t="shared" si="1365"/>
        <v/>
      </c>
      <c r="E4440" s="33" t="str">
        <f t="shared" ref="E4440:E4503" si="1377">IF(G4440="Cancel","Cancel",IF(G4440="TBA","TBA",IFERROR(IF(I4440="Q4","FY "&amp;RIGHT(F4440,2)-1&amp;"/"&amp;RIGHT(F4440,2),"FY "&amp;RIGHT(F4440,2)&amp;"/"&amp;RIGHT(F4440,2)+1),"")))</f>
        <v/>
      </c>
      <c r="F4440" s="23"/>
      <c r="G4440" s="23"/>
      <c r="H4440" s="29"/>
      <c r="I4440" s="204" t="str">
        <f t="shared" si="1362"/>
        <v/>
      </c>
      <c r="J4440" s="188"/>
      <c r="K4440" s="29"/>
      <c r="L4440" s="24"/>
      <c r="M4440" s="22"/>
      <c r="N4440" s="22"/>
      <c r="O4440" s="22"/>
      <c r="P4440" s="202" t="str">
        <f t="shared" si="1363"/>
        <v/>
      </c>
      <c r="Q4440" s="22"/>
      <c r="R4440" s="22"/>
      <c r="S4440" s="22"/>
      <c r="T4440" s="22"/>
      <c r="U4440" s="22"/>
      <c r="V4440" s="22"/>
      <c r="W4440" s="22"/>
      <c r="X4440" s="104"/>
      <c r="Y4440" s="195" t="str">
        <f t="shared" si="1360"/>
        <v/>
      </c>
      <c r="Z4440" s="196" t="str">
        <f t="shared" si="1361"/>
        <v/>
      </c>
      <c r="AA4440" s="22"/>
      <c r="AB4440" s="197" t="str">
        <f t="shared" si="1366"/>
        <v/>
      </c>
      <c r="AC4440" s="198" t="str">
        <f t="shared" si="1367"/>
        <v/>
      </c>
      <c r="AD4440" s="162"/>
      <c r="AE4440" s="199" t="str">
        <f t="shared" si="1368"/>
        <v/>
      </c>
      <c r="AF4440" s="199" t="str">
        <f>IF(AND(COUNTIFS($J$18:J4440,J4440)=1,AE4440=1),1,"")</f>
        <v/>
      </c>
      <c r="AG4440" s="199" t="str">
        <f>IF(C4440="","",IF(AND(COUNTIFS($J$18:J4440,J4440)=1,C4440&lt;&gt;""),1,""))</f>
        <v/>
      </c>
      <c r="AH4440" s="199" t="str">
        <f>IF(G4440="","",IF(AND(COUNTIFS($J$18:J4440,J4440)=1,G4440&lt;&gt;""),1,""))</f>
        <v/>
      </c>
      <c r="AI4440" s="200">
        <f t="shared" si="1369"/>
        <v>0</v>
      </c>
      <c r="AJ4440" s="200">
        <f t="shared" si="1370"/>
        <v>0</v>
      </c>
      <c r="AK4440" s="201" t="str">
        <f t="shared" si="1371"/>
        <v/>
      </c>
      <c r="AL4440" s="24"/>
      <c r="AM4440" s="24"/>
      <c r="AN4440" s="24"/>
      <c r="AO4440" s="24"/>
      <c r="AP4440" s="165" t="str">
        <f t="shared" si="1372"/>
        <v/>
      </c>
      <c r="AQ4440" s="203" t="str">
        <f t="shared" si="1373"/>
        <v/>
      </c>
      <c r="AR4440" s="206">
        <f t="shared" si="1374"/>
        <v>0</v>
      </c>
      <c r="AS4440" s="22" t="str">
        <f t="shared" si="1375"/>
        <v/>
      </c>
      <c r="AT4440" s="24" t="str">
        <f t="shared" si="1376"/>
        <v/>
      </c>
      <c r="AU4440" s="22" t="s">
        <v>3240</v>
      </c>
    </row>
    <row r="4441" spans="1:47">
      <c r="A4441" s="246" t="str">
        <f t="shared" si="1364"/>
        <v/>
      </c>
      <c r="B4441" s="23"/>
      <c r="C4441" s="23"/>
      <c r="D4441" s="202" t="str">
        <f t="shared" si="1365"/>
        <v/>
      </c>
      <c r="E4441" s="33" t="str">
        <f t="shared" si="1377"/>
        <v/>
      </c>
      <c r="F4441" s="23"/>
      <c r="G4441" s="23"/>
      <c r="H4441" s="29"/>
      <c r="I4441" s="204" t="str">
        <f t="shared" si="1362"/>
        <v/>
      </c>
      <c r="J4441" s="188"/>
      <c r="K4441" s="29"/>
      <c r="L4441" s="24"/>
      <c r="M4441" s="22"/>
      <c r="N4441" s="22"/>
      <c r="O4441" s="22"/>
      <c r="P4441" s="202" t="str">
        <f t="shared" si="1363"/>
        <v/>
      </c>
      <c r="Q4441" s="22"/>
      <c r="R4441" s="22"/>
      <c r="S4441" s="22"/>
      <c r="T4441" s="22"/>
      <c r="U4441" s="22"/>
      <c r="V4441" s="22"/>
      <c r="W4441" s="22"/>
      <c r="X4441" s="104"/>
      <c r="Y4441" s="195" t="str">
        <f t="shared" si="1360"/>
        <v/>
      </c>
      <c r="Z4441" s="196" t="str">
        <f t="shared" si="1361"/>
        <v/>
      </c>
      <c r="AA4441" s="22"/>
      <c r="AB4441" s="197" t="str">
        <f t="shared" si="1366"/>
        <v/>
      </c>
      <c r="AC4441" s="198" t="str">
        <f t="shared" si="1367"/>
        <v/>
      </c>
      <c r="AD4441" s="162"/>
      <c r="AE4441" s="199" t="str">
        <f t="shared" si="1368"/>
        <v/>
      </c>
      <c r="AF4441" s="199" t="str">
        <f>IF(AND(COUNTIFS($J$18:J4441,J4441)=1,AE4441=1),1,"")</f>
        <v/>
      </c>
      <c r="AG4441" s="199" t="str">
        <f>IF(C4441="","",IF(AND(COUNTIFS($J$18:J4441,J4441)=1,C4441&lt;&gt;""),1,""))</f>
        <v/>
      </c>
      <c r="AH4441" s="199" t="str">
        <f>IF(G4441="","",IF(AND(COUNTIFS($J$18:J4441,J4441)=1,G4441&lt;&gt;""),1,""))</f>
        <v/>
      </c>
      <c r="AI4441" s="200">
        <f t="shared" si="1369"/>
        <v>0</v>
      </c>
      <c r="AJ4441" s="200">
        <f t="shared" si="1370"/>
        <v>0</v>
      </c>
      <c r="AK4441" s="201" t="str">
        <f t="shared" si="1371"/>
        <v/>
      </c>
      <c r="AL4441" s="24"/>
      <c r="AM4441" s="24"/>
      <c r="AN4441" s="24"/>
      <c r="AO4441" s="24"/>
      <c r="AP4441" s="165" t="str">
        <f t="shared" si="1372"/>
        <v/>
      </c>
      <c r="AQ4441" s="203" t="str">
        <f t="shared" si="1373"/>
        <v/>
      </c>
      <c r="AR4441" s="206">
        <f t="shared" si="1374"/>
        <v>0</v>
      </c>
      <c r="AS4441" s="22" t="str">
        <f t="shared" si="1375"/>
        <v/>
      </c>
      <c r="AT4441" s="24" t="str">
        <f t="shared" si="1376"/>
        <v/>
      </c>
      <c r="AU4441" s="22" t="s">
        <v>3240</v>
      </c>
    </row>
    <row r="4442" spans="1:47">
      <c r="A4442" s="246" t="str">
        <f t="shared" si="1364"/>
        <v/>
      </c>
      <c r="B4442" s="23"/>
      <c r="C4442" s="23"/>
      <c r="D4442" s="202" t="str">
        <f t="shared" si="1365"/>
        <v/>
      </c>
      <c r="E4442" s="33" t="str">
        <f t="shared" si="1377"/>
        <v/>
      </c>
      <c r="F4442" s="23"/>
      <c r="G4442" s="23"/>
      <c r="H4442" s="29"/>
      <c r="I4442" s="204" t="str">
        <f t="shared" si="1362"/>
        <v/>
      </c>
      <c r="J4442" s="188"/>
      <c r="K4442" s="29"/>
      <c r="L4442" s="24"/>
      <c r="M4442" s="22"/>
      <c r="N4442" s="22"/>
      <c r="O4442" s="22"/>
      <c r="P4442" s="202" t="str">
        <f t="shared" si="1363"/>
        <v/>
      </c>
      <c r="Q4442" s="22"/>
      <c r="R4442" s="22"/>
      <c r="S4442" s="22"/>
      <c r="T4442" s="22"/>
      <c r="U4442" s="22"/>
      <c r="V4442" s="22"/>
      <c r="W4442" s="22"/>
      <c r="X4442" s="104"/>
      <c r="Y4442" s="195" t="str">
        <f t="shared" si="1360"/>
        <v/>
      </c>
      <c r="Z4442" s="196" t="str">
        <f t="shared" si="1361"/>
        <v/>
      </c>
      <c r="AA4442" s="22"/>
      <c r="AB4442" s="197" t="str">
        <f t="shared" si="1366"/>
        <v/>
      </c>
      <c r="AC4442" s="198" t="str">
        <f t="shared" si="1367"/>
        <v/>
      </c>
      <c r="AD4442" s="162"/>
      <c r="AE4442" s="199" t="str">
        <f t="shared" si="1368"/>
        <v/>
      </c>
      <c r="AF4442" s="199" t="str">
        <f>IF(AND(COUNTIFS($J$18:J4442,J4442)=1,AE4442=1),1,"")</f>
        <v/>
      </c>
      <c r="AG4442" s="199" t="str">
        <f>IF(C4442="","",IF(AND(COUNTIFS($J$18:J4442,J4442)=1,C4442&lt;&gt;""),1,""))</f>
        <v/>
      </c>
      <c r="AH4442" s="199" t="str">
        <f>IF(G4442="","",IF(AND(COUNTIFS($J$18:J4442,J4442)=1,G4442&lt;&gt;""),1,""))</f>
        <v/>
      </c>
      <c r="AI4442" s="200">
        <f t="shared" si="1369"/>
        <v>0</v>
      </c>
      <c r="AJ4442" s="200">
        <f t="shared" si="1370"/>
        <v>0</v>
      </c>
      <c r="AK4442" s="201" t="str">
        <f t="shared" si="1371"/>
        <v/>
      </c>
      <c r="AL4442" s="24"/>
      <c r="AM4442" s="24"/>
      <c r="AN4442" s="24"/>
      <c r="AO4442" s="24"/>
      <c r="AP4442" s="165" t="str">
        <f t="shared" si="1372"/>
        <v/>
      </c>
      <c r="AQ4442" s="203" t="str">
        <f t="shared" si="1373"/>
        <v/>
      </c>
      <c r="AR4442" s="206">
        <f t="shared" si="1374"/>
        <v>0</v>
      </c>
      <c r="AS4442" s="22" t="str">
        <f t="shared" si="1375"/>
        <v/>
      </c>
      <c r="AT4442" s="24" t="str">
        <f t="shared" si="1376"/>
        <v/>
      </c>
      <c r="AU4442" s="22" t="s">
        <v>3240</v>
      </c>
    </row>
    <row r="4443" spans="1:47">
      <c r="A4443" s="246" t="str">
        <f t="shared" si="1364"/>
        <v/>
      </c>
      <c r="B4443" s="23"/>
      <c r="C4443" s="23"/>
      <c r="D4443" s="202" t="str">
        <f t="shared" si="1365"/>
        <v/>
      </c>
      <c r="E4443" s="33" t="str">
        <f t="shared" si="1377"/>
        <v/>
      </c>
      <c r="F4443" s="23"/>
      <c r="G4443" s="23"/>
      <c r="H4443" s="29"/>
      <c r="I4443" s="204" t="str">
        <f t="shared" si="1362"/>
        <v/>
      </c>
      <c r="J4443" s="188"/>
      <c r="K4443" s="29"/>
      <c r="L4443" s="24"/>
      <c r="M4443" s="22"/>
      <c r="N4443" s="22"/>
      <c r="O4443" s="22"/>
      <c r="P4443" s="202" t="str">
        <f t="shared" si="1363"/>
        <v/>
      </c>
      <c r="Q4443" s="22"/>
      <c r="R4443" s="22"/>
      <c r="S4443" s="22"/>
      <c r="T4443" s="22"/>
      <c r="U4443" s="22"/>
      <c r="V4443" s="22"/>
      <c r="W4443" s="22"/>
      <c r="X4443" s="104"/>
      <c r="Y4443" s="195" t="str">
        <f t="shared" ref="Y4443:Y4506" si="1378">IF(W4443="","",IF(W4443="RMB","1.13", "1"))</f>
        <v/>
      </c>
      <c r="Z4443" s="196" t="str">
        <f t="shared" ref="Z4443:Z4506" si="1379">IF(X4443="","",X4443*MAX(O4443,N4443))</f>
        <v/>
      </c>
      <c r="AA4443" s="22"/>
      <c r="AB4443" s="197" t="str">
        <f t="shared" si="1366"/>
        <v/>
      </c>
      <c r="AC4443" s="198" t="str">
        <f t="shared" si="1367"/>
        <v/>
      </c>
      <c r="AD4443" s="162"/>
      <c r="AE4443" s="199" t="str">
        <f t="shared" si="1368"/>
        <v/>
      </c>
      <c r="AF4443" s="199" t="str">
        <f>IF(AND(COUNTIFS($J$18:J4443,J4443)=1,AE4443=1),1,"")</f>
        <v/>
      </c>
      <c r="AG4443" s="199" t="str">
        <f>IF(C4443="","",IF(AND(COUNTIFS($J$18:J4443,J4443)=1,C4443&lt;&gt;""),1,""))</f>
        <v/>
      </c>
      <c r="AH4443" s="199" t="str">
        <f>IF(G4443="","",IF(AND(COUNTIFS($J$18:J4443,J4443)=1,G4443&lt;&gt;""),1,""))</f>
        <v/>
      </c>
      <c r="AI4443" s="200">
        <f t="shared" si="1369"/>
        <v>0</v>
      </c>
      <c r="AJ4443" s="200">
        <f t="shared" si="1370"/>
        <v>0</v>
      </c>
      <c r="AK4443" s="201" t="str">
        <f t="shared" si="1371"/>
        <v/>
      </c>
      <c r="AL4443" s="24"/>
      <c r="AM4443" s="24"/>
      <c r="AN4443" s="24"/>
      <c r="AO4443" s="24"/>
      <c r="AP4443" s="165" t="str">
        <f t="shared" si="1372"/>
        <v/>
      </c>
      <c r="AQ4443" s="203" t="str">
        <f t="shared" si="1373"/>
        <v/>
      </c>
      <c r="AR4443" s="206">
        <f t="shared" si="1374"/>
        <v>0</v>
      </c>
      <c r="AS4443" s="22" t="str">
        <f t="shared" si="1375"/>
        <v/>
      </c>
      <c r="AT4443" s="24" t="str">
        <f t="shared" si="1376"/>
        <v/>
      </c>
      <c r="AU4443" s="22" t="s">
        <v>3240</v>
      </c>
    </row>
    <row r="4444" spans="1:47">
      <c r="A4444" s="246" t="str">
        <f t="shared" si="1364"/>
        <v/>
      </c>
      <c r="B4444" s="23"/>
      <c r="C4444" s="23"/>
      <c r="D4444" s="202" t="str">
        <f t="shared" si="1365"/>
        <v/>
      </c>
      <c r="E4444" s="33" t="str">
        <f t="shared" si="1377"/>
        <v/>
      </c>
      <c r="F4444" s="23"/>
      <c r="G4444" s="23"/>
      <c r="H4444" s="29"/>
      <c r="I4444" s="204" t="str">
        <f t="shared" si="1362"/>
        <v/>
      </c>
      <c r="J4444" s="188"/>
      <c r="K4444" s="29"/>
      <c r="L4444" s="24"/>
      <c r="M4444" s="22"/>
      <c r="N4444" s="22"/>
      <c r="O4444" s="22"/>
      <c r="P4444" s="202" t="str">
        <f t="shared" si="1363"/>
        <v/>
      </c>
      <c r="Q4444" s="22"/>
      <c r="R4444" s="22"/>
      <c r="S4444" s="22"/>
      <c r="T4444" s="22"/>
      <c r="U4444" s="22"/>
      <c r="V4444" s="22"/>
      <c r="W4444" s="22"/>
      <c r="X4444" s="104"/>
      <c r="Y4444" s="195" t="str">
        <f t="shared" si="1378"/>
        <v/>
      </c>
      <c r="Z4444" s="196" t="str">
        <f t="shared" si="1379"/>
        <v/>
      </c>
      <c r="AA4444" s="22"/>
      <c r="AB4444" s="197" t="str">
        <f t="shared" si="1366"/>
        <v/>
      </c>
      <c r="AC4444" s="198" t="str">
        <f t="shared" si="1367"/>
        <v/>
      </c>
      <c r="AD4444" s="162"/>
      <c r="AE4444" s="199" t="str">
        <f t="shared" si="1368"/>
        <v/>
      </c>
      <c r="AF4444" s="199" t="str">
        <f>IF(AND(COUNTIFS($J$18:J4444,J4444)=1,AE4444=1),1,"")</f>
        <v/>
      </c>
      <c r="AG4444" s="199" t="str">
        <f>IF(C4444="","",IF(AND(COUNTIFS($J$18:J4444,J4444)=1,C4444&lt;&gt;""),1,""))</f>
        <v/>
      </c>
      <c r="AH4444" s="199" t="str">
        <f>IF(G4444="","",IF(AND(COUNTIFS($J$18:J4444,J4444)=1,G4444&lt;&gt;""),1,""))</f>
        <v/>
      </c>
      <c r="AI4444" s="200">
        <f t="shared" si="1369"/>
        <v>0</v>
      </c>
      <c r="AJ4444" s="200">
        <f t="shared" si="1370"/>
        <v>0</v>
      </c>
      <c r="AK4444" s="201" t="str">
        <f t="shared" si="1371"/>
        <v/>
      </c>
      <c r="AL4444" s="24"/>
      <c r="AM4444" s="24"/>
      <c r="AN4444" s="24"/>
      <c r="AO4444" s="24"/>
      <c r="AP4444" s="165" t="str">
        <f t="shared" si="1372"/>
        <v/>
      </c>
      <c r="AQ4444" s="203" t="str">
        <f t="shared" si="1373"/>
        <v/>
      </c>
      <c r="AR4444" s="206">
        <f t="shared" si="1374"/>
        <v>0</v>
      </c>
      <c r="AS4444" s="22" t="str">
        <f t="shared" si="1375"/>
        <v/>
      </c>
      <c r="AT4444" s="24" t="str">
        <f t="shared" si="1376"/>
        <v/>
      </c>
      <c r="AU4444" s="22" t="s">
        <v>3240</v>
      </c>
    </row>
    <row r="4445" spans="1:47">
      <c r="A4445" s="246" t="str">
        <f t="shared" si="1364"/>
        <v/>
      </c>
      <c r="B4445" s="23"/>
      <c r="C4445" s="23"/>
      <c r="D4445" s="202" t="str">
        <f t="shared" si="1365"/>
        <v/>
      </c>
      <c r="E4445" s="33" t="str">
        <f t="shared" si="1377"/>
        <v/>
      </c>
      <c r="F4445" s="23"/>
      <c r="G4445" s="23"/>
      <c r="H4445" s="29"/>
      <c r="I4445" s="204" t="str">
        <f t="shared" si="1362"/>
        <v/>
      </c>
      <c r="J4445" s="188"/>
      <c r="K4445" s="29"/>
      <c r="L4445" s="24"/>
      <c r="M4445" s="22"/>
      <c r="N4445" s="22"/>
      <c r="O4445" s="22"/>
      <c r="P4445" s="202" t="str">
        <f t="shared" si="1363"/>
        <v/>
      </c>
      <c r="Q4445" s="22"/>
      <c r="R4445" s="22"/>
      <c r="S4445" s="22"/>
      <c r="T4445" s="22"/>
      <c r="U4445" s="22"/>
      <c r="V4445" s="22"/>
      <c r="W4445" s="22"/>
      <c r="X4445" s="104"/>
      <c r="Y4445" s="195" t="str">
        <f t="shared" si="1378"/>
        <v/>
      </c>
      <c r="Z4445" s="196" t="str">
        <f t="shared" si="1379"/>
        <v/>
      </c>
      <c r="AA4445" s="22"/>
      <c r="AB4445" s="197" t="str">
        <f t="shared" si="1366"/>
        <v/>
      </c>
      <c r="AC4445" s="198" t="str">
        <f t="shared" si="1367"/>
        <v/>
      </c>
      <c r="AD4445" s="162"/>
      <c r="AE4445" s="199" t="str">
        <f t="shared" si="1368"/>
        <v/>
      </c>
      <c r="AF4445" s="199" t="str">
        <f>IF(AND(COUNTIFS($J$18:J4445,J4445)=1,AE4445=1),1,"")</f>
        <v/>
      </c>
      <c r="AG4445" s="199" t="str">
        <f>IF(C4445="","",IF(AND(COUNTIFS($J$18:J4445,J4445)=1,C4445&lt;&gt;""),1,""))</f>
        <v/>
      </c>
      <c r="AH4445" s="199" t="str">
        <f>IF(G4445="","",IF(AND(COUNTIFS($J$18:J4445,J4445)=1,G4445&lt;&gt;""),1,""))</f>
        <v/>
      </c>
      <c r="AI4445" s="200">
        <f t="shared" si="1369"/>
        <v>0</v>
      </c>
      <c r="AJ4445" s="200">
        <f t="shared" si="1370"/>
        <v>0</v>
      </c>
      <c r="AK4445" s="201" t="str">
        <f t="shared" si="1371"/>
        <v/>
      </c>
      <c r="AL4445" s="24"/>
      <c r="AM4445" s="24"/>
      <c r="AN4445" s="24"/>
      <c r="AO4445" s="24"/>
      <c r="AP4445" s="165" t="str">
        <f t="shared" si="1372"/>
        <v/>
      </c>
      <c r="AQ4445" s="203" t="str">
        <f t="shared" si="1373"/>
        <v/>
      </c>
      <c r="AR4445" s="206">
        <f t="shared" si="1374"/>
        <v>0</v>
      </c>
      <c r="AS4445" s="22" t="str">
        <f t="shared" si="1375"/>
        <v/>
      </c>
      <c r="AT4445" s="24" t="str">
        <f t="shared" si="1376"/>
        <v/>
      </c>
      <c r="AU4445" s="22" t="s">
        <v>3240</v>
      </c>
    </row>
    <row r="4446" spans="1:47">
      <c r="A4446" s="246" t="str">
        <f t="shared" si="1364"/>
        <v/>
      </c>
      <c r="B4446" s="23"/>
      <c r="C4446" s="23"/>
      <c r="D4446" s="202" t="str">
        <f t="shared" si="1365"/>
        <v/>
      </c>
      <c r="E4446" s="33" t="str">
        <f t="shared" si="1377"/>
        <v/>
      </c>
      <c r="F4446" s="23"/>
      <c r="G4446" s="23"/>
      <c r="H4446" s="29"/>
      <c r="I4446" s="204" t="str">
        <f t="shared" si="1362"/>
        <v/>
      </c>
      <c r="J4446" s="188"/>
      <c r="K4446" s="29"/>
      <c r="L4446" s="24"/>
      <c r="M4446" s="22"/>
      <c r="N4446" s="22"/>
      <c r="O4446" s="22"/>
      <c r="P4446" s="202" t="str">
        <f t="shared" si="1363"/>
        <v/>
      </c>
      <c r="Q4446" s="22"/>
      <c r="R4446" s="22"/>
      <c r="S4446" s="22"/>
      <c r="T4446" s="22"/>
      <c r="U4446" s="22"/>
      <c r="V4446" s="22"/>
      <c r="W4446" s="22"/>
      <c r="X4446" s="104"/>
      <c r="Y4446" s="195" t="str">
        <f t="shared" si="1378"/>
        <v/>
      </c>
      <c r="Z4446" s="196" t="str">
        <f t="shared" si="1379"/>
        <v/>
      </c>
      <c r="AA4446" s="22"/>
      <c r="AB4446" s="197" t="str">
        <f t="shared" si="1366"/>
        <v/>
      </c>
      <c r="AC4446" s="198" t="str">
        <f t="shared" si="1367"/>
        <v/>
      </c>
      <c r="AD4446" s="162"/>
      <c r="AE4446" s="199" t="str">
        <f t="shared" si="1368"/>
        <v/>
      </c>
      <c r="AF4446" s="199" t="str">
        <f>IF(AND(COUNTIFS($J$18:J4446,J4446)=1,AE4446=1),1,"")</f>
        <v/>
      </c>
      <c r="AG4446" s="199" t="str">
        <f>IF(C4446="","",IF(AND(COUNTIFS($J$18:J4446,J4446)=1,C4446&lt;&gt;""),1,""))</f>
        <v/>
      </c>
      <c r="AH4446" s="199" t="str">
        <f>IF(G4446="","",IF(AND(COUNTIFS($J$18:J4446,J4446)=1,G4446&lt;&gt;""),1,""))</f>
        <v/>
      </c>
      <c r="AI4446" s="200">
        <f t="shared" si="1369"/>
        <v>0</v>
      </c>
      <c r="AJ4446" s="200">
        <f t="shared" si="1370"/>
        <v>0</v>
      </c>
      <c r="AK4446" s="201" t="str">
        <f t="shared" si="1371"/>
        <v/>
      </c>
      <c r="AL4446" s="24"/>
      <c r="AM4446" s="24"/>
      <c r="AN4446" s="24"/>
      <c r="AO4446" s="24"/>
      <c r="AP4446" s="165" t="str">
        <f t="shared" si="1372"/>
        <v/>
      </c>
      <c r="AQ4446" s="203" t="str">
        <f t="shared" si="1373"/>
        <v/>
      </c>
      <c r="AR4446" s="206">
        <f t="shared" si="1374"/>
        <v>0</v>
      </c>
      <c r="AS4446" s="22" t="str">
        <f t="shared" si="1375"/>
        <v/>
      </c>
      <c r="AT4446" s="24" t="str">
        <f t="shared" si="1376"/>
        <v/>
      </c>
      <c r="AU4446" s="22" t="s">
        <v>3240</v>
      </c>
    </row>
    <row r="4447" spans="1:47">
      <c r="A4447" s="246" t="str">
        <f t="shared" si="1364"/>
        <v/>
      </c>
      <c r="B4447" s="23"/>
      <c r="C4447" s="23"/>
      <c r="D4447" s="202" t="str">
        <f t="shared" si="1365"/>
        <v/>
      </c>
      <c r="E4447" s="33" t="str">
        <f t="shared" si="1377"/>
        <v/>
      </c>
      <c r="F4447" s="23"/>
      <c r="G4447" s="23"/>
      <c r="H4447" s="29"/>
      <c r="I4447" s="204" t="str">
        <f t="shared" si="1362"/>
        <v/>
      </c>
      <c r="J4447" s="188"/>
      <c r="K4447" s="29"/>
      <c r="L4447" s="24"/>
      <c r="M4447" s="22"/>
      <c r="N4447" s="22"/>
      <c r="O4447" s="22"/>
      <c r="P4447" s="202" t="str">
        <f t="shared" si="1363"/>
        <v/>
      </c>
      <c r="Q4447" s="22"/>
      <c r="R4447" s="22"/>
      <c r="S4447" s="22"/>
      <c r="T4447" s="22"/>
      <c r="U4447" s="22"/>
      <c r="V4447" s="22"/>
      <c r="W4447" s="22"/>
      <c r="X4447" s="104"/>
      <c r="Y4447" s="195" t="str">
        <f t="shared" si="1378"/>
        <v/>
      </c>
      <c r="Z4447" s="196" t="str">
        <f t="shared" si="1379"/>
        <v/>
      </c>
      <c r="AA4447" s="22"/>
      <c r="AB4447" s="197" t="str">
        <f t="shared" si="1366"/>
        <v/>
      </c>
      <c r="AC4447" s="198" t="str">
        <f t="shared" si="1367"/>
        <v/>
      </c>
      <c r="AD4447" s="162"/>
      <c r="AE4447" s="199" t="str">
        <f t="shared" si="1368"/>
        <v/>
      </c>
      <c r="AF4447" s="199" t="str">
        <f>IF(AND(COUNTIFS($J$18:J4447,J4447)=1,AE4447=1),1,"")</f>
        <v/>
      </c>
      <c r="AG4447" s="199" t="str">
        <f>IF(C4447="","",IF(AND(COUNTIFS($J$18:J4447,J4447)=1,C4447&lt;&gt;""),1,""))</f>
        <v/>
      </c>
      <c r="AH4447" s="199" t="str">
        <f>IF(G4447="","",IF(AND(COUNTIFS($J$18:J4447,J4447)=1,G4447&lt;&gt;""),1,""))</f>
        <v/>
      </c>
      <c r="AI4447" s="200">
        <f t="shared" si="1369"/>
        <v>0</v>
      </c>
      <c r="AJ4447" s="200">
        <f t="shared" si="1370"/>
        <v>0</v>
      </c>
      <c r="AK4447" s="201" t="str">
        <f t="shared" si="1371"/>
        <v/>
      </c>
      <c r="AL4447" s="24"/>
      <c r="AM4447" s="24"/>
      <c r="AN4447" s="24"/>
      <c r="AO4447" s="24"/>
      <c r="AP4447" s="165" t="str">
        <f t="shared" si="1372"/>
        <v/>
      </c>
      <c r="AQ4447" s="203" t="str">
        <f t="shared" si="1373"/>
        <v/>
      </c>
      <c r="AR4447" s="206">
        <f t="shared" si="1374"/>
        <v>0</v>
      </c>
      <c r="AS4447" s="22" t="str">
        <f t="shared" si="1375"/>
        <v/>
      </c>
      <c r="AT4447" s="24" t="str">
        <f t="shared" si="1376"/>
        <v/>
      </c>
      <c r="AU4447" s="22" t="s">
        <v>3240</v>
      </c>
    </row>
    <row r="4448" spans="1:47">
      <c r="A4448" s="246" t="str">
        <f t="shared" si="1364"/>
        <v/>
      </c>
      <c r="B4448" s="23"/>
      <c r="C4448" s="23"/>
      <c r="D4448" s="202" t="str">
        <f t="shared" si="1365"/>
        <v/>
      </c>
      <c r="E4448" s="33" t="str">
        <f t="shared" si="1377"/>
        <v/>
      </c>
      <c r="F4448" s="23"/>
      <c r="G4448" s="23"/>
      <c r="H4448" s="29"/>
      <c r="I4448" s="204" t="str">
        <f t="shared" ref="I4448:I4511" si="1380">IFERROR(IF(F4448="","",IF(F4448="TBA","TBA",IF(F4448="Cancel","Cancel",IF(AND(G4448&gt;=10,G4448&lt;=12),"Q3",IF(AND(G4448&gt;=1,G4448&lt;=3),"Q4",IF(AND(G4448&gt;=7,G4448&lt;=9),"Q2",IF(AND(G4448&gt;=4,G4448&lt;=6),"Q1"))))))),"")</f>
        <v/>
      </c>
      <c r="J4448" s="188"/>
      <c r="K4448" s="29"/>
      <c r="L4448" s="24"/>
      <c r="M4448" s="22"/>
      <c r="N4448" s="22"/>
      <c r="O4448" s="22"/>
      <c r="P4448" s="202" t="str">
        <f t="shared" si="1363"/>
        <v/>
      </c>
      <c r="Q4448" s="22"/>
      <c r="R4448" s="22"/>
      <c r="S4448" s="22"/>
      <c r="T4448" s="22"/>
      <c r="U4448" s="22"/>
      <c r="V4448" s="22"/>
      <c r="W4448" s="22"/>
      <c r="X4448" s="104"/>
      <c r="Y4448" s="195" t="str">
        <f t="shared" si="1378"/>
        <v/>
      </c>
      <c r="Z4448" s="196" t="str">
        <f t="shared" si="1379"/>
        <v/>
      </c>
      <c r="AA4448" s="22"/>
      <c r="AB4448" s="197" t="str">
        <f t="shared" si="1366"/>
        <v/>
      </c>
      <c r="AC4448" s="198" t="str">
        <f t="shared" si="1367"/>
        <v/>
      </c>
      <c r="AD4448" s="162"/>
      <c r="AE4448" s="199" t="str">
        <f t="shared" si="1368"/>
        <v/>
      </c>
      <c r="AF4448" s="199" t="str">
        <f>IF(AND(COUNTIFS($J$18:J4448,J4448)=1,AE4448=1),1,"")</f>
        <v/>
      </c>
      <c r="AG4448" s="199" t="str">
        <f>IF(C4448="","",IF(AND(COUNTIFS($J$18:J4448,J4448)=1,C4448&lt;&gt;""),1,""))</f>
        <v/>
      </c>
      <c r="AH4448" s="199" t="str">
        <f>IF(G4448="","",IF(AND(COUNTIFS($J$18:J4448,J4448)=1,G4448&lt;&gt;""),1,""))</f>
        <v/>
      </c>
      <c r="AI4448" s="200">
        <f t="shared" si="1369"/>
        <v>0</v>
      </c>
      <c r="AJ4448" s="200">
        <f t="shared" si="1370"/>
        <v>0</v>
      </c>
      <c r="AK4448" s="201" t="str">
        <f t="shared" si="1371"/>
        <v/>
      </c>
      <c r="AL4448" s="24"/>
      <c r="AM4448" s="24"/>
      <c r="AN4448" s="24"/>
      <c r="AO4448" s="24"/>
      <c r="AP4448" s="165" t="str">
        <f t="shared" si="1372"/>
        <v/>
      </c>
      <c r="AQ4448" s="203" t="str">
        <f t="shared" si="1373"/>
        <v/>
      </c>
      <c r="AR4448" s="206">
        <f t="shared" si="1374"/>
        <v>0</v>
      </c>
      <c r="AS4448" s="22" t="str">
        <f t="shared" si="1375"/>
        <v/>
      </c>
      <c r="AT4448" s="24" t="str">
        <f t="shared" si="1376"/>
        <v/>
      </c>
      <c r="AU4448" s="22" t="s">
        <v>3240</v>
      </c>
    </row>
    <row r="4449" spans="1:47">
      <c r="A4449" s="246" t="str">
        <f t="shared" si="1364"/>
        <v/>
      </c>
      <c r="B4449" s="23"/>
      <c r="C4449" s="23"/>
      <c r="D4449" s="202" t="str">
        <f t="shared" si="1365"/>
        <v/>
      </c>
      <c r="E4449" s="33" t="str">
        <f t="shared" si="1377"/>
        <v/>
      </c>
      <c r="F4449" s="23"/>
      <c r="G4449" s="23"/>
      <c r="H4449" s="29"/>
      <c r="I4449" s="204" t="str">
        <f t="shared" si="1380"/>
        <v/>
      </c>
      <c r="J4449" s="188"/>
      <c r="K4449" s="29"/>
      <c r="L4449" s="24"/>
      <c r="M4449" s="22"/>
      <c r="N4449" s="22"/>
      <c r="O4449" s="22"/>
      <c r="P4449" s="202" t="str">
        <f t="shared" ref="P4449:P4512" si="1381">IF(M4449="","",IF(AND(N4449&gt;0,L4449&lt;&gt;""),"MAIN UNIT",IF(AND(O4449&gt;0,L4449&lt;&gt;""),"SERVICE/ PARTS","C66 SERVICE/OTHERS")))</f>
        <v/>
      </c>
      <c r="Q4449" s="22"/>
      <c r="R4449" s="22"/>
      <c r="S4449" s="22"/>
      <c r="T4449" s="22"/>
      <c r="U4449" s="22"/>
      <c r="V4449" s="22"/>
      <c r="W4449" s="22"/>
      <c r="X4449" s="104"/>
      <c r="Y4449" s="195" t="str">
        <f t="shared" si="1378"/>
        <v/>
      </c>
      <c r="Z4449" s="196" t="str">
        <f t="shared" si="1379"/>
        <v/>
      </c>
      <c r="AA4449" s="22"/>
      <c r="AB4449" s="197" t="str">
        <f t="shared" si="1366"/>
        <v/>
      </c>
      <c r="AC4449" s="198" t="str">
        <f t="shared" si="1367"/>
        <v/>
      </c>
      <c r="AD4449" s="162"/>
      <c r="AE4449" s="199" t="str">
        <f t="shared" si="1368"/>
        <v/>
      </c>
      <c r="AF4449" s="199" t="str">
        <f>IF(AND(COUNTIFS($J$18:J4449,J4449)=1,AE4449=1),1,"")</f>
        <v/>
      </c>
      <c r="AG4449" s="199" t="str">
        <f>IF(C4449="","",IF(AND(COUNTIFS($J$18:J4449,J4449)=1,C4449&lt;&gt;""),1,""))</f>
        <v/>
      </c>
      <c r="AH4449" s="199" t="str">
        <f>IF(G4449="","",IF(AND(COUNTIFS($J$18:J4449,J4449)=1,G4449&lt;&gt;""),1,""))</f>
        <v/>
      </c>
      <c r="AI4449" s="200">
        <f t="shared" si="1369"/>
        <v>0</v>
      </c>
      <c r="AJ4449" s="200">
        <f t="shared" si="1370"/>
        <v>0</v>
      </c>
      <c r="AK4449" s="201" t="str">
        <f t="shared" si="1371"/>
        <v/>
      </c>
      <c r="AL4449" s="24"/>
      <c r="AM4449" s="24"/>
      <c r="AN4449" s="24"/>
      <c r="AO4449" s="24"/>
      <c r="AP4449" s="165" t="str">
        <f t="shared" si="1372"/>
        <v/>
      </c>
      <c r="AQ4449" s="203" t="str">
        <f t="shared" si="1373"/>
        <v/>
      </c>
      <c r="AR4449" s="206">
        <f t="shared" si="1374"/>
        <v>0</v>
      </c>
      <c r="AS4449" s="22" t="str">
        <f t="shared" si="1375"/>
        <v/>
      </c>
      <c r="AT4449" s="24" t="str">
        <f t="shared" si="1376"/>
        <v/>
      </c>
      <c r="AU4449" s="22" t="s">
        <v>3240</v>
      </c>
    </row>
    <row r="4450" spans="1:47">
      <c r="A4450" s="246" t="str">
        <f t="shared" ref="A4450:A4513" si="1382">IF(C4450="cancel","cancel",IFERROR(IF(D4450="Q4","FY "&amp;RIGHT(B4450,2)-1&amp;"/"&amp;RIGHT(B4450,2),"FY "&amp;RIGHT(B4450,2)&amp;"/"&amp;RIGHT(B4450,2)+1),""))</f>
        <v/>
      </c>
      <c r="B4450" s="23"/>
      <c r="C4450" s="23"/>
      <c r="D4450" s="202" t="str">
        <f t="shared" ref="D4450:D4513" si="1383">IF(B4450="","",IF(AND(C4450&gt;=10,C4450&lt;=12),"Q3",IF(AND(C4450&gt;=1,C4450&lt;=3),"Q4",IF(AND(C4450&gt;=7,C4450&lt;=9),"Q2",IF(AND(C4450&gt;=4,C4450&lt;=6),"Q1")))))</f>
        <v/>
      </c>
      <c r="E4450" s="33" t="str">
        <f t="shared" si="1377"/>
        <v/>
      </c>
      <c r="F4450" s="23"/>
      <c r="G4450" s="23"/>
      <c r="H4450" s="29"/>
      <c r="I4450" s="204" t="str">
        <f t="shared" si="1380"/>
        <v/>
      </c>
      <c r="J4450" s="188"/>
      <c r="K4450" s="29"/>
      <c r="L4450" s="24"/>
      <c r="M4450" s="22"/>
      <c r="N4450" s="22"/>
      <c r="O4450" s="22"/>
      <c r="P4450" s="202" t="str">
        <f t="shared" si="1381"/>
        <v/>
      </c>
      <c r="Q4450" s="22"/>
      <c r="R4450" s="22"/>
      <c r="S4450" s="22"/>
      <c r="T4450" s="22"/>
      <c r="U4450" s="22"/>
      <c r="V4450" s="22"/>
      <c r="W4450" s="22"/>
      <c r="X4450" s="104"/>
      <c r="Y4450" s="195" t="str">
        <f t="shared" si="1378"/>
        <v/>
      </c>
      <c r="Z4450" s="196" t="str">
        <f t="shared" si="1379"/>
        <v/>
      </c>
      <c r="AA4450" s="22"/>
      <c r="AB4450" s="197" t="str">
        <f t="shared" ref="AB4450:AB4513" si="1384">IF(AND(R4450&lt;&gt;"C66",R4450&lt;&gt;""),Z4450/Y4450*AA4450,"")</f>
        <v/>
      </c>
      <c r="AC4450" s="198" t="str">
        <f t="shared" ref="AC4450:AC4513" si="1385">IF(R4450&lt;&gt;"",AB4450*AD4450,"")</f>
        <v/>
      </c>
      <c r="AD4450" s="162"/>
      <c r="AE4450" s="199" t="str">
        <f t="shared" ref="AE4450:AE4513" si="1386">IF(Q4450="","",IF(Q4450="Yes",1,0))</f>
        <v/>
      </c>
      <c r="AF4450" s="199" t="str">
        <f>IF(AND(COUNTIFS($J$18:J4450,J4450)=1,AE4450=1),1,"")</f>
        <v/>
      </c>
      <c r="AG4450" s="199" t="str">
        <f>IF(C4450="","",IF(AND(COUNTIFS($J$18:J4450,J4450)=1,C4450&lt;&gt;""),1,""))</f>
        <v/>
      </c>
      <c r="AH4450" s="199" t="str">
        <f>IF(G4450="","",IF(AND(COUNTIFS($J$18:J4450,J4450)=1,G4450&lt;&gt;""),1,""))</f>
        <v/>
      </c>
      <c r="AI4450" s="200">
        <f t="shared" ref="AI4450:AI4513" si="1387">IF(P4450="C66 SERVICE","",SUMIFS(AB:AB,F:F,F4450,G:G,G4450,E:E,E4450))</f>
        <v>0</v>
      </c>
      <c r="AJ4450" s="200">
        <f t="shared" ref="AJ4450:AJ4513" si="1388">IF(P4450="C66 SERVICE","",SUMIFS(AC:AC,F:F,F4450,G:G,G4450,E:E,E4450))</f>
        <v>0</v>
      </c>
      <c r="AK4450" s="201" t="str">
        <f t="shared" ref="AK4450:AK4513" si="1389">IF(AJ4450&gt;0,AJ4450/AI4450,"")</f>
        <v/>
      </c>
      <c r="AL4450" s="24"/>
      <c r="AM4450" s="24"/>
      <c r="AN4450" s="24"/>
      <c r="AO4450" s="24"/>
      <c r="AP4450" s="165" t="str">
        <f t="shared" ref="AP4450:AP4513" si="1390">IF(F4450="","",F4450&amp;G4450)</f>
        <v/>
      </c>
      <c r="AQ4450" s="203" t="str">
        <f t="shared" ref="AQ4450:AQ4513" si="1391">IF(W4450="","",F4450&amp;G4450&amp;W4450)</f>
        <v/>
      </c>
      <c r="AR4450" s="206">
        <f t="shared" ref="AR4450:AR4513" si="1392">IFERROR(IF(AND(M4450="YAMAHA", R4450="C28"), "YAMAHA_Non_Mounter", IF(AND(M4450="YAMAHA", R4450="C49"), "YAMAHA_Mounter", M4450)),"")</f>
        <v>0</v>
      </c>
      <c r="AS4450" s="22" t="str">
        <f t="shared" ref="AS4450:AS4513" si="1393">IFERROR(IF(OR(G4450="TBA", G4450=""), "", DATEDIF(DATE(B4450, C4450, 1), DATE(F4450, G4450, 1), "M")),"")</f>
        <v/>
      </c>
      <c r="AT4450" s="24" t="str">
        <f t="shared" ref="AT4450:AT4513" si="1394">IF(ISNUMBER(AS4450), IF(AS4450&gt;=0, IF(AS4450&lt;=3, "0-3 months", IF(AS4450&lt;=6, "4-6 months", "&gt; 6 months"))), "")</f>
        <v/>
      </c>
      <c r="AU4450" s="22" t="s">
        <v>3240</v>
      </c>
    </row>
    <row r="4451" spans="1:47">
      <c r="A4451" s="246" t="str">
        <f t="shared" si="1382"/>
        <v/>
      </c>
      <c r="B4451" s="23"/>
      <c r="C4451" s="23"/>
      <c r="D4451" s="202" t="str">
        <f t="shared" si="1383"/>
        <v/>
      </c>
      <c r="E4451" s="33" t="str">
        <f t="shared" si="1377"/>
        <v/>
      </c>
      <c r="F4451" s="23"/>
      <c r="G4451" s="23"/>
      <c r="H4451" s="29"/>
      <c r="I4451" s="204" t="str">
        <f t="shared" si="1380"/>
        <v/>
      </c>
      <c r="J4451" s="188"/>
      <c r="K4451" s="29"/>
      <c r="L4451" s="24"/>
      <c r="M4451" s="22"/>
      <c r="N4451" s="22"/>
      <c r="O4451" s="22"/>
      <c r="P4451" s="202" t="str">
        <f t="shared" si="1381"/>
        <v/>
      </c>
      <c r="Q4451" s="22"/>
      <c r="R4451" s="22"/>
      <c r="S4451" s="22"/>
      <c r="T4451" s="22"/>
      <c r="U4451" s="22"/>
      <c r="V4451" s="22"/>
      <c r="W4451" s="22"/>
      <c r="X4451" s="104"/>
      <c r="Y4451" s="195" t="str">
        <f t="shared" si="1378"/>
        <v/>
      </c>
      <c r="Z4451" s="196" t="str">
        <f t="shared" si="1379"/>
        <v/>
      </c>
      <c r="AA4451" s="22"/>
      <c r="AB4451" s="197" t="str">
        <f t="shared" si="1384"/>
        <v/>
      </c>
      <c r="AC4451" s="198" t="str">
        <f t="shared" si="1385"/>
        <v/>
      </c>
      <c r="AD4451" s="162"/>
      <c r="AE4451" s="199" t="str">
        <f t="shared" si="1386"/>
        <v/>
      </c>
      <c r="AF4451" s="199" t="str">
        <f>IF(AND(COUNTIFS($J$18:J4451,J4451)=1,AE4451=1),1,"")</f>
        <v/>
      </c>
      <c r="AG4451" s="199" t="str">
        <f>IF(C4451="","",IF(AND(COUNTIFS($J$18:J4451,J4451)=1,C4451&lt;&gt;""),1,""))</f>
        <v/>
      </c>
      <c r="AH4451" s="199" t="str">
        <f>IF(G4451="","",IF(AND(COUNTIFS($J$18:J4451,J4451)=1,G4451&lt;&gt;""),1,""))</f>
        <v/>
      </c>
      <c r="AI4451" s="200">
        <f t="shared" si="1387"/>
        <v>0</v>
      </c>
      <c r="AJ4451" s="200">
        <f t="shared" si="1388"/>
        <v>0</v>
      </c>
      <c r="AK4451" s="201" t="str">
        <f t="shared" si="1389"/>
        <v/>
      </c>
      <c r="AL4451" s="24"/>
      <c r="AM4451" s="24"/>
      <c r="AN4451" s="24"/>
      <c r="AO4451" s="24"/>
      <c r="AP4451" s="165" t="str">
        <f t="shared" si="1390"/>
        <v/>
      </c>
      <c r="AQ4451" s="203" t="str">
        <f t="shared" si="1391"/>
        <v/>
      </c>
      <c r="AR4451" s="206">
        <f t="shared" si="1392"/>
        <v>0</v>
      </c>
      <c r="AS4451" s="22" t="str">
        <f t="shared" si="1393"/>
        <v/>
      </c>
      <c r="AT4451" s="24" t="str">
        <f t="shared" si="1394"/>
        <v/>
      </c>
      <c r="AU4451" s="22" t="s">
        <v>3240</v>
      </c>
    </row>
    <row r="4452" spans="1:47">
      <c r="A4452" s="246" t="str">
        <f t="shared" si="1382"/>
        <v/>
      </c>
      <c r="B4452" s="23"/>
      <c r="C4452" s="23"/>
      <c r="D4452" s="202" t="str">
        <f t="shared" si="1383"/>
        <v/>
      </c>
      <c r="E4452" s="33" t="str">
        <f t="shared" si="1377"/>
        <v/>
      </c>
      <c r="F4452" s="23"/>
      <c r="G4452" s="23"/>
      <c r="H4452" s="29"/>
      <c r="I4452" s="204" t="str">
        <f t="shared" si="1380"/>
        <v/>
      </c>
      <c r="J4452" s="188"/>
      <c r="K4452" s="29"/>
      <c r="L4452" s="24"/>
      <c r="M4452" s="22"/>
      <c r="N4452" s="22"/>
      <c r="O4452" s="22"/>
      <c r="P4452" s="202" t="str">
        <f t="shared" si="1381"/>
        <v/>
      </c>
      <c r="Q4452" s="22"/>
      <c r="R4452" s="22"/>
      <c r="S4452" s="22"/>
      <c r="T4452" s="22"/>
      <c r="U4452" s="22"/>
      <c r="V4452" s="22"/>
      <c r="W4452" s="22"/>
      <c r="X4452" s="104"/>
      <c r="Y4452" s="195" t="str">
        <f t="shared" si="1378"/>
        <v/>
      </c>
      <c r="Z4452" s="196" t="str">
        <f t="shared" si="1379"/>
        <v/>
      </c>
      <c r="AA4452" s="22"/>
      <c r="AB4452" s="197" t="str">
        <f t="shared" si="1384"/>
        <v/>
      </c>
      <c r="AC4452" s="198" t="str">
        <f t="shared" si="1385"/>
        <v/>
      </c>
      <c r="AD4452" s="162"/>
      <c r="AE4452" s="199" t="str">
        <f t="shared" si="1386"/>
        <v/>
      </c>
      <c r="AF4452" s="199" t="str">
        <f>IF(AND(COUNTIFS($J$18:J4452,J4452)=1,AE4452=1),1,"")</f>
        <v/>
      </c>
      <c r="AG4452" s="199" t="str">
        <f>IF(C4452="","",IF(AND(COUNTIFS($J$18:J4452,J4452)=1,C4452&lt;&gt;""),1,""))</f>
        <v/>
      </c>
      <c r="AH4452" s="199" t="str">
        <f>IF(G4452="","",IF(AND(COUNTIFS($J$18:J4452,J4452)=1,G4452&lt;&gt;""),1,""))</f>
        <v/>
      </c>
      <c r="AI4452" s="200">
        <f t="shared" si="1387"/>
        <v>0</v>
      </c>
      <c r="AJ4452" s="200">
        <f t="shared" si="1388"/>
        <v>0</v>
      </c>
      <c r="AK4452" s="201" t="str">
        <f t="shared" si="1389"/>
        <v/>
      </c>
      <c r="AL4452" s="24"/>
      <c r="AM4452" s="24"/>
      <c r="AN4452" s="24"/>
      <c r="AO4452" s="24"/>
      <c r="AP4452" s="165" t="str">
        <f t="shared" si="1390"/>
        <v/>
      </c>
      <c r="AQ4452" s="203" t="str">
        <f t="shared" si="1391"/>
        <v/>
      </c>
      <c r="AR4452" s="206">
        <f t="shared" si="1392"/>
        <v>0</v>
      </c>
      <c r="AS4452" s="22" t="str">
        <f t="shared" si="1393"/>
        <v/>
      </c>
      <c r="AT4452" s="24" t="str">
        <f t="shared" si="1394"/>
        <v/>
      </c>
      <c r="AU4452" s="22" t="s">
        <v>3240</v>
      </c>
    </row>
    <row r="4453" spans="1:47">
      <c r="A4453" s="246" t="str">
        <f t="shared" si="1382"/>
        <v/>
      </c>
      <c r="B4453" s="23"/>
      <c r="C4453" s="23"/>
      <c r="D4453" s="202" t="str">
        <f t="shared" si="1383"/>
        <v/>
      </c>
      <c r="E4453" s="33" t="str">
        <f t="shared" si="1377"/>
        <v/>
      </c>
      <c r="F4453" s="23"/>
      <c r="G4453" s="23"/>
      <c r="H4453" s="29"/>
      <c r="I4453" s="204" t="str">
        <f t="shared" si="1380"/>
        <v/>
      </c>
      <c r="J4453" s="188"/>
      <c r="K4453" s="29"/>
      <c r="L4453" s="24"/>
      <c r="M4453" s="22"/>
      <c r="N4453" s="22"/>
      <c r="O4453" s="22"/>
      <c r="P4453" s="202" t="str">
        <f t="shared" si="1381"/>
        <v/>
      </c>
      <c r="Q4453" s="22"/>
      <c r="R4453" s="22"/>
      <c r="S4453" s="22"/>
      <c r="T4453" s="22"/>
      <c r="U4453" s="22"/>
      <c r="V4453" s="22"/>
      <c r="W4453" s="22"/>
      <c r="X4453" s="104"/>
      <c r="Y4453" s="195" t="str">
        <f t="shared" si="1378"/>
        <v/>
      </c>
      <c r="Z4453" s="196" t="str">
        <f t="shared" si="1379"/>
        <v/>
      </c>
      <c r="AA4453" s="22"/>
      <c r="AB4453" s="197" t="str">
        <f t="shared" si="1384"/>
        <v/>
      </c>
      <c r="AC4453" s="198" t="str">
        <f t="shared" si="1385"/>
        <v/>
      </c>
      <c r="AD4453" s="162"/>
      <c r="AE4453" s="199" t="str">
        <f t="shared" si="1386"/>
        <v/>
      </c>
      <c r="AF4453" s="199" t="str">
        <f>IF(AND(COUNTIFS($J$18:J4453,J4453)=1,AE4453=1),1,"")</f>
        <v/>
      </c>
      <c r="AG4453" s="199" t="str">
        <f>IF(C4453="","",IF(AND(COUNTIFS($J$18:J4453,J4453)=1,C4453&lt;&gt;""),1,""))</f>
        <v/>
      </c>
      <c r="AH4453" s="199" t="str">
        <f>IF(G4453="","",IF(AND(COUNTIFS($J$18:J4453,J4453)=1,G4453&lt;&gt;""),1,""))</f>
        <v/>
      </c>
      <c r="AI4453" s="200">
        <f t="shared" si="1387"/>
        <v>0</v>
      </c>
      <c r="AJ4453" s="200">
        <f t="shared" si="1388"/>
        <v>0</v>
      </c>
      <c r="AK4453" s="201" t="str">
        <f t="shared" si="1389"/>
        <v/>
      </c>
      <c r="AL4453" s="24"/>
      <c r="AM4453" s="24"/>
      <c r="AN4453" s="24"/>
      <c r="AO4453" s="24"/>
      <c r="AP4453" s="165" t="str">
        <f t="shared" si="1390"/>
        <v/>
      </c>
      <c r="AQ4453" s="203" t="str">
        <f t="shared" si="1391"/>
        <v/>
      </c>
      <c r="AR4453" s="206">
        <f t="shared" si="1392"/>
        <v>0</v>
      </c>
      <c r="AS4453" s="22" t="str">
        <f t="shared" si="1393"/>
        <v/>
      </c>
      <c r="AT4453" s="24" t="str">
        <f t="shared" si="1394"/>
        <v/>
      </c>
      <c r="AU4453" s="22" t="s">
        <v>3240</v>
      </c>
    </row>
    <row r="4454" spans="1:47">
      <c r="A4454" s="246" t="str">
        <f t="shared" si="1382"/>
        <v/>
      </c>
      <c r="B4454" s="23"/>
      <c r="C4454" s="23"/>
      <c r="D4454" s="202" t="str">
        <f t="shared" si="1383"/>
        <v/>
      </c>
      <c r="E4454" s="33" t="str">
        <f t="shared" si="1377"/>
        <v/>
      </c>
      <c r="F4454" s="23"/>
      <c r="G4454" s="23"/>
      <c r="H4454" s="29"/>
      <c r="I4454" s="204" t="str">
        <f t="shared" si="1380"/>
        <v/>
      </c>
      <c r="J4454" s="188"/>
      <c r="K4454" s="29"/>
      <c r="L4454" s="24"/>
      <c r="M4454" s="22"/>
      <c r="N4454" s="22"/>
      <c r="O4454" s="22"/>
      <c r="P4454" s="202" t="str">
        <f t="shared" si="1381"/>
        <v/>
      </c>
      <c r="Q4454" s="22"/>
      <c r="R4454" s="22"/>
      <c r="S4454" s="22"/>
      <c r="T4454" s="22"/>
      <c r="U4454" s="22"/>
      <c r="V4454" s="22"/>
      <c r="W4454" s="22"/>
      <c r="X4454" s="104"/>
      <c r="Y4454" s="195" t="str">
        <f t="shared" si="1378"/>
        <v/>
      </c>
      <c r="Z4454" s="196" t="str">
        <f t="shared" si="1379"/>
        <v/>
      </c>
      <c r="AA4454" s="22"/>
      <c r="AB4454" s="197" t="str">
        <f t="shared" si="1384"/>
        <v/>
      </c>
      <c r="AC4454" s="198" t="str">
        <f t="shared" si="1385"/>
        <v/>
      </c>
      <c r="AD4454" s="162"/>
      <c r="AE4454" s="199" t="str">
        <f t="shared" si="1386"/>
        <v/>
      </c>
      <c r="AF4454" s="199" t="str">
        <f>IF(AND(COUNTIFS($J$18:J4454,J4454)=1,AE4454=1),1,"")</f>
        <v/>
      </c>
      <c r="AG4454" s="199" t="str">
        <f>IF(C4454="","",IF(AND(COUNTIFS($J$18:J4454,J4454)=1,C4454&lt;&gt;""),1,""))</f>
        <v/>
      </c>
      <c r="AH4454" s="199" t="str">
        <f>IF(G4454="","",IF(AND(COUNTIFS($J$18:J4454,J4454)=1,G4454&lt;&gt;""),1,""))</f>
        <v/>
      </c>
      <c r="AI4454" s="200">
        <f t="shared" si="1387"/>
        <v>0</v>
      </c>
      <c r="AJ4454" s="200">
        <f t="shared" si="1388"/>
        <v>0</v>
      </c>
      <c r="AK4454" s="201" t="str">
        <f t="shared" si="1389"/>
        <v/>
      </c>
      <c r="AL4454" s="24"/>
      <c r="AM4454" s="24"/>
      <c r="AN4454" s="24"/>
      <c r="AO4454" s="24"/>
      <c r="AP4454" s="165" t="str">
        <f t="shared" si="1390"/>
        <v/>
      </c>
      <c r="AQ4454" s="203" t="str">
        <f t="shared" si="1391"/>
        <v/>
      </c>
      <c r="AR4454" s="206">
        <f t="shared" si="1392"/>
        <v>0</v>
      </c>
      <c r="AS4454" s="22" t="str">
        <f t="shared" si="1393"/>
        <v/>
      </c>
      <c r="AT4454" s="24" t="str">
        <f t="shared" si="1394"/>
        <v/>
      </c>
      <c r="AU4454" s="22" t="s">
        <v>3240</v>
      </c>
    </row>
    <row r="4455" spans="1:47">
      <c r="A4455" s="246" t="str">
        <f t="shared" si="1382"/>
        <v/>
      </c>
      <c r="B4455" s="23"/>
      <c r="C4455" s="23"/>
      <c r="D4455" s="202" t="str">
        <f t="shared" si="1383"/>
        <v/>
      </c>
      <c r="E4455" s="33" t="str">
        <f t="shared" si="1377"/>
        <v/>
      </c>
      <c r="F4455" s="23"/>
      <c r="G4455" s="23"/>
      <c r="H4455" s="29"/>
      <c r="I4455" s="204" t="str">
        <f t="shared" si="1380"/>
        <v/>
      </c>
      <c r="J4455" s="188"/>
      <c r="K4455" s="29"/>
      <c r="L4455" s="24"/>
      <c r="M4455" s="22"/>
      <c r="N4455" s="22"/>
      <c r="O4455" s="22"/>
      <c r="P4455" s="202" t="str">
        <f t="shared" si="1381"/>
        <v/>
      </c>
      <c r="Q4455" s="22"/>
      <c r="R4455" s="22"/>
      <c r="S4455" s="22"/>
      <c r="T4455" s="22"/>
      <c r="U4455" s="22"/>
      <c r="V4455" s="22"/>
      <c r="W4455" s="22"/>
      <c r="X4455" s="104"/>
      <c r="Y4455" s="195" t="str">
        <f t="shared" si="1378"/>
        <v/>
      </c>
      <c r="Z4455" s="196" t="str">
        <f t="shared" si="1379"/>
        <v/>
      </c>
      <c r="AA4455" s="22"/>
      <c r="AB4455" s="197" t="str">
        <f t="shared" si="1384"/>
        <v/>
      </c>
      <c r="AC4455" s="198" t="str">
        <f t="shared" si="1385"/>
        <v/>
      </c>
      <c r="AD4455" s="162"/>
      <c r="AE4455" s="199" t="str">
        <f t="shared" si="1386"/>
        <v/>
      </c>
      <c r="AF4455" s="199" t="str">
        <f>IF(AND(COUNTIFS($J$18:J4455,J4455)=1,AE4455=1),1,"")</f>
        <v/>
      </c>
      <c r="AG4455" s="199" t="str">
        <f>IF(C4455="","",IF(AND(COUNTIFS($J$18:J4455,J4455)=1,C4455&lt;&gt;""),1,""))</f>
        <v/>
      </c>
      <c r="AH4455" s="199" t="str">
        <f>IF(G4455="","",IF(AND(COUNTIFS($J$18:J4455,J4455)=1,G4455&lt;&gt;""),1,""))</f>
        <v/>
      </c>
      <c r="AI4455" s="200">
        <f t="shared" si="1387"/>
        <v>0</v>
      </c>
      <c r="AJ4455" s="200">
        <f t="shared" si="1388"/>
        <v>0</v>
      </c>
      <c r="AK4455" s="201" t="str">
        <f t="shared" si="1389"/>
        <v/>
      </c>
      <c r="AL4455" s="24"/>
      <c r="AM4455" s="24"/>
      <c r="AN4455" s="24"/>
      <c r="AO4455" s="24"/>
      <c r="AP4455" s="165" t="str">
        <f t="shared" si="1390"/>
        <v/>
      </c>
      <c r="AQ4455" s="203" t="str">
        <f t="shared" si="1391"/>
        <v/>
      </c>
      <c r="AR4455" s="206">
        <f t="shared" si="1392"/>
        <v>0</v>
      </c>
      <c r="AS4455" s="22" t="str">
        <f t="shared" si="1393"/>
        <v/>
      </c>
      <c r="AT4455" s="24" t="str">
        <f t="shared" si="1394"/>
        <v/>
      </c>
      <c r="AU4455" s="22" t="s">
        <v>3240</v>
      </c>
    </row>
    <row r="4456" spans="1:47">
      <c r="A4456" s="246" t="str">
        <f t="shared" si="1382"/>
        <v/>
      </c>
      <c r="B4456" s="23"/>
      <c r="C4456" s="23"/>
      <c r="D4456" s="202" t="str">
        <f t="shared" si="1383"/>
        <v/>
      </c>
      <c r="E4456" s="33" t="str">
        <f t="shared" si="1377"/>
        <v/>
      </c>
      <c r="F4456" s="23"/>
      <c r="G4456" s="23"/>
      <c r="H4456" s="29"/>
      <c r="I4456" s="204" t="str">
        <f t="shared" si="1380"/>
        <v/>
      </c>
      <c r="J4456" s="188"/>
      <c r="K4456" s="29"/>
      <c r="L4456" s="24"/>
      <c r="M4456" s="22"/>
      <c r="N4456" s="22"/>
      <c r="O4456" s="22"/>
      <c r="P4456" s="202" t="str">
        <f t="shared" si="1381"/>
        <v/>
      </c>
      <c r="Q4456" s="22"/>
      <c r="R4456" s="22"/>
      <c r="S4456" s="22"/>
      <c r="T4456" s="22"/>
      <c r="U4456" s="22"/>
      <c r="V4456" s="22"/>
      <c r="W4456" s="22"/>
      <c r="X4456" s="104"/>
      <c r="Y4456" s="195" t="str">
        <f t="shared" si="1378"/>
        <v/>
      </c>
      <c r="Z4456" s="196" t="str">
        <f t="shared" si="1379"/>
        <v/>
      </c>
      <c r="AA4456" s="22"/>
      <c r="AB4456" s="197" t="str">
        <f t="shared" si="1384"/>
        <v/>
      </c>
      <c r="AC4456" s="198" t="str">
        <f t="shared" si="1385"/>
        <v/>
      </c>
      <c r="AD4456" s="162"/>
      <c r="AE4456" s="199" t="str">
        <f t="shared" si="1386"/>
        <v/>
      </c>
      <c r="AF4456" s="199" t="str">
        <f>IF(AND(COUNTIFS($J$18:J4456,J4456)=1,AE4456=1),1,"")</f>
        <v/>
      </c>
      <c r="AG4456" s="199" t="str">
        <f>IF(C4456="","",IF(AND(COUNTIFS($J$18:J4456,J4456)=1,C4456&lt;&gt;""),1,""))</f>
        <v/>
      </c>
      <c r="AH4456" s="199" t="str">
        <f>IF(G4456="","",IF(AND(COUNTIFS($J$18:J4456,J4456)=1,G4456&lt;&gt;""),1,""))</f>
        <v/>
      </c>
      <c r="AI4456" s="200">
        <f t="shared" si="1387"/>
        <v>0</v>
      </c>
      <c r="AJ4456" s="200">
        <f t="shared" si="1388"/>
        <v>0</v>
      </c>
      <c r="AK4456" s="201" t="str">
        <f t="shared" si="1389"/>
        <v/>
      </c>
      <c r="AL4456" s="24"/>
      <c r="AM4456" s="24"/>
      <c r="AN4456" s="24"/>
      <c r="AO4456" s="24"/>
      <c r="AP4456" s="165" t="str">
        <f t="shared" si="1390"/>
        <v/>
      </c>
      <c r="AQ4456" s="203" t="str">
        <f t="shared" si="1391"/>
        <v/>
      </c>
      <c r="AR4456" s="206">
        <f t="shared" si="1392"/>
        <v>0</v>
      </c>
      <c r="AS4456" s="22" t="str">
        <f t="shared" si="1393"/>
        <v/>
      </c>
      <c r="AT4456" s="24" t="str">
        <f t="shared" si="1394"/>
        <v/>
      </c>
      <c r="AU4456" s="22" t="s">
        <v>3240</v>
      </c>
    </row>
    <row r="4457" spans="1:47">
      <c r="A4457" s="246" t="str">
        <f t="shared" si="1382"/>
        <v/>
      </c>
      <c r="B4457" s="23"/>
      <c r="C4457" s="23"/>
      <c r="D4457" s="202" t="str">
        <f t="shared" si="1383"/>
        <v/>
      </c>
      <c r="E4457" s="33" t="str">
        <f t="shared" si="1377"/>
        <v/>
      </c>
      <c r="F4457" s="23"/>
      <c r="G4457" s="23"/>
      <c r="H4457" s="29"/>
      <c r="I4457" s="204" t="str">
        <f t="shared" si="1380"/>
        <v/>
      </c>
      <c r="J4457" s="188"/>
      <c r="K4457" s="29"/>
      <c r="L4457" s="24"/>
      <c r="M4457" s="22"/>
      <c r="N4457" s="22"/>
      <c r="O4457" s="22"/>
      <c r="P4457" s="202" t="str">
        <f t="shared" si="1381"/>
        <v/>
      </c>
      <c r="Q4457" s="22"/>
      <c r="R4457" s="22"/>
      <c r="S4457" s="22"/>
      <c r="T4457" s="22"/>
      <c r="U4457" s="22"/>
      <c r="V4457" s="22"/>
      <c r="W4457" s="22"/>
      <c r="X4457" s="104"/>
      <c r="Y4457" s="195" t="str">
        <f t="shared" si="1378"/>
        <v/>
      </c>
      <c r="Z4457" s="196" t="str">
        <f t="shared" si="1379"/>
        <v/>
      </c>
      <c r="AA4457" s="22"/>
      <c r="AB4457" s="197" t="str">
        <f t="shared" si="1384"/>
        <v/>
      </c>
      <c r="AC4457" s="198" t="str">
        <f t="shared" si="1385"/>
        <v/>
      </c>
      <c r="AD4457" s="162"/>
      <c r="AE4457" s="199" t="str">
        <f t="shared" si="1386"/>
        <v/>
      </c>
      <c r="AF4457" s="199" t="str">
        <f>IF(AND(COUNTIFS($J$18:J4457,J4457)=1,AE4457=1),1,"")</f>
        <v/>
      </c>
      <c r="AG4457" s="199" t="str">
        <f>IF(C4457="","",IF(AND(COUNTIFS($J$18:J4457,J4457)=1,C4457&lt;&gt;""),1,""))</f>
        <v/>
      </c>
      <c r="AH4457" s="199" t="str">
        <f>IF(G4457="","",IF(AND(COUNTIFS($J$18:J4457,J4457)=1,G4457&lt;&gt;""),1,""))</f>
        <v/>
      </c>
      <c r="AI4457" s="200">
        <f t="shared" si="1387"/>
        <v>0</v>
      </c>
      <c r="AJ4457" s="200">
        <f t="shared" si="1388"/>
        <v>0</v>
      </c>
      <c r="AK4457" s="201" t="str">
        <f t="shared" si="1389"/>
        <v/>
      </c>
      <c r="AL4457" s="24"/>
      <c r="AM4457" s="24"/>
      <c r="AN4457" s="24"/>
      <c r="AO4457" s="24"/>
      <c r="AP4457" s="165" t="str">
        <f t="shared" si="1390"/>
        <v/>
      </c>
      <c r="AQ4457" s="203" t="str">
        <f t="shared" si="1391"/>
        <v/>
      </c>
      <c r="AR4457" s="206">
        <f t="shared" si="1392"/>
        <v>0</v>
      </c>
      <c r="AS4457" s="22" t="str">
        <f t="shared" si="1393"/>
        <v/>
      </c>
      <c r="AT4457" s="24" t="str">
        <f t="shared" si="1394"/>
        <v/>
      </c>
      <c r="AU4457" s="22" t="s">
        <v>3240</v>
      </c>
    </row>
    <row r="4458" spans="1:47">
      <c r="A4458" s="246" t="str">
        <f t="shared" si="1382"/>
        <v/>
      </c>
      <c r="B4458" s="23"/>
      <c r="C4458" s="23"/>
      <c r="D4458" s="202" t="str">
        <f t="shared" si="1383"/>
        <v/>
      </c>
      <c r="E4458" s="33" t="str">
        <f t="shared" si="1377"/>
        <v/>
      </c>
      <c r="F4458" s="23"/>
      <c r="G4458" s="23"/>
      <c r="H4458" s="29"/>
      <c r="I4458" s="204" t="str">
        <f t="shared" si="1380"/>
        <v/>
      </c>
      <c r="J4458" s="188"/>
      <c r="K4458" s="29"/>
      <c r="L4458" s="24"/>
      <c r="M4458" s="22"/>
      <c r="N4458" s="22"/>
      <c r="O4458" s="22"/>
      <c r="P4458" s="202" t="str">
        <f t="shared" si="1381"/>
        <v/>
      </c>
      <c r="Q4458" s="22"/>
      <c r="R4458" s="22"/>
      <c r="S4458" s="22"/>
      <c r="T4458" s="22"/>
      <c r="U4458" s="22"/>
      <c r="V4458" s="22"/>
      <c r="W4458" s="22"/>
      <c r="X4458" s="104"/>
      <c r="Y4458" s="195" t="str">
        <f t="shared" si="1378"/>
        <v/>
      </c>
      <c r="Z4458" s="196" t="str">
        <f t="shared" si="1379"/>
        <v/>
      </c>
      <c r="AA4458" s="22"/>
      <c r="AB4458" s="197" t="str">
        <f t="shared" si="1384"/>
        <v/>
      </c>
      <c r="AC4458" s="198" t="str">
        <f t="shared" si="1385"/>
        <v/>
      </c>
      <c r="AD4458" s="162"/>
      <c r="AE4458" s="199" t="str">
        <f t="shared" si="1386"/>
        <v/>
      </c>
      <c r="AF4458" s="199" t="str">
        <f>IF(AND(COUNTIFS($J$18:J4458,J4458)=1,AE4458=1),1,"")</f>
        <v/>
      </c>
      <c r="AG4458" s="199" t="str">
        <f>IF(C4458="","",IF(AND(COUNTIFS($J$18:J4458,J4458)=1,C4458&lt;&gt;""),1,""))</f>
        <v/>
      </c>
      <c r="AH4458" s="199" t="str">
        <f>IF(G4458="","",IF(AND(COUNTIFS($J$18:J4458,J4458)=1,G4458&lt;&gt;""),1,""))</f>
        <v/>
      </c>
      <c r="AI4458" s="200">
        <f t="shared" si="1387"/>
        <v>0</v>
      </c>
      <c r="AJ4458" s="200">
        <f t="shared" si="1388"/>
        <v>0</v>
      </c>
      <c r="AK4458" s="201" t="str">
        <f t="shared" si="1389"/>
        <v/>
      </c>
      <c r="AL4458" s="24"/>
      <c r="AM4458" s="24"/>
      <c r="AN4458" s="24"/>
      <c r="AO4458" s="24"/>
      <c r="AP4458" s="165" t="str">
        <f t="shared" si="1390"/>
        <v/>
      </c>
      <c r="AQ4458" s="203" t="str">
        <f t="shared" si="1391"/>
        <v/>
      </c>
      <c r="AR4458" s="206">
        <f t="shared" si="1392"/>
        <v>0</v>
      </c>
      <c r="AS4458" s="22" t="str">
        <f t="shared" si="1393"/>
        <v/>
      </c>
      <c r="AT4458" s="24" t="str">
        <f t="shared" si="1394"/>
        <v/>
      </c>
      <c r="AU4458" s="22" t="s">
        <v>3240</v>
      </c>
    </row>
    <row r="4459" spans="1:47">
      <c r="A4459" s="246" t="str">
        <f t="shared" si="1382"/>
        <v/>
      </c>
      <c r="B4459" s="23"/>
      <c r="C4459" s="23"/>
      <c r="D4459" s="202" t="str">
        <f t="shared" si="1383"/>
        <v/>
      </c>
      <c r="E4459" s="33" t="str">
        <f t="shared" si="1377"/>
        <v/>
      </c>
      <c r="F4459" s="23"/>
      <c r="G4459" s="23"/>
      <c r="H4459" s="29"/>
      <c r="I4459" s="204" t="str">
        <f t="shared" si="1380"/>
        <v/>
      </c>
      <c r="J4459" s="188"/>
      <c r="K4459" s="29"/>
      <c r="L4459" s="24"/>
      <c r="M4459" s="22"/>
      <c r="N4459" s="22"/>
      <c r="O4459" s="22"/>
      <c r="P4459" s="202" t="str">
        <f t="shared" si="1381"/>
        <v/>
      </c>
      <c r="Q4459" s="22"/>
      <c r="R4459" s="22"/>
      <c r="S4459" s="22"/>
      <c r="T4459" s="22"/>
      <c r="U4459" s="22"/>
      <c r="V4459" s="22"/>
      <c r="W4459" s="22"/>
      <c r="X4459" s="104"/>
      <c r="Y4459" s="195" t="str">
        <f t="shared" si="1378"/>
        <v/>
      </c>
      <c r="Z4459" s="196" t="str">
        <f t="shared" si="1379"/>
        <v/>
      </c>
      <c r="AA4459" s="22"/>
      <c r="AB4459" s="197" t="str">
        <f t="shared" si="1384"/>
        <v/>
      </c>
      <c r="AC4459" s="198" t="str">
        <f t="shared" si="1385"/>
        <v/>
      </c>
      <c r="AD4459" s="162"/>
      <c r="AE4459" s="199" t="str">
        <f t="shared" si="1386"/>
        <v/>
      </c>
      <c r="AF4459" s="199" t="str">
        <f>IF(AND(COUNTIFS($J$18:J4459,J4459)=1,AE4459=1),1,"")</f>
        <v/>
      </c>
      <c r="AG4459" s="199" t="str">
        <f>IF(C4459="","",IF(AND(COUNTIFS($J$18:J4459,J4459)=1,C4459&lt;&gt;""),1,""))</f>
        <v/>
      </c>
      <c r="AH4459" s="199" t="str">
        <f>IF(G4459="","",IF(AND(COUNTIFS($J$18:J4459,J4459)=1,G4459&lt;&gt;""),1,""))</f>
        <v/>
      </c>
      <c r="AI4459" s="200">
        <f t="shared" si="1387"/>
        <v>0</v>
      </c>
      <c r="AJ4459" s="200">
        <f t="shared" si="1388"/>
        <v>0</v>
      </c>
      <c r="AK4459" s="201" t="str">
        <f t="shared" si="1389"/>
        <v/>
      </c>
      <c r="AL4459" s="24"/>
      <c r="AM4459" s="24"/>
      <c r="AN4459" s="24"/>
      <c r="AO4459" s="24"/>
      <c r="AP4459" s="165" t="str">
        <f t="shared" si="1390"/>
        <v/>
      </c>
      <c r="AQ4459" s="203" t="str">
        <f t="shared" si="1391"/>
        <v/>
      </c>
      <c r="AR4459" s="206">
        <f t="shared" si="1392"/>
        <v>0</v>
      </c>
      <c r="AS4459" s="22" t="str">
        <f t="shared" si="1393"/>
        <v/>
      </c>
      <c r="AT4459" s="24" t="str">
        <f t="shared" si="1394"/>
        <v/>
      </c>
      <c r="AU4459" s="22" t="s">
        <v>3240</v>
      </c>
    </row>
    <row r="4460" spans="1:47">
      <c r="A4460" s="246" t="str">
        <f t="shared" si="1382"/>
        <v/>
      </c>
      <c r="B4460" s="23"/>
      <c r="C4460" s="23"/>
      <c r="D4460" s="202" t="str">
        <f t="shared" si="1383"/>
        <v/>
      </c>
      <c r="E4460" s="33" t="str">
        <f t="shared" si="1377"/>
        <v/>
      </c>
      <c r="F4460" s="23"/>
      <c r="G4460" s="23"/>
      <c r="H4460" s="29"/>
      <c r="I4460" s="204" t="str">
        <f t="shared" si="1380"/>
        <v/>
      </c>
      <c r="J4460" s="188"/>
      <c r="K4460" s="29"/>
      <c r="L4460" s="24"/>
      <c r="M4460" s="22"/>
      <c r="N4460" s="22"/>
      <c r="O4460" s="22"/>
      <c r="P4460" s="202" t="str">
        <f t="shared" si="1381"/>
        <v/>
      </c>
      <c r="Q4460" s="22"/>
      <c r="R4460" s="22"/>
      <c r="S4460" s="22"/>
      <c r="T4460" s="22"/>
      <c r="U4460" s="22"/>
      <c r="V4460" s="22"/>
      <c r="W4460" s="22"/>
      <c r="X4460" s="104"/>
      <c r="Y4460" s="195" t="str">
        <f t="shared" si="1378"/>
        <v/>
      </c>
      <c r="Z4460" s="196" t="str">
        <f t="shared" si="1379"/>
        <v/>
      </c>
      <c r="AA4460" s="22"/>
      <c r="AB4460" s="197" t="str">
        <f t="shared" si="1384"/>
        <v/>
      </c>
      <c r="AC4460" s="198" t="str">
        <f t="shared" si="1385"/>
        <v/>
      </c>
      <c r="AD4460" s="162"/>
      <c r="AE4460" s="199" t="str">
        <f t="shared" si="1386"/>
        <v/>
      </c>
      <c r="AF4460" s="199" t="str">
        <f>IF(AND(COUNTIFS($J$18:J4460,J4460)=1,AE4460=1),1,"")</f>
        <v/>
      </c>
      <c r="AG4460" s="199" t="str">
        <f>IF(C4460="","",IF(AND(COUNTIFS($J$18:J4460,J4460)=1,C4460&lt;&gt;""),1,""))</f>
        <v/>
      </c>
      <c r="AH4460" s="199" t="str">
        <f>IF(G4460="","",IF(AND(COUNTIFS($J$18:J4460,J4460)=1,G4460&lt;&gt;""),1,""))</f>
        <v/>
      </c>
      <c r="AI4460" s="200">
        <f t="shared" si="1387"/>
        <v>0</v>
      </c>
      <c r="AJ4460" s="200">
        <f t="shared" si="1388"/>
        <v>0</v>
      </c>
      <c r="AK4460" s="201" t="str">
        <f t="shared" si="1389"/>
        <v/>
      </c>
      <c r="AL4460" s="24"/>
      <c r="AM4460" s="24"/>
      <c r="AN4460" s="24"/>
      <c r="AO4460" s="24"/>
      <c r="AP4460" s="165" t="str">
        <f t="shared" si="1390"/>
        <v/>
      </c>
      <c r="AQ4460" s="203" t="str">
        <f t="shared" si="1391"/>
        <v/>
      </c>
      <c r="AR4460" s="206">
        <f t="shared" si="1392"/>
        <v>0</v>
      </c>
      <c r="AS4460" s="22" t="str">
        <f t="shared" si="1393"/>
        <v/>
      </c>
      <c r="AT4460" s="24" t="str">
        <f t="shared" si="1394"/>
        <v/>
      </c>
      <c r="AU4460" s="22" t="s">
        <v>3240</v>
      </c>
    </row>
    <row r="4461" spans="1:47">
      <c r="A4461" s="246" t="str">
        <f t="shared" si="1382"/>
        <v/>
      </c>
      <c r="B4461" s="23"/>
      <c r="C4461" s="23"/>
      <c r="D4461" s="202" t="str">
        <f t="shared" si="1383"/>
        <v/>
      </c>
      <c r="E4461" s="33" t="str">
        <f t="shared" si="1377"/>
        <v/>
      </c>
      <c r="F4461" s="23"/>
      <c r="G4461" s="23"/>
      <c r="H4461" s="29"/>
      <c r="I4461" s="204" t="str">
        <f t="shared" si="1380"/>
        <v/>
      </c>
      <c r="J4461" s="188"/>
      <c r="K4461" s="29"/>
      <c r="L4461" s="24"/>
      <c r="M4461" s="22"/>
      <c r="N4461" s="22"/>
      <c r="O4461" s="22"/>
      <c r="P4461" s="202" t="str">
        <f t="shared" si="1381"/>
        <v/>
      </c>
      <c r="Q4461" s="22"/>
      <c r="R4461" s="22"/>
      <c r="S4461" s="22"/>
      <c r="T4461" s="22"/>
      <c r="U4461" s="22"/>
      <c r="V4461" s="22"/>
      <c r="W4461" s="22"/>
      <c r="X4461" s="104"/>
      <c r="Y4461" s="195" t="str">
        <f t="shared" si="1378"/>
        <v/>
      </c>
      <c r="Z4461" s="196" t="str">
        <f t="shared" si="1379"/>
        <v/>
      </c>
      <c r="AA4461" s="22"/>
      <c r="AB4461" s="197" t="str">
        <f t="shared" si="1384"/>
        <v/>
      </c>
      <c r="AC4461" s="198" t="str">
        <f t="shared" si="1385"/>
        <v/>
      </c>
      <c r="AD4461" s="162"/>
      <c r="AE4461" s="199" t="str">
        <f t="shared" si="1386"/>
        <v/>
      </c>
      <c r="AF4461" s="199" t="str">
        <f>IF(AND(COUNTIFS($J$18:J4461,J4461)=1,AE4461=1),1,"")</f>
        <v/>
      </c>
      <c r="AG4461" s="199" t="str">
        <f>IF(C4461="","",IF(AND(COUNTIFS($J$18:J4461,J4461)=1,C4461&lt;&gt;""),1,""))</f>
        <v/>
      </c>
      <c r="AH4461" s="199" t="str">
        <f>IF(G4461="","",IF(AND(COUNTIFS($J$18:J4461,J4461)=1,G4461&lt;&gt;""),1,""))</f>
        <v/>
      </c>
      <c r="AI4461" s="200">
        <f t="shared" si="1387"/>
        <v>0</v>
      </c>
      <c r="AJ4461" s="200">
        <f t="shared" si="1388"/>
        <v>0</v>
      </c>
      <c r="AK4461" s="201" t="str">
        <f t="shared" si="1389"/>
        <v/>
      </c>
      <c r="AL4461" s="24"/>
      <c r="AM4461" s="24"/>
      <c r="AN4461" s="24"/>
      <c r="AO4461" s="24"/>
      <c r="AP4461" s="165" t="str">
        <f t="shared" si="1390"/>
        <v/>
      </c>
      <c r="AQ4461" s="203" t="str">
        <f t="shared" si="1391"/>
        <v/>
      </c>
      <c r="AR4461" s="206">
        <f t="shared" si="1392"/>
        <v>0</v>
      </c>
      <c r="AS4461" s="22" t="str">
        <f t="shared" si="1393"/>
        <v/>
      </c>
      <c r="AT4461" s="24" t="str">
        <f t="shared" si="1394"/>
        <v/>
      </c>
      <c r="AU4461" s="22" t="s">
        <v>3240</v>
      </c>
    </row>
    <row r="4462" spans="1:47">
      <c r="A4462" s="246" t="str">
        <f t="shared" si="1382"/>
        <v/>
      </c>
      <c r="B4462" s="23"/>
      <c r="C4462" s="23"/>
      <c r="D4462" s="202" t="str">
        <f t="shared" si="1383"/>
        <v/>
      </c>
      <c r="E4462" s="33" t="str">
        <f t="shared" si="1377"/>
        <v/>
      </c>
      <c r="F4462" s="23"/>
      <c r="G4462" s="23"/>
      <c r="H4462" s="29"/>
      <c r="I4462" s="204" t="str">
        <f t="shared" si="1380"/>
        <v/>
      </c>
      <c r="J4462" s="188"/>
      <c r="K4462" s="29"/>
      <c r="L4462" s="24"/>
      <c r="M4462" s="22"/>
      <c r="N4462" s="22"/>
      <c r="O4462" s="22"/>
      <c r="P4462" s="202" t="str">
        <f t="shared" si="1381"/>
        <v/>
      </c>
      <c r="Q4462" s="22"/>
      <c r="R4462" s="22"/>
      <c r="S4462" s="22"/>
      <c r="T4462" s="22"/>
      <c r="U4462" s="22"/>
      <c r="V4462" s="22"/>
      <c r="W4462" s="22"/>
      <c r="X4462" s="104"/>
      <c r="Y4462" s="195" t="str">
        <f t="shared" si="1378"/>
        <v/>
      </c>
      <c r="Z4462" s="196" t="str">
        <f t="shared" si="1379"/>
        <v/>
      </c>
      <c r="AA4462" s="22"/>
      <c r="AB4462" s="197" t="str">
        <f t="shared" si="1384"/>
        <v/>
      </c>
      <c r="AC4462" s="198" t="str">
        <f t="shared" si="1385"/>
        <v/>
      </c>
      <c r="AD4462" s="162"/>
      <c r="AE4462" s="199" t="str">
        <f t="shared" si="1386"/>
        <v/>
      </c>
      <c r="AF4462" s="199" t="str">
        <f>IF(AND(COUNTIFS($J$18:J4462,J4462)=1,AE4462=1),1,"")</f>
        <v/>
      </c>
      <c r="AG4462" s="199" t="str">
        <f>IF(C4462="","",IF(AND(COUNTIFS($J$18:J4462,J4462)=1,C4462&lt;&gt;""),1,""))</f>
        <v/>
      </c>
      <c r="AH4462" s="199" t="str">
        <f>IF(G4462="","",IF(AND(COUNTIFS($J$18:J4462,J4462)=1,G4462&lt;&gt;""),1,""))</f>
        <v/>
      </c>
      <c r="AI4462" s="200">
        <f t="shared" si="1387"/>
        <v>0</v>
      </c>
      <c r="AJ4462" s="200">
        <f t="shared" si="1388"/>
        <v>0</v>
      </c>
      <c r="AK4462" s="201" t="str">
        <f t="shared" si="1389"/>
        <v/>
      </c>
      <c r="AL4462" s="24"/>
      <c r="AM4462" s="24"/>
      <c r="AN4462" s="24"/>
      <c r="AO4462" s="24"/>
      <c r="AP4462" s="165" t="str">
        <f t="shared" si="1390"/>
        <v/>
      </c>
      <c r="AQ4462" s="203" t="str">
        <f t="shared" si="1391"/>
        <v/>
      </c>
      <c r="AR4462" s="206">
        <f t="shared" si="1392"/>
        <v>0</v>
      </c>
      <c r="AS4462" s="22" t="str">
        <f t="shared" si="1393"/>
        <v/>
      </c>
      <c r="AT4462" s="24" t="str">
        <f t="shared" si="1394"/>
        <v/>
      </c>
      <c r="AU4462" s="22" t="s">
        <v>3240</v>
      </c>
    </row>
    <row r="4463" spans="1:47">
      <c r="A4463" s="246" t="str">
        <f t="shared" si="1382"/>
        <v/>
      </c>
      <c r="B4463" s="23"/>
      <c r="C4463" s="23"/>
      <c r="D4463" s="202" t="str">
        <f t="shared" si="1383"/>
        <v/>
      </c>
      <c r="E4463" s="33" t="str">
        <f t="shared" si="1377"/>
        <v/>
      </c>
      <c r="F4463" s="23"/>
      <c r="G4463" s="23"/>
      <c r="H4463" s="29"/>
      <c r="I4463" s="204" t="str">
        <f t="shared" si="1380"/>
        <v/>
      </c>
      <c r="J4463" s="188"/>
      <c r="K4463" s="29"/>
      <c r="L4463" s="24"/>
      <c r="M4463" s="22"/>
      <c r="N4463" s="22"/>
      <c r="O4463" s="22"/>
      <c r="P4463" s="202" t="str">
        <f t="shared" si="1381"/>
        <v/>
      </c>
      <c r="Q4463" s="22"/>
      <c r="R4463" s="22"/>
      <c r="S4463" s="22"/>
      <c r="T4463" s="22"/>
      <c r="U4463" s="22"/>
      <c r="V4463" s="22"/>
      <c r="W4463" s="22"/>
      <c r="X4463" s="104"/>
      <c r="Y4463" s="195" t="str">
        <f t="shared" si="1378"/>
        <v/>
      </c>
      <c r="Z4463" s="196" t="str">
        <f t="shared" si="1379"/>
        <v/>
      </c>
      <c r="AA4463" s="22"/>
      <c r="AB4463" s="197" t="str">
        <f t="shared" si="1384"/>
        <v/>
      </c>
      <c r="AC4463" s="198" t="str">
        <f t="shared" si="1385"/>
        <v/>
      </c>
      <c r="AD4463" s="162"/>
      <c r="AE4463" s="199" t="str">
        <f t="shared" si="1386"/>
        <v/>
      </c>
      <c r="AF4463" s="199" t="str">
        <f>IF(AND(COUNTIFS($J$18:J4463,J4463)=1,AE4463=1),1,"")</f>
        <v/>
      </c>
      <c r="AG4463" s="199" t="str">
        <f>IF(C4463="","",IF(AND(COUNTIFS($J$18:J4463,J4463)=1,C4463&lt;&gt;""),1,""))</f>
        <v/>
      </c>
      <c r="AH4463" s="199" t="str">
        <f>IF(G4463="","",IF(AND(COUNTIFS($J$18:J4463,J4463)=1,G4463&lt;&gt;""),1,""))</f>
        <v/>
      </c>
      <c r="AI4463" s="200">
        <f t="shared" si="1387"/>
        <v>0</v>
      </c>
      <c r="AJ4463" s="200">
        <f t="shared" si="1388"/>
        <v>0</v>
      </c>
      <c r="AK4463" s="201" t="str">
        <f t="shared" si="1389"/>
        <v/>
      </c>
      <c r="AL4463" s="24"/>
      <c r="AM4463" s="24"/>
      <c r="AN4463" s="24"/>
      <c r="AO4463" s="24"/>
      <c r="AP4463" s="165" t="str">
        <f t="shared" si="1390"/>
        <v/>
      </c>
      <c r="AQ4463" s="203" t="str">
        <f t="shared" si="1391"/>
        <v/>
      </c>
      <c r="AR4463" s="206">
        <f t="shared" si="1392"/>
        <v>0</v>
      </c>
      <c r="AS4463" s="22" t="str">
        <f t="shared" si="1393"/>
        <v/>
      </c>
      <c r="AT4463" s="24" t="str">
        <f t="shared" si="1394"/>
        <v/>
      </c>
      <c r="AU4463" s="22" t="s">
        <v>3240</v>
      </c>
    </row>
    <row r="4464" spans="1:47">
      <c r="A4464" s="246" t="str">
        <f t="shared" si="1382"/>
        <v/>
      </c>
      <c r="B4464" s="23"/>
      <c r="C4464" s="23"/>
      <c r="D4464" s="202" t="str">
        <f t="shared" si="1383"/>
        <v/>
      </c>
      <c r="E4464" s="33" t="str">
        <f t="shared" si="1377"/>
        <v/>
      </c>
      <c r="F4464" s="23"/>
      <c r="G4464" s="23"/>
      <c r="H4464" s="29"/>
      <c r="I4464" s="204" t="str">
        <f t="shared" si="1380"/>
        <v/>
      </c>
      <c r="J4464" s="188"/>
      <c r="K4464" s="29"/>
      <c r="L4464" s="24"/>
      <c r="M4464" s="22"/>
      <c r="N4464" s="22"/>
      <c r="O4464" s="22"/>
      <c r="P4464" s="202" t="str">
        <f t="shared" si="1381"/>
        <v/>
      </c>
      <c r="Q4464" s="22"/>
      <c r="R4464" s="22"/>
      <c r="S4464" s="22"/>
      <c r="T4464" s="22"/>
      <c r="U4464" s="22"/>
      <c r="V4464" s="22"/>
      <c r="W4464" s="22"/>
      <c r="X4464" s="104"/>
      <c r="Y4464" s="195" t="str">
        <f t="shared" si="1378"/>
        <v/>
      </c>
      <c r="Z4464" s="196" t="str">
        <f t="shared" si="1379"/>
        <v/>
      </c>
      <c r="AA4464" s="22"/>
      <c r="AB4464" s="197" t="str">
        <f t="shared" si="1384"/>
        <v/>
      </c>
      <c r="AC4464" s="198" t="str">
        <f t="shared" si="1385"/>
        <v/>
      </c>
      <c r="AD4464" s="162"/>
      <c r="AE4464" s="199" t="str">
        <f t="shared" si="1386"/>
        <v/>
      </c>
      <c r="AF4464" s="199" t="str">
        <f>IF(AND(COUNTIFS($J$18:J4464,J4464)=1,AE4464=1),1,"")</f>
        <v/>
      </c>
      <c r="AG4464" s="199" t="str">
        <f>IF(C4464="","",IF(AND(COUNTIFS($J$18:J4464,J4464)=1,C4464&lt;&gt;""),1,""))</f>
        <v/>
      </c>
      <c r="AH4464" s="199" t="str">
        <f>IF(G4464="","",IF(AND(COUNTIFS($J$18:J4464,J4464)=1,G4464&lt;&gt;""),1,""))</f>
        <v/>
      </c>
      <c r="AI4464" s="200">
        <f t="shared" si="1387"/>
        <v>0</v>
      </c>
      <c r="AJ4464" s="200">
        <f t="shared" si="1388"/>
        <v>0</v>
      </c>
      <c r="AK4464" s="201" t="str">
        <f t="shared" si="1389"/>
        <v/>
      </c>
      <c r="AL4464" s="24"/>
      <c r="AM4464" s="24"/>
      <c r="AN4464" s="24"/>
      <c r="AO4464" s="24"/>
      <c r="AP4464" s="165" t="str">
        <f t="shared" si="1390"/>
        <v/>
      </c>
      <c r="AQ4464" s="203" t="str">
        <f t="shared" si="1391"/>
        <v/>
      </c>
      <c r="AR4464" s="206">
        <f t="shared" si="1392"/>
        <v>0</v>
      </c>
      <c r="AS4464" s="22" t="str">
        <f t="shared" si="1393"/>
        <v/>
      </c>
      <c r="AT4464" s="24" t="str">
        <f t="shared" si="1394"/>
        <v/>
      </c>
      <c r="AU4464" s="22" t="s">
        <v>3240</v>
      </c>
    </row>
    <row r="4465" spans="1:47">
      <c r="A4465" s="246" t="str">
        <f t="shared" si="1382"/>
        <v/>
      </c>
      <c r="B4465" s="23"/>
      <c r="C4465" s="23"/>
      <c r="D4465" s="202" t="str">
        <f t="shared" si="1383"/>
        <v/>
      </c>
      <c r="E4465" s="33" t="str">
        <f t="shared" si="1377"/>
        <v/>
      </c>
      <c r="F4465" s="23"/>
      <c r="G4465" s="23"/>
      <c r="H4465" s="29"/>
      <c r="I4465" s="204" t="str">
        <f t="shared" si="1380"/>
        <v/>
      </c>
      <c r="J4465" s="188"/>
      <c r="K4465" s="29"/>
      <c r="L4465" s="24"/>
      <c r="M4465" s="22"/>
      <c r="N4465" s="22"/>
      <c r="O4465" s="22"/>
      <c r="P4465" s="202" t="str">
        <f t="shared" si="1381"/>
        <v/>
      </c>
      <c r="Q4465" s="22"/>
      <c r="R4465" s="22"/>
      <c r="S4465" s="22"/>
      <c r="T4465" s="22"/>
      <c r="U4465" s="22"/>
      <c r="V4465" s="22"/>
      <c r="W4465" s="22"/>
      <c r="X4465" s="104"/>
      <c r="Y4465" s="195" t="str">
        <f t="shared" si="1378"/>
        <v/>
      </c>
      <c r="Z4465" s="196" t="str">
        <f t="shared" si="1379"/>
        <v/>
      </c>
      <c r="AA4465" s="22"/>
      <c r="AB4465" s="197" t="str">
        <f t="shared" si="1384"/>
        <v/>
      </c>
      <c r="AC4465" s="198" t="str">
        <f t="shared" si="1385"/>
        <v/>
      </c>
      <c r="AD4465" s="162"/>
      <c r="AE4465" s="199" t="str">
        <f t="shared" si="1386"/>
        <v/>
      </c>
      <c r="AF4465" s="199" t="str">
        <f>IF(AND(COUNTIFS($J$18:J4465,J4465)=1,AE4465=1),1,"")</f>
        <v/>
      </c>
      <c r="AG4465" s="199" t="str">
        <f>IF(C4465="","",IF(AND(COUNTIFS($J$18:J4465,J4465)=1,C4465&lt;&gt;""),1,""))</f>
        <v/>
      </c>
      <c r="AH4465" s="199" t="str">
        <f>IF(G4465="","",IF(AND(COUNTIFS($J$18:J4465,J4465)=1,G4465&lt;&gt;""),1,""))</f>
        <v/>
      </c>
      <c r="AI4465" s="200">
        <f t="shared" si="1387"/>
        <v>0</v>
      </c>
      <c r="AJ4465" s="200">
        <f t="shared" si="1388"/>
        <v>0</v>
      </c>
      <c r="AK4465" s="201" t="str">
        <f t="shared" si="1389"/>
        <v/>
      </c>
      <c r="AL4465" s="24"/>
      <c r="AM4465" s="24"/>
      <c r="AN4465" s="24"/>
      <c r="AO4465" s="24"/>
      <c r="AP4465" s="165" t="str">
        <f t="shared" si="1390"/>
        <v/>
      </c>
      <c r="AQ4465" s="203" t="str">
        <f t="shared" si="1391"/>
        <v/>
      </c>
      <c r="AR4465" s="206">
        <f t="shared" si="1392"/>
        <v>0</v>
      </c>
      <c r="AS4465" s="22" t="str">
        <f t="shared" si="1393"/>
        <v/>
      </c>
      <c r="AT4465" s="24" t="str">
        <f t="shared" si="1394"/>
        <v/>
      </c>
      <c r="AU4465" s="22" t="s">
        <v>3240</v>
      </c>
    </row>
    <row r="4466" spans="1:47">
      <c r="A4466" s="246" t="str">
        <f t="shared" si="1382"/>
        <v/>
      </c>
      <c r="B4466" s="23"/>
      <c r="C4466" s="23"/>
      <c r="D4466" s="202" t="str">
        <f t="shared" si="1383"/>
        <v/>
      </c>
      <c r="E4466" s="33" t="str">
        <f t="shared" si="1377"/>
        <v/>
      </c>
      <c r="F4466" s="23"/>
      <c r="G4466" s="23"/>
      <c r="H4466" s="29"/>
      <c r="I4466" s="204" t="str">
        <f t="shared" si="1380"/>
        <v/>
      </c>
      <c r="J4466" s="188"/>
      <c r="K4466" s="29"/>
      <c r="L4466" s="24"/>
      <c r="M4466" s="22"/>
      <c r="N4466" s="22"/>
      <c r="O4466" s="22"/>
      <c r="P4466" s="202" t="str">
        <f t="shared" si="1381"/>
        <v/>
      </c>
      <c r="Q4466" s="22"/>
      <c r="R4466" s="22"/>
      <c r="S4466" s="22"/>
      <c r="T4466" s="22"/>
      <c r="U4466" s="22"/>
      <c r="V4466" s="22"/>
      <c r="W4466" s="22"/>
      <c r="X4466" s="104"/>
      <c r="Y4466" s="195" t="str">
        <f t="shared" si="1378"/>
        <v/>
      </c>
      <c r="Z4466" s="196" t="str">
        <f t="shared" si="1379"/>
        <v/>
      </c>
      <c r="AA4466" s="22"/>
      <c r="AB4466" s="197" t="str">
        <f t="shared" si="1384"/>
        <v/>
      </c>
      <c r="AC4466" s="198" t="str">
        <f t="shared" si="1385"/>
        <v/>
      </c>
      <c r="AD4466" s="162"/>
      <c r="AE4466" s="199" t="str">
        <f t="shared" si="1386"/>
        <v/>
      </c>
      <c r="AF4466" s="199" t="str">
        <f>IF(AND(COUNTIFS($J$18:J4466,J4466)=1,AE4466=1),1,"")</f>
        <v/>
      </c>
      <c r="AG4466" s="199" t="str">
        <f>IF(C4466="","",IF(AND(COUNTIFS($J$18:J4466,J4466)=1,C4466&lt;&gt;""),1,""))</f>
        <v/>
      </c>
      <c r="AH4466" s="199" t="str">
        <f>IF(G4466="","",IF(AND(COUNTIFS($J$18:J4466,J4466)=1,G4466&lt;&gt;""),1,""))</f>
        <v/>
      </c>
      <c r="AI4466" s="200">
        <f t="shared" si="1387"/>
        <v>0</v>
      </c>
      <c r="AJ4466" s="200">
        <f t="shared" si="1388"/>
        <v>0</v>
      </c>
      <c r="AK4466" s="201" t="str">
        <f t="shared" si="1389"/>
        <v/>
      </c>
      <c r="AL4466" s="24"/>
      <c r="AM4466" s="24"/>
      <c r="AN4466" s="24"/>
      <c r="AO4466" s="24"/>
      <c r="AP4466" s="165" t="str">
        <f t="shared" si="1390"/>
        <v/>
      </c>
      <c r="AQ4466" s="203" t="str">
        <f t="shared" si="1391"/>
        <v/>
      </c>
      <c r="AR4466" s="206">
        <f t="shared" si="1392"/>
        <v>0</v>
      </c>
      <c r="AS4466" s="22" t="str">
        <f t="shared" si="1393"/>
        <v/>
      </c>
      <c r="AT4466" s="24" t="str">
        <f t="shared" si="1394"/>
        <v/>
      </c>
      <c r="AU4466" s="22" t="s">
        <v>3240</v>
      </c>
    </row>
    <row r="4467" spans="1:47">
      <c r="A4467" s="246" t="str">
        <f t="shared" si="1382"/>
        <v/>
      </c>
      <c r="B4467" s="23"/>
      <c r="C4467" s="23"/>
      <c r="D4467" s="202" t="str">
        <f t="shared" si="1383"/>
        <v/>
      </c>
      <c r="E4467" s="33" t="str">
        <f t="shared" si="1377"/>
        <v/>
      </c>
      <c r="F4467" s="23"/>
      <c r="G4467" s="23"/>
      <c r="H4467" s="29"/>
      <c r="I4467" s="204" t="str">
        <f t="shared" si="1380"/>
        <v/>
      </c>
      <c r="J4467" s="188"/>
      <c r="K4467" s="29"/>
      <c r="L4467" s="24"/>
      <c r="M4467" s="22"/>
      <c r="N4467" s="22"/>
      <c r="O4467" s="22"/>
      <c r="P4467" s="202" t="str">
        <f t="shared" si="1381"/>
        <v/>
      </c>
      <c r="Q4467" s="22"/>
      <c r="R4467" s="22"/>
      <c r="S4467" s="22"/>
      <c r="T4467" s="22"/>
      <c r="U4467" s="22"/>
      <c r="V4467" s="22"/>
      <c r="W4467" s="22"/>
      <c r="X4467" s="104"/>
      <c r="Y4467" s="195" t="str">
        <f t="shared" si="1378"/>
        <v/>
      </c>
      <c r="Z4467" s="196" t="str">
        <f t="shared" si="1379"/>
        <v/>
      </c>
      <c r="AA4467" s="22"/>
      <c r="AB4467" s="197" t="str">
        <f t="shared" si="1384"/>
        <v/>
      </c>
      <c r="AC4467" s="198" t="str">
        <f t="shared" si="1385"/>
        <v/>
      </c>
      <c r="AD4467" s="162"/>
      <c r="AE4467" s="199" t="str">
        <f t="shared" si="1386"/>
        <v/>
      </c>
      <c r="AF4467" s="199" t="str">
        <f>IF(AND(COUNTIFS($J$18:J4467,J4467)=1,AE4467=1),1,"")</f>
        <v/>
      </c>
      <c r="AG4467" s="199" t="str">
        <f>IF(C4467="","",IF(AND(COUNTIFS($J$18:J4467,J4467)=1,C4467&lt;&gt;""),1,""))</f>
        <v/>
      </c>
      <c r="AH4467" s="199" t="str">
        <f>IF(G4467="","",IF(AND(COUNTIFS($J$18:J4467,J4467)=1,G4467&lt;&gt;""),1,""))</f>
        <v/>
      </c>
      <c r="AI4467" s="200">
        <f t="shared" si="1387"/>
        <v>0</v>
      </c>
      <c r="AJ4467" s="200">
        <f t="shared" si="1388"/>
        <v>0</v>
      </c>
      <c r="AK4467" s="201" t="str">
        <f t="shared" si="1389"/>
        <v/>
      </c>
      <c r="AL4467" s="24"/>
      <c r="AM4467" s="24"/>
      <c r="AN4467" s="24"/>
      <c r="AO4467" s="24"/>
      <c r="AP4467" s="165" t="str">
        <f t="shared" si="1390"/>
        <v/>
      </c>
      <c r="AQ4467" s="203" t="str">
        <f t="shared" si="1391"/>
        <v/>
      </c>
      <c r="AR4467" s="206">
        <f t="shared" si="1392"/>
        <v>0</v>
      </c>
      <c r="AS4467" s="22" t="str">
        <f t="shared" si="1393"/>
        <v/>
      </c>
      <c r="AT4467" s="24" t="str">
        <f t="shared" si="1394"/>
        <v/>
      </c>
      <c r="AU4467" s="22" t="s">
        <v>3240</v>
      </c>
    </row>
    <row r="4468" spans="1:47">
      <c r="A4468" s="246" t="str">
        <f t="shared" si="1382"/>
        <v/>
      </c>
      <c r="B4468" s="23"/>
      <c r="C4468" s="23"/>
      <c r="D4468" s="202" t="str">
        <f t="shared" si="1383"/>
        <v/>
      </c>
      <c r="E4468" s="33" t="str">
        <f t="shared" si="1377"/>
        <v/>
      </c>
      <c r="F4468" s="23"/>
      <c r="G4468" s="23"/>
      <c r="H4468" s="29"/>
      <c r="I4468" s="204" t="str">
        <f t="shared" si="1380"/>
        <v/>
      </c>
      <c r="J4468" s="188"/>
      <c r="K4468" s="29"/>
      <c r="L4468" s="24"/>
      <c r="M4468" s="22"/>
      <c r="N4468" s="22"/>
      <c r="O4468" s="22"/>
      <c r="P4468" s="202" t="str">
        <f t="shared" si="1381"/>
        <v/>
      </c>
      <c r="Q4468" s="22"/>
      <c r="R4468" s="22"/>
      <c r="S4468" s="22"/>
      <c r="T4468" s="22"/>
      <c r="U4468" s="22"/>
      <c r="V4468" s="22"/>
      <c r="W4468" s="22"/>
      <c r="X4468" s="104"/>
      <c r="Y4468" s="195" t="str">
        <f t="shared" si="1378"/>
        <v/>
      </c>
      <c r="Z4468" s="196" t="str">
        <f t="shared" si="1379"/>
        <v/>
      </c>
      <c r="AA4468" s="22"/>
      <c r="AB4468" s="197" t="str">
        <f t="shared" si="1384"/>
        <v/>
      </c>
      <c r="AC4468" s="198" t="str">
        <f t="shared" si="1385"/>
        <v/>
      </c>
      <c r="AD4468" s="162"/>
      <c r="AE4468" s="199" t="str">
        <f t="shared" si="1386"/>
        <v/>
      </c>
      <c r="AF4468" s="199" t="str">
        <f>IF(AND(COUNTIFS($J$18:J4468,J4468)=1,AE4468=1),1,"")</f>
        <v/>
      </c>
      <c r="AG4468" s="199" t="str">
        <f>IF(C4468="","",IF(AND(COUNTIFS($J$18:J4468,J4468)=1,C4468&lt;&gt;""),1,""))</f>
        <v/>
      </c>
      <c r="AH4468" s="199" t="str">
        <f>IF(G4468="","",IF(AND(COUNTIFS($J$18:J4468,J4468)=1,G4468&lt;&gt;""),1,""))</f>
        <v/>
      </c>
      <c r="AI4468" s="200">
        <f t="shared" si="1387"/>
        <v>0</v>
      </c>
      <c r="AJ4468" s="200">
        <f t="shared" si="1388"/>
        <v>0</v>
      </c>
      <c r="AK4468" s="201" t="str">
        <f t="shared" si="1389"/>
        <v/>
      </c>
      <c r="AL4468" s="24"/>
      <c r="AM4468" s="24"/>
      <c r="AN4468" s="24"/>
      <c r="AO4468" s="24"/>
      <c r="AP4468" s="165" t="str">
        <f t="shared" si="1390"/>
        <v/>
      </c>
      <c r="AQ4468" s="203" t="str">
        <f t="shared" si="1391"/>
        <v/>
      </c>
      <c r="AR4468" s="206">
        <f t="shared" si="1392"/>
        <v>0</v>
      </c>
      <c r="AS4468" s="22" t="str">
        <f t="shared" si="1393"/>
        <v/>
      </c>
      <c r="AT4468" s="24" t="str">
        <f t="shared" si="1394"/>
        <v/>
      </c>
      <c r="AU4468" s="22" t="s">
        <v>3240</v>
      </c>
    </row>
    <row r="4469" spans="1:47">
      <c r="A4469" s="246" t="str">
        <f t="shared" si="1382"/>
        <v/>
      </c>
      <c r="B4469" s="23"/>
      <c r="C4469" s="23"/>
      <c r="D4469" s="202" t="str">
        <f t="shared" si="1383"/>
        <v/>
      </c>
      <c r="E4469" s="33" t="str">
        <f t="shared" si="1377"/>
        <v/>
      </c>
      <c r="F4469" s="23"/>
      <c r="G4469" s="23"/>
      <c r="H4469" s="29"/>
      <c r="I4469" s="204" t="str">
        <f t="shared" si="1380"/>
        <v/>
      </c>
      <c r="J4469" s="188"/>
      <c r="K4469" s="29"/>
      <c r="L4469" s="24"/>
      <c r="M4469" s="22"/>
      <c r="N4469" s="22"/>
      <c r="O4469" s="22"/>
      <c r="P4469" s="202" t="str">
        <f t="shared" si="1381"/>
        <v/>
      </c>
      <c r="Q4469" s="22"/>
      <c r="R4469" s="22"/>
      <c r="S4469" s="22"/>
      <c r="T4469" s="22"/>
      <c r="U4469" s="22"/>
      <c r="V4469" s="22"/>
      <c r="W4469" s="22"/>
      <c r="X4469" s="104"/>
      <c r="Y4469" s="195" t="str">
        <f t="shared" si="1378"/>
        <v/>
      </c>
      <c r="Z4469" s="196" t="str">
        <f t="shared" si="1379"/>
        <v/>
      </c>
      <c r="AA4469" s="22"/>
      <c r="AB4469" s="197" t="str">
        <f t="shared" si="1384"/>
        <v/>
      </c>
      <c r="AC4469" s="198" t="str">
        <f t="shared" si="1385"/>
        <v/>
      </c>
      <c r="AD4469" s="162"/>
      <c r="AE4469" s="199" t="str">
        <f t="shared" si="1386"/>
        <v/>
      </c>
      <c r="AF4469" s="199" t="str">
        <f>IF(AND(COUNTIFS($J$18:J4469,J4469)=1,AE4469=1),1,"")</f>
        <v/>
      </c>
      <c r="AG4469" s="199" t="str">
        <f>IF(C4469="","",IF(AND(COUNTIFS($J$18:J4469,J4469)=1,C4469&lt;&gt;""),1,""))</f>
        <v/>
      </c>
      <c r="AH4469" s="199" t="str">
        <f>IF(G4469="","",IF(AND(COUNTIFS($J$18:J4469,J4469)=1,G4469&lt;&gt;""),1,""))</f>
        <v/>
      </c>
      <c r="AI4469" s="200">
        <f t="shared" si="1387"/>
        <v>0</v>
      </c>
      <c r="AJ4469" s="200">
        <f t="shared" si="1388"/>
        <v>0</v>
      </c>
      <c r="AK4469" s="201" t="str">
        <f t="shared" si="1389"/>
        <v/>
      </c>
      <c r="AL4469" s="24"/>
      <c r="AM4469" s="24"/>
      <c r="AN4469" s="24"/>
      <c r="AO4469" s="24"/>
      <c r="AP4469" s="165" t="str">
        <f t="shared" si="1390"/>
        <v/>
      </c>
      <c r="AQ4469" s="203" t="str">
        <f t="shared" si="1391"/>
        <v/>
      </c>
      <c r="AR4469" s="206">
        <f t="shared" si="1392"/>
        <v>0</v>
      </c>
      <c r="AS4469" s="22" t="str">
        <f t="shared" si="1393"/>
        <v/>
      </c>
      <c r="AT4469" s="24" t="str">
        <f t="shared" si="1394"/>
        <v/>
      </c>
      <c r="AU4469" s="22" t="s">
        <v>3240</v>
      </c>
    </row>
    <row r="4470" spans="1:47">
      <c r="A4470" s="246" t="str">
        <f t="shared" si="1382"/>
        <v/>
      </c>
      <c r="B4470" s="23"/>
      <c r="C4470" s="23"/>
      <c r="D4470" s="202" t="str">
        <f t="shared" si="1383"/>
        <v/>
      </c>
      <c r="E4470" s="33" t="str">
        <f t="shared" si="1377"/>
        <v/>
      </c>
      <c r="F4470" s="23"/>
      <c r="G4470" s="23"/>
      <c r="H4470" s="29"/>
      <c r="I4470" s="204" t="str">
        <f t="shared" si="1380"/>
        <v/>
      </c>
      <c r="J4470" s="188"/>
      <c r="K4470" s="29"/>
      <c r="L4470" s="24"/>
      <c r="M4470" s="22"/>
      <c r="N4470" s="22"/>
      <c r="O4470" s="22"/>
      <c r="P4470" s="202" t="str">
        <f t="shared" si="1381"/>
        <v/>
      </c>
      <c r="Q4470" s="22"/>
      <c r="R4470" s="22"/>
      <c r="S4470" s="22"/>
      <c r="T4470" s="22"/>
      <c r="U4470" s="22"/>
      <c r="V4470" s="22"/>
      <c r="W4470" s="22"/>
      <c r="X4470" s="104"/>
      <c r="Y4470" s="195" t="str">
        <f t="shared" si="1378"/>
        <v/>
      </c>
      <c r="Z4470" s="196" t="str">
        <f t="shared" si="1379"/>
        <v/>
      </c>
      <c r="AA4470" s="22"/>
      <c r="AB4470" s="197" t="str">
        <f t="shared" si="1384"/>
        <v/>
      </c>
      <c r="AC4470" s="198" t="str">
        <f t="shared" si="1385"/>
        <v/>
      </c>
      <c r="AD4470" s="162"/>
      <c r="AE4470" s="199" t="str">
        <f t="shared" si="1386"/>
        <v/>
      </c>
      <c r="AF4470" s="199" t="str">
        <f>IF(AND(COUNTIFS($J$18:J4470,J4470)=1,AE4470=1),1,"")</f>
        <v/>
      </c>
      <c r="AG4470" s="199" t="str">
        <f>IF(C4470="","",IF(AND(COUNTIFS($J$18:J4470,J4470)=1,C4470&lt;&gt;""),1,""))</f>
        <v/>
      </c>
      <c r="AH4470" s="199" t="str">
        <f>IF(G4470="","",IF(AND(COUNTIFS($J$18:J4470,J4470)=1,G4470&lt;&gt;""),1,""))</f>
        <v/>
      </c>
      <c r="AI4470" s="200">
        <f t="shared" si="1387"/>
        <v>0</v>
      </c>
      <c r="AJ4470" s="200">
        <f t="shared" si="1388"/>
        <v>0</v>
      </c>
      <c r="AK4470" s="201" t="str">
        <f t="shared" si="1389"/>
        <v/>
      </c>
      <c r="AL4470" s="24"/>
      <c r="AM4470" s="24"/>
      <c r="AN4470" s="24"/>
      <c r="AO4470" s="24"/>
      <c r="AP4470" s="165" t="str">
        <f t="shared" si="1390"/>
        <v/>
      </c>
      <c r="AQ4470" s="203" t="str">
        <f t="shared" si="1391"/>
        <v/>
      </c>
      <c r="AR4470" s="206">
        <f t="shared" si="1392"/>
        <v>0</v>
      </c>
      <c r="AS4470" s="22" t="str">
        <f t="shared" si="1393"/>
        <v/>
      </c>
      <c r="AT4470" s="24" t="str">
        <f t="shared" si="1394"/>
        <v/>
      </c>
      <c r="AU4470" s="22" t="s">
        <v>3240</v>
      </c>
    </row>
    <row r="4471" spans="1:47">
      <c r="A4471" s="246" t="str">
        <f t="shared" si="1382"/>
        <v/>
      </c>
      <c r="B4471" s="23"/>
      <c r="C4471" s="23"/>
      <c r="D4471" s="202" t="str">
        <f t="shared" si="1383"/>
        <v/>
      </c>
      <c r="E4471" s="33" t="str">
        <f t="shared" si="1377"/>
        <v/>
      </c>
      <c r="F4471" s="23"/>
      <c r="G4471" s="23"/>
      <c r="H4471" s="29"/>
      <c r="I4471" s="204" t="str">
        <f t="shared" si="1380"/>
        <v/>
      </c>
      <c r="J4471" s="188"/>
      <c r="K4471" s="29"/>
      <c r="L4471" s="24"/>
      <c r="M4471" s="22"/>
      <c r="N4471" s="22"/>
      <c r="O4471" s="22"/>
      <c r="P4471" s="202" t="str">
        <f t="shared" si="1381"/>
        <v/>
      </c>
      <c r="Q4471" s="22"/>
      <c r="R4471" s="22"/>
      <c r="S4471" s="22"/>
      <c r="T4471" s="22"/>
      <c r="U4471" s="22"/>
      <c r="V4471" s="22"/>
      <c r="W4471" s="22"/>
      <c r="X4471" s="104"/>
      <c r="Y4471" s="195" t="str">
        <f t="shared" si="1378"/>
        <v/>
      </c>
      <c r="Z4471" s="196" t="str">
        <f t="shared" si="1379"/>
        <v/>
      </c>
      <c r="AA4471" s="22"/>
      <c r="AB4471" s="197" t="str">
        <f t="shared" si="1384"/>
        <v/>
      </c>
      <c r="AC4471" s="198" t="str">
        <f t="shared" si="1385"/>
        <v/>
      </c>
      <c r="AD4471" s="162"/>
      <c r="AE4471" s="199" t="str">
        <f t="shared" si="1386"/>
        <v/>
      </c>
      <c r="AF4471" s="199" t="str">
        <f>IF(AND(COUNTIFS($J$18:J4471,J4471)=1,AE4471=1),1,"")</f>
        <v/>
      </c>
      <c r="AG4471" s="199" t="str">
        <f>IF(C4471="","",IF(AND(COUNTIFS($J$18:J4471,J4471)=1,C4471&lt;&gt;""),1,""))</f>
        <v/>
      </c>
      <c r="AH4471" s="199" t="str">
        <f>IF(G4471="","",IF(AND(COUNTIFS($J$18:J4471,J4471)=1,G4471&lt;&gt;""),1,""))</f>
        <v/>
      </c>
      <c r="AI4471" s="200">
        <f t="shared" si="1387"/>
        <v>0</v>
      </c>
      <c r="AJ4471" s="200">
        <f t="shared" si="1388"/>
        <v>0</v>
      </c>
      <c r="AK4471" s="201" t="str">
        <f t="shared" si="1389"/>
        <v/>
      </c>
      <c r="AL4471" s="24"/>
      <c r="AM4471" s="24"/>
      <c r="AN4471" s="24"/>
      <c r="AO4471" s="24"/>
      <c r="AP4471" s="165" t="str">
        <f t="shared" si="1390"/>
        <v/>
      </c>
      <c r="AQ4471" s="203" t="str">
        <f t="shared" si="1391"/>
        <v/>
      </c>
      <c r="AR4471" s="206">
        <f t="shared" si="1392"/>
        <v>0</v>
      </c>
      <c r="AS4471" s="22" t="str">
        <f t="shared" si="1393"/>
        <v/>
      </c>
      <c r="AT4471" s="24" t="str">
        <f t="shared" si="1394"/>
        <v/>
      </c>
      <c r="AU4471" s="22" t="s">
        <v>3240</v>
      </c>
    </row>
    <row r="4472" spans="1:47">
      <c r="A4472" s="246" t="str">
        <f t="shared" si="1382"/>
        <v/>
      </c>
      <c r="B4472" s="23"/>
      <c r="C4472" s="23"/>
      <c r="D4472" s="202" t="str">
        <f t="shared" si="1383"/>
        <v/>
      </c>
      <c r="E4472" s="33" t="str">
        <f t="shared" si="1377"/>
        <v/>
      </c>
      <c r="F4472" s="23"/>
      <c r="G4472" s="23"/>
      <c r="H4472" s="29"/>
      <c r="I4472" s="204" t="str">
        <f t="shared" si="1380"/>
        <v/>
      </c>
      <c r="J4472" s="188"/>
      <c r="K4472" s="29"/>
      <c r="L4472" s="24"/>
      <c r="M4472" s="22"/>
      <c r="N4472" s="22"/>
      <c r="O4472" s="22"/>
      <c r="P4472" s="202" t="str">
        <f t="shared" si="1381"/>
        <v/>
      </c>
      <c r="Q4472" s="22"/>
      <c r="R4472" s="22"/>
      <c r="S4472" s="22"/>
      <c r="T4472" s="22"/>
      <c r="U4472" s="22"/>
      <c r="V4472" s="22"/>
      <c r="W4472" s="22"/>
      <c r="X4472" s="104"/>
      <c r="Y4472" s="195" t="str">
        <f t="shared" si="1378"/>
        <v/>
      </c>
      <c r="Z4472" s="196" t="str">
        <f t="shared" si="1379"/>
        <v/>
      </c>
      <c r="AA4472" s="22"/>
      <c r="AB4472" s="197" t="str">
        <f t="shared" si="1384"/>
        <v/>
      </c>
      <c r="AC4472" s="198" t="str">
        <f t="shared" si="1385"/>
        <v/>
      </c>
      <c r="AD4472" s="162"/>
      <c r="AE4472" s="199" t="str">
        <f t="shared" si="1386"/>
        <v/>
      </c>
      <c r="AF4472" s="199" t="str">
        <f>IF(AND(COUNTIFS($J$18:J4472,J4472)=1,AE4472=1),1,"")</f>
        <v/>
      </c>
      <c r="AG4472" s="199" t="str">
        <f>IF(C4472="","",IF(AND(COUNTIFS($J$18:J4472,J4472)=1,C4472&lt;&gt;""),1,""))</f>
        <v/>
      </c>
      <c r="AH4472" s="199" t="str">
        <f>IF(G4472="","",IF(AND(COUNTIFS($J$18:J4472,J4472)=1,G4472&lt;&gt;""),1,""))</f>
        <v/>
      </c>
      <c r="AI4472" s="200">
        <f t="shared" si="1387"/>
        <v>0</v>
      </c>
      <c r="AJ4472" s="200">
        <f t="shared" si="1388"/>
        <v>0</v>
      </c>
      <c r="AK4472" s="201" t="str">
        <f t="shared" si="1389"/>
        <v/>
      </c>
      <c r="AL4472" s="24"/>
      <c r="AM4472" s="24"/>
      <c r="AN4472" s="24"/>
      <c r="AO4472" s="24"/>
      <c r="AP4472" s="165" t="str">
        <f t="shared" si="1390"/>
        <v/>
      </c>
      <c r="AQ4472" s="203" t="str">
        <f t="shared" si="1391"/>
        <v/>
      </c>
      <c r="AR4472" s="206">
        <f t="shared" si="1392"/>
        <v>0</v>
      </c>
      <c r="AS4472" s="22" t="str">
        <f t="shared" si="1393"/>
        <v/>
      </c>
      <c r="AT4472" s="24" t="str">
        <f t="shared" si="1394"/>
        <v/>
      </c>
      <c r="AU4472" s="22" t="s">
        <v>3240</v>
      </c>
    </row>
    <row r="4473" spans="1:47">
      <c r="A4473" s="246" t="str">
        <f t="shared" si="1382"/>
        <v/>
      </c>
      <c r="B4473" s="23"/>
      <c r="C4473" s="23"/>
      <c r="D4473" s="202" t="str">
        <f t="shared" si="1383"/>
        <v/>
      </c>
      <c r="E4473" s="33" t="str">
        <f t="shared" si="1377"/>
        <v/>
      </c>
      <c r="F4473" s="23"/>
      <c r="G4473" s="23"/>
      <c r="H4473" s="29"/>
      <c r="I4473" s="204" t="str">
        <f t="shared" si="1380"/>
        <v/>
      </c>
      <c r="J4473" s="188"/>
      <c r="K4473" s="29"/>
      <c r="L4473" s="24"/>
      <c r="M4473" s="22"/>
      <c r="N4473" s="22"/>
      <c r="O4473" s="22"/>
      <c r="P4473" s="202" t="str">
        <f t="shared" si="1381"/>
        <v/>
      </c>
      <c r="Q4473" s="22"/>
      <c r="R4473" s="22"/>
      <c r="S4473" s="22"/>
      <c r="T4473" s="22"/>
      <c r="U4473" s="22"/>
      <c r="V4473" s="22"/>
      <c r="W4473" s="22"/>
      <c r="X4473" s="104"/>
      <c r="Y4473" s="195" t="str">
        <f t="shared" si="1378"/>
        <v/>
      </c>
      <c r="Z4473" s="196" t="str">
        <f t="shared" si="1379"/>
        <v/>
      </c>
      <c r="AA4473" s="22"/>
      <c r="AB4473" s="197" t="str">
        <f t="shared" si="1384"/>
        <v/>
      </c>
      <c r="AC4473" s="198" t="str">
        <f t="shared" si="1385"/>
        <v/>
      </c>
      <c r="AD4473" s="162"/>
      <c r="AE4473" s="199" t="str">
        <f t="shared" si="1386"/>
        <v/>
      </c>
      <c r="AF4473" s="199" t="str">
        <f>IF(AND(COUNTIFS($J$18:J4473,J4473)=1,AE4473=1),1,"")</f>
        <v/>
      </c>
      <c r="AG4473" s="199" t="str">
        <f>IF(C4473="","",IF(AND(COUNTIFS($J$18:J4473,J4473)=1,C4473&lt;&gt;""),1,""))</f>
        <v/>
      </c>
      <c r="AH4473" s="199" t="str">
        <f>IF(G4473="","",IF(AND(COUNTIFS($J$18:J4473,J4473)=1,G4473&lt;&gt;""),1,""))</f>
        <v/>
      </c>
      <c r="AI4473" s="200">
        <f t="shared" si="1387"/>
        <v>0</v>
      </c>
      <c r="AJ4473" s="200">
        <f t="shared" si="1388"/>
        <v>0</v>
      </c>
      <c r="AK4473" s="201" t="str">
        <f t="shared" si="1389"/>
        <v/>
      </c>
      <c r="AL4473" s="24"/>
      <c r="AM4473" s="24"/>
      <c r="AN4473" s="24"/>
      <c r="AO4473" s="24"/>
      <c r="AP4473" s="165" t="str">
        <f t="shared" si="1390"/>
        <v/>
      </c>
      <c r="AQ4473" s="203" t="str">
        <f t="shared" si="1391"/>
        <v/>
      </c>
      <c r="AR4473" s="206">
        <f t="shared" si="1392"/>
        <v>0</v>
      </c>
      <c r="AS4473" s="22" t="str">
        <f t="shared" si="1393"/>
        <v/>
      </c>
      <c r="AT4473" s="24" t="str">
        <f t="shared" si="1394"/>
        <v/>
      </c>
      <c r="AU4473" s="22" t="s">
        <v>3240</v>
      </c>
    </row>
    <row r="4474" spans="1:47">
      <c r="A4474" s="246" t="str">
        <f t="shared" si="1382"/>
        <v/>
      </c>
      <c r="B4474" s="23"/>
      <c r="C4474" s="23"/>
      <c r="D4474" s="202" t="str">
        <f t="shared" si="1383"/>
        <v/>
      </c>
      <c r="E4474" s="33" t="str">
        <f t="shared" si="1377"/>
        <v/>
      </c>
      <c r="F4474" s="23"/>
      <c r="G4474" s="23"/>
      <c r="H4474" s="29"/>
      <c r="I4474" s="204" t="str">
        <f t="shared" si="1380"/>
        <v/>
      </c>
      <c r="J4474" s="188"/>
      <c r="K4474" s="29"/>
      <c r="L4474" s="24"/>
      <c r="M4474" s="22"/>
      <c r="N4474" s="22"/>
      <c r="O4474" s="22"/>
      <c r="P4474" s="202" t="str">
        <f t="shared" si="1381"/>
        <v/>
      </c>
      <c r="Q4474" s="22"/>
      <c r="R4474" s="22"/>
      <c r="S4474" s="22"/>
      <c r="T4474" s="22"/>
      <c r="U4474" s="22"/>
      <c r="V4474" s="22"/>
      <c r="W4474" s="22"/>
      <c r="X4474" s="104"/>
      <c r="Y4474" s="195" t="str">
        <f t="shared" si="1378"/>
        <v/>
      </c>
      <c r="Z4474" s="196" t="str">
        <f t="shared" si="1379"/>
        <v/>
      </c>
      <c r="AA4474" s="22"/>
      <c r="AB4474" s="197" t="str">
        <f t="shared" si="1384"/>
        <v/>
      </c>
      <c r="AC4474" s="198" t="str">
        <f t="shared" si="1385"/>
        <v/>
      </c>
      <c r="AD4474" s="162"/>
      <c r="AE4474" s="199" t="str">
        <f t="shared" si="1386"/>
        <v/>
      </c>
      <c r="AF4474" s="199" t="str">
        <f>IF(AND(COUNTIFS($J$18:J4474,J4474)=1,AE4474=1),1,"")</f>
        <v/>
      </c>
      <c r="AG4474" s="199" t="str">
        <f>IF(C4474="","",IF(AND(COUNTIFS($J$18:J4474,J4474)=1,C4474&lt;&gt;""),1,""))</f>
        <v/>
      </c>
      <c r="AH4474" s="199" t="str">
        <f>IF(G4474="","",IF(AND(COUNTIFS($J$18:J4474,J4474)=1,G4474&lt;&gt;""),1,""))</f>
        <v/>
      </c>
      <c r="AI4474" s="200">
        <f t="shared" si="1387"/>
        <v>0</v>
      </c>
      <c r="AJ4474" s="200">
        <f t="shared" si="1388"/>
        <v>0</v>
      </c>
      <c r="AK4474" s="201" t="str">
        <f t="shared" si="1389"/>
        <v/>
      </c>
      <c r="AL4474" s="24"/>
      <c r="AM4474" s="24"/>
      <c r="AN4474" s="24"/>
      <c r="AO4474" s="24"/>
      <c r="AP4474" s="165" t="str">
        <f t="shared" si="1390"/>
        <v/>
      </c>
      <c r="AQ4474" s="203" t="str">
        <f t="shared" si="1391"/>
        <v/>
      </c>
      <c r="AR4474" s="206">
        <f t="shared" si="1392"/>
        <v>0</v>
      </c>
      <c r="AS4474" s="22" t="str">
        <f t="shared" si="1393"/>
        <v/>
      </c>
      <c r="AT4474" s="24" t="str">
        <f t="shared" si="1394"/>
        <v/>
      </c>
      <c r="AU4474" s="22" t="s">
        <v>3240</v>
      </c>
    </row>
    <row r="4475" spans="1:47">
      <c r="A4475" s="246" t="str">
        <f t="shared" si="1382"/>
        <v/>
      </c>
      <c r="B4475" s="23"/>
      <c r="C4475" s="23"/>
      <c r="D4475" s="202" t="str">
        <f t="shared" si="1383"/>
        <v/>
      </c>
      <c r="E4475" s="33" t="str">
        <f t="shared" si="1377"/>
        <v/>
      </c>
      <c r="F4475" s="23"/>
      <c r="G4475" s="23"/>
      <c r="H4475" s="29"/>
      <c r="I4475" s="204" t="str">
        <f t="shared" si="1380"/>
        <v/>
      </c>
      <c r="J4475" s="188"/>
      <c r="K4475" s="29"/>
      <c r="L4475" s="24"/>
      <c r="M4475" s="22"/>
      <c r="N4475" s="22"/>
      <c r="O4475" s="22"/>
      <c r="P4475" s="202" t="str">
        <f t="shared" si="1381"/>
        <v/>
      </c>
      <c r="Q4475" s="22"/>
      <c r="R4475" s="22"/>
      <c r="S4475" s="22"/>
      <c r="T4475" s="22"/>
      <c r="U4475" s="22"/>
      <c r="V4475" s="22"/>
      <c r="W4475" s="22"/>
      <c r="X4475" s="104"/>
      <c r="Y4475" s="195" t="str">
        <f t="shared" si="1378"/>
        <v/>
      </c>
      <c r="Z4475" s="196" t="str">
        <f t="shared" si="1379"/>
        <v/>
      </c>
      <c r="AA4475" s="22"/>
      <c r="AB4475" s="197" t="str">
        <f t="shared" si="1384"/>
        <v/>
      </c>
      <c r="AC4475" s="198" t="str">
        <f t="shared" si="1385"/>
        <v/>
      </c>
      <c r="AD4475" s="162"/>
      <c r="AE4475" s="199" t="str">
        <f t="shared" si="1386"/>
        <v/>
      </c>
      <c r="AF4475" s="199" t="str">
        <f>IF(AND(COUNTIFS($J$18:J4475,J4475)=1,AE4475=1),1,"")</f>
        <v/>
      </c>
      <c r="AG4475" s="199" t="str">
        <f>IF(C4475="","",IF(AND(COUNTIFS($J$18:J4475,J4475)=1,C4475&lt;&gt;""),1,""))</f>
        <v/>
      </c>
      <c r="AH4475" s="199" t="str">
        <f>IF(G4475="","",IF(AND(COUNTIFS($J$18:J4475,J4475)=1,G4475&lt;&gt;""),1,""))</f>
        <v/>
      </c>
      <c r="AI4475" s="200">
        <f t="shared" si="1387"/>
        <v>0</v>
      </c>
      <c r="AJ4475" s="200">
        <f t="shared" si="1388"/>
        <v>0</v>
      </c>
      <c r="AK4475" s="201" t="str">
        <f t="shared" si="1389"/>
        <v/>
      </c>
      <c r="AL4475" s="24"/>
      <c r="AM4475" s="24"/>
      <c r="AN4475" s="24"/>
      <c r="AO4475" s="24"/>
      <c r="AP4475" s="165" t="str">
        <f t="shared" si="1390"/>
        <v/>
      </c>
      <c r="AQ4475" s="203" t="str">
        <f t="shared" si="1391"/>
        <v/>
      </c>
      <c r="AR4475" s="206">
        <f t="shared" si="1392"/>
        <v>0</v>
      </c>
      <c r="AS4475" s="22" t="str">
        <f t="shared" si="1393"/>
        <v/>
      </c>
      <c r="AT4475" s="24" t="str">
        <f t="shared" si="1394"/>
        <v/>
      </c>
      <c r="AU4475" s="22" t="s">
        <v>3240</v>
      </c>
    </row>
    <row r="4476" spans="1:47">
      <c r="A4476" s="246" t="str">
        <f t="shared" si="1382"/>
        <v/>
      </c>
      <c r="B4476" s="23"/>
      <c r="C4476" s="23"/>
      <c r="D4476" s="202" t="str">
        <f t="shared" si="1383"/>
        <v/>
      </c>
      <c r="E4476" s="33" t="str">
        <f t="shared" si="1377"/>
        <v/>
      </c>
      <c r="F4476" s="23"/>
      <c r="G4476" s="23"/>
      <c r="H4476" s="29"/>
      <c r="I4476" s="204" t="str">
        <f t="shared" si="1380"/>
        <v/>
      </c>
      <c r="J4476" s="188"/>
      <c r="K4476" s="29"/>
      <c r="L4476" s="24"/>
      <c r="M4476" s="22"/>
      <c r="N4476" s="22"/>
      <c r="O4476" s="22"/>
      <c r="P4476" s="202" t="str">
        <f t="shared" si="1381"/>
        <v/>
      </c>
      <c r="Q4476" s="22"/>
      <c r="R4476" s="22"/>
      <c r="S4476" s="22"/>
      <c r="T4476" s="22"/>
      <c r="U4476" s="22"/>
      <c r="V4476" s="22"/>
      <c r="W4476" s="22"/>
      <c r="X4476" s="104"/>
      <c r="Y4476" s="195" t="str">
        <f t="shared" si="1378"/>
        <v/>
      </c>
      <c r="Z4476" s="196" t="str">
        <f t="shared" si="1379"/>
        <v/>
      </c>
      <c r="AA4476" s="22"/>
      <c r="AB4476" s="197" t="str">
        <f t="shared" si="1384"/>
        <v/>
      </c>
      <c r="AC4476" s="198" t="str">
        <f t="shared" si="1385"/>
        <v/>
      </c>
      <c r="AD4476" s="162"/>
      <c r="AE4476" s="199" t="str">
        <f t="shared" si="1386"/>
        <v/>
      </c>
      <c r="AF4476" s="199" t="str">
        <f>IF(AND(COUNTIFS($J$18:J4476,J4476)=1,AE4476=1),1,"")</f>
        <v/>
      </c>
      <c r="AG4476" s="199" t="str">
        <f>IF(C4476="","",IF(AND(COUNTIFS($J$18:J4476,J4476)=1,C4476&lt;&gt;""),1,""))</f>
        <v/>
      </c>
      <c r="AH4476" s="199" t="str">
        <f>IF(G4476="","",IF(AND(COUNTIFS($J$18:J4476,J4476)=1,G4476&lt;&gt;""),1,""))</f>
        <v/>
      </c>
      <c r="AI4476" s="200">
        <f t="shared" si="1387"/>
        <v>0</v>
      </c>
      <c r="AJ4476" s="200">
        <f t="shared" si="1388"/>
        <v>0</v>
      </c>
      <c r="AK4476" s="201" t="str">
        <f t="shared" si="1389"/>
        <v/>
      </c>
      <c r="AL4476" s="24"/>
      <c r="AM4476" s="24"/>
      <c r="AN4476" s="24"/>
      <c r="AO4476" s="24"/>
      <c r="AP4476" s="165" t="str">
        <f t="shared" si="1390"/>
        <v/>
      </c>
      <c r="AQ4476" s="203" t="str">
        <f t="shared" si="1391"/>
        <v/>
      </c>
      <c r="AR4476" s="206">
        <f t="shared" si="1392"/>
        <v>0</v>
      </c>
      <c r="AS4476" s="22" t="str">
        <f t="shared" si="1393"/>
        <v/>
      </c>
      <c r="AT4476" s="24" t="str">
        <f t="shared" si="1394"/>
        <v/>
      </c>
      <c r="AU4476" s="22" t="s">
        <v>3240</v>
      </c>
    </row>
    <row r="4477" spans="1:47">
      <c r="A4477" s="246" t="str">
        <f t="shared" si="1382"/>
        <v/>
      </c>
      <c r="B4477" s="23"/>
      <c r="C4477" s="23"/>
      <c r="D4477" s="202" t="str">
        <f t="shared" si="1383"/>
        <v/>
      </c>
      <c r="E4477" s="33" t="str">
        <f t="shared" si="1377"/>
        <v/>
      </c>
      <c r="F4477" s="23"/>
      <c r="G4477" s="23"/>
      <c r="H4477" s="29"/>
      <c r="I4477" s="204" t="str">
        <f t="shared" si="1380"/>
        <v/>
      </c>
      <c r="J4477" s="188"/>
      <c r="K4477" s="29"/>
      <c r="L4477" s="24"/>
      <c r="M4477" s="22"/>
      <c r="N4477" s="22"/>
      <c r="O4477" s="22"/>
      <c r="P4477" s="202" t="str">
        <f t="shared" si="1381"/>
        <v/>
      </c>
      <c r="Q4477" s="22"/>
      <c r="R4477" s="22"/>
      <c r="S4477" s="22"/>
      <c r="T4477" s="22"/>
      <c r="U4477" s="22"/>
      <c r="V4477" s="22"/>
      <c r="W4477" s="22"/>
      <c r="X4477" s="104"/>
      <c r="Y4477" s="195" t="str">
        <f t="shared" si="1378"/>
        <v/>
      </c>
      <c r="Z4477" s="196" t="str">
        <f t="shared" si="1379"/>
        <v/>
      </c>
      <c r="AA4477" s="22"/>
      <c r="AB4477" s="197" t="str">
        <f t="shared" si="1384"/>
        <v/>
      </c>
      <c r="AC4477" s="198" t="str">
        <f t="shared" si="1385"/>
        <v/>
      </c>
      <c r="AD4477" s="162"/>
      <c r="AE4477" s="199" t="str">
        <f t="shared" si="1386"/>
        <v/>
      </c>
      <c r="AF4477" s="199" t="str">
        <f>IF(AND(COUNTIFS($J$18:J4477,J4477)=1,AE4477=1),1,"")</f>
        <v/>
      </c>
      <c r="AG4477" s="199" t="str">
        <f>IF(C4477="","",IF(AND(COUNTIFS($J$18:J4477,J4477)=1,C4477&lt;&gt;""),1,""))</f>
        <v/>
      </c>
      <c r="AH4477" s="199" t="str">
        <f>IF(G4477="","",IF(AND(COUNTIFS($J$18:J4477,J4477)=1,G4477&lt;&gt;""),1,""))</f>
        <v/>
      </c>
      <c r="AI4477" s="200">
        <f t="shared" si="1387"/>
        <v>0</v>
      </c>
      <c r="AJ4477" s="200">
        <f t="shared" si="1388"/>
        <v>0</v>
      </c>
      <c r="AK4477" s="201" t="str">
        <f t="shared" si="1389"/>
        <v/>
      </c>
      <c r="AL4477" s="24"/>
      <c r="AM4477" s="24"/>
      <c r="AN4477" s="24"/>
      <c r="AO4477" s="24"/>
      <c r="AP4477" s="165" t="str">
        <f t="shared" si="1390"/>
        <v/>
      </c>
      <c r="AQ4477" s="203" t="str">
        <f t="shared" si="1391"/>
        <v/>
      </c>
      <c r="AR4477" s="206">
        <f t="shared" si="1392"/>
        <v>0</v>
      </c>
      <c r="AS4477" s="22" t="str">
        <f t="shared" si="1393"/>
        <v/>
      </c>
      <c r="AT4477" s="24" t="str">
        <f t="shared" si="1394"/>
        <v/>
      </c>
      <c r="AU4477" s="22" t="s">
        <v>3240</v>
      </c>
    </row>
    <row r="4478" spans="1:47">
      <c r="A4478" s="246" t="str">
        <f t="shared" si="1382"/>
        <v/>
      </c>
      <c r="B4478" s="23"/>
      <c r="C4478" s="23"/>
      <c r="D4478" s="202" t="str">
        <f t="shared" si="1383"/>
        <v/>
      </c>
      <c r="E4478" s="33" t="str">
        <f t="shared" si="1377"/>
        <v/>
      </c>
      <c r="F4478" s="23"/>
      <c r="G4478" s="23"/>
      <c r="H4478" s="29"/>
      <c r="I4478" s="204" t="str">
        <f t="shared" si="1380"/>
        <v/>
      </c>
      <c r="J4478" s="188"/>
      <c r="K4478" s="29"/>
      <c r="L4478" s="24"/>
      <c r="M4478" s="22"/>
      <c r="N4478" s="22"/>
      <c r="O4478" s="22"/>
      <c r="P4478" s="202" t="str">
        <f t="shared" si="1381"/>
        <v/>
      </c>
      <c r="Q4478" s="22"/>
      <c r="R4478" s="22"/>
      <c r="S4478" s="22"/>
      <c r="T4478" s="22"/>
      <c r="U4478" s="22"/>
      <c r="V4478" s="22"/>
      <c r="W4478" s="22"/>
      <c r="X4478" s="104"/>
      <c r="Y4478" s="195" t="str">
        <f t="shared" si="1378"/>
        <v/>
      </c>
      <c r="Z4478" s="196" t="str">
        <f t="shared" si="1379"/>
        <v/>
      </c>
      <c r="AA4478" s="22"/>
      <c r="AB4478" s="197" t="str">
        <f t="shared" si="1384"/>
        <v/>
      </c>
      <c r="AC4478" s="198" t="str">
        <f t="shared" si="1385"/>
        <v/>
      </c>
      <c r="AD4478" s="162"/>
      <c r="AE4478" s="199" t="str">
        <f t="shared" si="1386"/>
        <v/>
      </c>
      <c r="AF4478" s="199" t="str">
        <f>IF(AND(COUNTIFS($J$18:J4478,J4478)=1,AE4478=1),1,"")</f>
        <v/>
      </c>
      <c r="AG4478" s="199" t="str">
        <f>IF(C4478="","",IF(AND(COUNTIFS($J$18:J4478,J4478)=1,C4478&lt;&gt;""),1,""))</f>
        <v/>
      </c>
      <c r="AH4478" s="199" t="str">
        <f>IF(G4478="","",IF(AND(COUNTIFS($J$18:J4478,J4478)=1,G4478&lt;&gt;""),1,""))</f>
        <v/>
      </c>
      <c r="AI4478" s="200">
        <f t="shared" si="1387"/>
        <v>0</v>
      </c>
      <c r="AJ4478" s="200">
        <f t="shared" si="1388"/>
        <v>0</v>
      </c>
      <c r="AK4478" s="201" t="str">
        <f t="shared" si="1389"/>
        <v/>
      </c>
      <c r="AL4478" s="24"/>
      <c r="AM4478" s="24"/>
      <c r="AN4478" s="24"/>
      <c r="AO4478" s="24"/>
      <c r="AP4478" s="165" t="str">
        <f t="shared" si="1390"/>
        <v/>
      </c>
      <c r="AQ4478" s="203" t="str">
        <f t="shared" si="1391"/>
        <v/>
      </c>
      <c r="AR4478" s="206">
        <f t="shared" si="1392"/>
        <v>0</v>
      </c>
      <c r="AS4478" s="22" t="str">
        <f t="shared" si="1393"/>
        <v/>
      </c>
      <c r="AT4478" s="24" t="str">
        <f t="shared" si="1394"/>
        <v/>
      </c>
      <c r="AU4478" s="22" t="s">
        <v>3240</v>
      </c>
    </row>
    <row r="4479" spans="1:47">
      <c r="A4479" s="246" t="str">
        <f t="shared" si="1382"/>
        <v/>
      </c>
      <c r="B4479" s="23"/>
      <c r="C4479" s="23"/>
      <c r="D4479" s="202" t="str">
        <f t="shared" si="1383"/>
        <v/>
      </c>
      <c r="E4479" s="33" t="str">
        <f t="shared" si="1377"/>
        <v/>
      </c>
      <c r="F4479" s="23"/>
      <c r="G4479" s="23"/>
      <c r="H4479" s="29"/>
      <c r="I4479" s="204" t="str">
        <f t="shared" si="1380"/>
        <v/>
      </c>
      <c r="J4479" s="188"/>
      <c r="K4479" s="29"/>
      <c r="L4479" s="24"/>
      <c r="M4479" s="22"/>
      <c r="N4479" s="22"/>
      <c r="O4479" s="22"/>
      <c r="P4479" s="202" t="str">
        <f t="shared" si="1381"/>
        <v/>
      </c>
      <c r="Q4479" s="22"/>
      <c r="R4479" s="22"/>
      <c r="S4479" s="22"/>
      <c r="T4479" s="22"/>
      <c r="U4479" s="22"/>
      <c r="V4479" s="22"/>
      <c r="W4479" s="22"/>
      <c r="X4479" s="104"/>
      <c r="Y4479" s="195" t="str">
        <f t="shared" si="1378"/>
        <v/>
      </c>
      <c r="Z4479" s="196" t="str">
        <f t="shared" si="1379"/>
        <v/>
      </c>
      <c r="AA4479" s="22"/>
      <c r="AB4479" s="197" t="str">
        <f t="shared" si="1384"/>
        <v/>
      </c>
      <c r="AC4479" s="198" t="str">
        <f t="shared" si="1385"/>
        <v/>
      </c>
      <c r="AD4479" s="162"/>
      <c r="AE4479" s="199" t="str">
        <f t="shared" si="1386"/>
        <v/>
      </c>
      <c r="AF4479" s="199" t="str">
        <f>IF(AND(COUNTIFS($J$18:J4479,J4479)=1,AE4479=1),1,"")</f>
        <v/>
      </c>
      <c r="AG4479" s="199" t="str">
        <f>IF(C4479="","",IF(AND(COUNTIFS($J$18:J4479,J4479)=1,C4479&lt;&gt;""),1,""))</f>
        <v/>
      </c>
      <c r="AH4479" s="199" t="str">
        <f>IF(G4479="","",IF(AND(COUNTIFS($J$18:J4479,J4479)=1,G4479&lt;&gt;""),1,""))</f>
        <v/>
      </c>
      <c r="AI4479" s="200">
        <f t="shared" si="1387"/>
        <v>0</v>
      </c>
      <c r="AJ4479" s="200">
        <f t="shared" si="1388"/>
        <v>0</v>
      </c>
      <c r="AK4479" s="201" t="str">
        <f t="shared" si="1389"/>
        <v/>
      </c>
      <c r="AL4479" s="24"/>
      <c r="AM4479" s="24"/>
      <c r="AN4479" s="24"/>
      <c r="AO4479" s="24"/>
      <c r="AP4479" s="165" t="str">
        <f t="shared" si="1390"/>
        <v/>
      </c>
      <c r="AQ4479" s="203" t="str">
        <f t="shared" si="1391"/>
        <v/>
      </c>
      <c r="AR4479" s="206">
        <f t="shared" si="1392"/>
        <v>0</v>
      </c>
      <c r="AS4479" s="22" t="str">
        <f t="shared" si="1393"/>
        <v/>
      </c>
      <c r="AT4479" s="24" t="str">
        <f t="shared" si="1394"/>
        <v/>
      </c>
      <c r="AU4479" s="22" t="s">
        <v>3240</v>
      </c>
    </row>
    <row r="4480" spans="1:47">
      <c r="A4480" s="246" t="str">
        <f t="shared" si="1382"/>
        <v/>
      </c>
      <c r="B4480" s="23"/>
      <c r="C4480" s="23"/>
      <c r="D4480" s="202" t="str">
        <f t="shared" si="1383"/>
        <v/>
      </c>
      <c r="E4480" s="33" t="str">
        <f t="shared" si="1377"/>
        <v/>
      </c>
      <c r="F4480" s="23"/>
      <c r="G4480" s="23"/>
      <c r="H4480" s="29"/>
      <c r="I4480" s="204" t="str">
        <f t="shared" si="1380"/>
        <v/>
      </c>
      <c r="J4480" s="188"/>
      <c r="K4480" s="29"/>
      <c r="L4480" s="24"/>
      <c r="M4480" s="22"/>
      <c r="N4480" s="22"/>
      <c r="O4480" s="22"/>
      <c r="P4480" s="202" t="str">
        <f t="shared" si="1381"/>
        <v/>
      </c>
      <c r="Q4480" s="22"/>
      <c r="R4480" s="22"/>
      <c r="S4480" s="22"/>
      <c r="T4480" s="22"/>
      <c r="U4480" s="22"/>
      <c r="V4480" s="22"/>
      <c r="W4480" s="22"/>
      <c r="X4480" s="104"/>
      <c r="Y4480" s="195" t="str">
        <f t="shared" si="1378"/>
        <v/>
      </c>
      <c r="Z4480" s="196" t="str">
        <f t="shared" si="1379"/>
        <v/>
      </c>
      <c r="AA4480" s="22"/>
      <c r="AB4480" s="197" t="str">
        <f t="shared" si="1384"/>
        <v/>
      </c>
      <c r="AC4480" s="198" t="str">
        <f t="shared" si="1385"/>
        <v/>
      </c>
      <c r="AD4480" s="162"/>
      <c r="AE4480" s="199" t="str">
        <f t="shared" si="1386"/>
        <v/>
      </c>
      <c r="AF4480" s="199" t="str">
        <f>IF(AND(COUNTIFS($J$18:J4480,J4480)=1,AE4480=1),1,"")</f>
        <v/>
      </c>
      <c r="AG4480" s="199" t="str">
        <f>IF(C4480="","",IF(AND(COUNTIFS($J$18:J4480,J4480)=1,C4480&lt;&gt;""),1,""))</f>
        <v/>
      </c>
      <c r="AH4480" s="199" t="str">
        <f>IF(G4480="","",IF(AND(COUNTIFS($J$18:J4480,J4480)=1,G4480&lt;&gt;""),1,""))</f>
        <v/>
      </c>
      <c r="AI4480" s="200">
        <f t="shared" si="1387"/>
        <v>0</v>
      </c>
      <c r="AJ4480" s="200">
        <f t="shared" si="1388"/>
        <v>0</v>
      </c>
      <c r="AK4480" s="201" t="str">
        <f t="shared" si="1389"/>
        <v/>
      </c>
      <c r="AL4480" s="24"/>
      <c r="AM4480" s="24"/>
      <c r="AN4480" s="24"/>
      <c r="AO4480" s="24"/>
      <c r="AP4480" s="165" t="str">
        <f t="shared" si="1390"/>
        <v/>
      </c>
      <c r="AQ4480" s="203" t="str">
        <f t="shared" si="1391"/>
        <v/>
      </c>
      <c r="AR4480" s="206">
        <f t="shared" si="1392"/>
        <v>0</v>
      </c>
      <c r="AS4480" s="22" t="str">
        <f t="shared" si="1393"/>
        <v/>
      </c>
      <c r="AT4480" s="24" t="str">
        <f t="shared" si="1394"/>
        <v/>
      </c>
      <c r="AU4480" s="22" t="s">
        <v>3240</v>
      </c>
    </row>
    <row r="4481" spans="1:47">
      <c r="A4481" s="246" t="str">
        <f t="shared" si="1382"/>
        <v/>
      </c>
      <c r="B4481" s="23"/>
      <c r="C4481" s="23"/>
      <c r="D4481" s="202" t="str">
        <f t="shared" si="1383"/>
        <v/>
      </c>
      <c r="E4481" s="33" t="str">
        <f t="shared" si="1377"/>
        <v/>
      </c>
      <c r="F4481" s="23"/>
      <c r="G4481" s="23"/>
      <c r="H4481" s="29"/>
      <c r="I4481" s="204" t="str">
        <f t="shared" si="1380"/>
        <v/>
      </c>
      <c r="J4481" s="188"/>
      <c r="K4481" s="29"/>
      <c r="L4481" s="24"/>
      <c r="M4481" s="22"/>
      <c r="N4481" s="22"/>
      <c r="O4481" s="22"/>
      <c r="P4481" s="202" t="str">
        <f t="shared" si="1381"/>
        <v/>
      </c>
      <c r="Q4481" s="22"/>
      <c r="R4481" s="22"/>
      <c r="S4481" s="22"/>
      <c r="T4481" s="22"/>
      <c r="U4481" s="22"/>
      <c r="V4481" s="22"/>
      <c r="W4481" s="22"/>
      <c r="X4481" s="104"/>
      <c r="Y4481" s="195" t="str">
        <f t="shared" si="1378"/>
        <v/>
      </c>
      <c r="Z4481" s="196" t="str">
        <f t="shared" si="1379"/>
        <v/>
      </c>
      <c r="AA4481" s="22"/>
      <c r="AB4481" s="197" t="str">
        <f t="shared" si="1384"/>
        <v/>
      </c>
      <c r="AC4481" s="198" t="str">
        <f t="shared" si="1385"/>
        <v/>
      </c>
      <c r="AD4481" s="162"/>
      <c r="AE4481" s="199" t="str">
        <f t="shared" si="1386"/>
        <v/>
      </c>
      <c r="AF4481" s="199" t="str">
        <f>IF(AND(COUNTIFS($J$18:J4481,J4481)=1,AE4481=1),1,"")</f>
        <v/>
      </c>
      <c r="AG4481" s="199" t="str">
        <f>IF(C4481="","",IF(AND(COUNTIFS($J$18:J4481,J4481)=1,C4481&lt;&gt;""),1,""))</f>
        <v/>
      </c>
      <c r="AH4481" s="199" t="str">
        <f>IF(G4481="","",IF(AND(COUNTIFS($J$18:J4481,J4481)=1,G4481&lt;&gt;""),1,""))</f>
        <v/>
      </c>
      <c r="AI4481" s="200">
        <f t="shared" si="1387"/>
        <v>0</v>
      </c>
      <c r="AJ4481" s="200">
        <f t="shared" si="1388"/>
        <v>0</v>
      </c>
      <c r="AK4481" s="201" t="str">
        <f t="shared" si="1389"/>
        <v/>
      </c>
      <c r="AL4481" s="24"/>
      <c r="AM4481" s="24"/>
      <c r="AN4481" s="24"/>
      <c r="AO4481" s="24"/>
      <c r="AP4481" s="165" t="str">
        <f t="shared" si="1390"/>
        <v/>
      </c>
      <c r="AQ4481" s="203" t="str">
        <f t="shared" si="1391"/>
        <v/>
      </c>
      <c r="AR4481" s="206">
        <f t="shared" si="1392"/>
        <v>0</v>
      </c>
      <c r="AS4481" s="22" t="str">
        <f t="shared" si="1393"/>
        <v/>
      </c>
      <c r="AT4481" s="24" t="str">
        <f t="shared" si="1394"/>
        <v/>
      </c>
      <c r="AU4481" s="22" t="s">
        <v>3240</v>
      </c>
    </row>
    <row r="4482" spans="1:47">
      <c r="A4482" s="246" t="str">
        <f t="shared" si="1382"/>
        <v/>
      </c>
      <c r="B4482" s="23"/>
      <c r="C4482" s="23"/>
      <c r="D4482" s="202" t="str">
        <f t="shared" si="1383"/>
        <v/>
      </c>
      <c r="E4482" s="33" t="str">
        <f t="shared" si="1377"/>
        <v/>
      </c>
      <c r="F4482" s="23"/>
      <c r="G4482" s="23"/>
      <c r="H4482" s="29"/>
      <c r="I4482" s="204" t="str">
        <f t="shared" si="1380"/>
        <v/>
      </c>
      <c r="J4482" s="188"/>
      <c r="K4482" s="29"/>
      <c r="L4482" s="24"/>
      <c r="M4482" s="22"/>
      <c r="N4482" s="22"/>
      <c r="O4482" s="22"/>
      <c r="P4482" s="202" t="str">
        <f t="shared" si="1381"/>
        <v/>
      </c>
      <c r="Q4482" s="22"/>
      <c r="R4482" s="22"/>
      <c r="S4482" s="22"/>
      <c r="T4482" s="22"/>
      <c r="U4482" s="22"/>
      <c r="V4482" s="22"/>
      <c r="W4482" s="22"/>
      <c r="X4482" s="104"/>
      <c r="Y4482" s="195" t="str">
        <f t="shared" si="1378"/>
        <v/>
      </c>
      <c r="Z4482" s="196" t="str">
        <f t="shared" si="1379"/>
        <v/>
      </c>
      <c r="AA4482" s="22"/>
      <c r="AB4482" s="197" t="str">
        <f t="shared" si="1384"/>
        <v/>
      </c>
      <c r="AC4482" s="198" t="str">
        <f t="shared" si="1385"/>
        <v/>
      </c>
      <c r="AD4482" s="162"/>
      <c r="AE4482" s="199" t="str">
        <f t="shared" si="1386"/>
        <v/>
      </c>
      <c r="AF4482" s="199" t="str">
        <f>IF(AND(COUNTIFS($J$18:J4482,J4482)=1,AE4482=1),1,"")</f>
        <v/>
      </c>
      <c r="AG4482" s="199" t="str">
        <f>IF(C4482="","",IF(AND(COUNTIFS($J$18:J4482,J4482)=1,C4482&lt;&gt;""),1,""))</f>
        <v/>
      </c>
      <c r="AH4482" s="199" t="str">
        <f>IF(G4482="","",IF(AND(COUNTIFS($J$18:J4482,J4482)=1,G4482&lt;&gt;""),1,""))</f>
        <v/>
      </c>
      <c r="AI4482" s="200">
        <f t="shared" si="1387"/>
        <v>0</v>
      </c>
      <c r="AJ4482" s="200">
        <f t="shared" si="1388"/>
        <v>0</v>
      </c>
      <c r="AK4482" s="201" t="str">
        <f t="shared" si="1389"/>
        <v/>
      </c>
      <c r="AL4482" s="24"/>
      <c r="AM4482" s="24"/>
      <c r="AN4482" s="24"/>
      <c r="AO4482" s="24"/>
      <c r="AP4482" s="165" t="str">
        <f t="shared" si="1390"/>
        <v/>
      </c>
      <c r="AQ4482" s="203" t="str">
        <f t="shared" si="1391"/>
        <v/>
      </c>
      <c r="AR4482" s="206">
        <f t="shared" si="1392"/>
        <v>0</v>
      </c>
      <c r="AS4482" s="22" t="str">
        <f t="shared" si="1393"/>
        <v/>
      </c>
      <c r="AT4482" s="24" t="str">
        <f t="shared" si="1394"/>
        <v/>
      </c>
      <c r="AU4482" s="22" t="s">
        <v>3240</v>
      </c>
    </row>
    <row r="4483" spans="1:47">
      <c r="A4483" s="246" t="str">
        <f t="shared" si="1382"/>
        <v/>
      </c>
      <c r="B4483" s="23"/>
      <c r="C4483" s="23"/>
      <c r="D4483" s="202" t="str">
        <f t="shared" si="1383"/>
        <v/>
      </c>
      <c r="E4483" s="33" t="str">
        <f t="shared" si="1377"/>
        <v/>
      </c>
      <c r="F4483" s="23"/>
      <c r="G4483" s="23"/>
      <c r="H4483" s="29"/>
      <c r="I4483" s="204" t="str">
        <f t="shared" si="1380"/>
        <v/>
      </c>
      <c r="J4483" s="188"/>
      <c r="K4483" s="29"/>
      <c r="L4483" s="24"/>
      <c r="M4483" s="22"/>
      <c r="N4483" s="22"/>
      <c r="O4483" s="22"/>
      <c r="P4483" s="202" t="str">
        <f t="shared" si="1381"/>
        <v/>
      </c>
      <c r="Q4483" s="22"/>
      <c r="R4483" s="22"/>
      <c r="S4483" s="22"/>
      <c r="T4483" s="22"/>
      <c r="U4483" s="22"/>
      <c r="V4483" s="22"/>
      <c r="W4483" s="22"/>
      <c r="X4483" s="104"/>
      <c r="Y4483" s="195" t="str">
        <f t="shared" si="1378"/>
        <v/>
      </c>
      <c r="Z4483" s="196" t="str">
        <f t="shared" si="1379"/>
        <v/>
      </c>
      <c r="AA4483" s="22"/>
      <c r="AB4483" s="197" t="str">
        <f t="shared" si="1384"/>
        <v/>
      </c>
      <c r="AC4483" s="198" t="str">
        <f t="shared" si="1385"/>
        <v/>
      </c>
      <c r="AD4483" s="162"/>
      <c r="AE4483" s="199" t="str">
        <f t="shared" si="1386"/>
        <v/>
      </c>
      <c r="AF4483" s="199" t="str">
        <f>IF(AND(COUNTIFS($J$18:J4483,J4483)=1,AE4483=1),1,"")</f>
        <v/>
      </c>
      <c r="AG4483" s="199" t="str">
        <f>IF(C4483="","",IF(AND(COUNTIFS($J$18:J4483,J4483)=1,C4483&lt;&gt;""),1,""))</f>
        <v/>
      </c>
      <c r="AH4483" s="199" t="str">
        <f>IF(G4483="","",IF(AND(COUNTIFS($J$18:J4483,J4483)=1,G4483&lt;&gt;""),1,""))</f>
        <v/>
      </c>
      <c r="AI4483" s="200">
        <f t="shared" si="1387"/>
        <v>0</v>
      </c>
      <c r="AJ4483" s="200">
        <f t="shared" si="1388"/>
        <v>0</v>
      </c>
      <c r="AK4483" s="201" t="str">
        <f t="shared" si="1389"/>
        <v/>
      </c>
      <c r="AL4483" s="24"/>
      <c r="AM4483" s="24"/>
      <c r="AN4483" s="24"/>
      <c r="AO4483" s="24"/>
      <c r="AP4483" s="165" t="str">
        <f t="shared" si="1390"/>
        <v/>
      </c>
      <c r="AQ4483" s="203" t="str">
        <f t="shared" si="1391"/>
        <v/>
      </c>
      <c r="AR4483" s="206">
        <f t="shared" si="1392"/>
        <v>0</v>
      </c>
      <c r="AS4483" s="22" t="str">
        <f t="shared" si="1393"/>
        <v/>
      </c>
      <c r="AT4483" s="24" t="str">
        <f t="shared" si="1394"/>
        <v/>
      </c>
      <c r="AU4483" s="22" t="s">
        <v>3240</v>
      </c>
    </row>
    <row r="4484" spans="1:47">
      <c r="A4484" s="246" t="str">
        <f t="shared" si="1382"/>
        <v/>
      </c>
      <c r="B4484" s="23"/>
      <c r="C4484" s="23"/>
      <c r="D4484" s="202" t="str">
        <f t="shared" si="1383"/>
        <v/>
      </c>
      <c r="E4484" s="33" t="str">
        <f t="shared" si="1377"/>
        <v/>
      </c>
      <c r="F4484" s="23"/>
      <c r="G4484" s="23"/>
      <c r="H4484" s="29"/>
      <c r="I4484" s="204" t="str">
        <f t="shared" si="1380"/>
        <v/>
      </c>
      <c r="J4484" s="188"/>
      <c r="K4484" s="29"/>
      <c r="L4484" s="24"/>
      <c r="M4484" s="22"/>
      <c r="N4484" s="22"/>
      <c r="O4484" s="22"/>
      <c r="P4484" s="202" t="str">
        <f t="shared" si="1381"/>
        <v/>
      </c>
      <c r="Q4484" s="22"/>
      <c r="R4484" s="22"/>
      <c r="S4484" s="22"/>
      <c r="T4484" s="22"/>
      <c r="U4484" s="22"/>
      <c r="V4484" s="22"/>
      <c r="W4484" s="22"/>
      <c r="X4484" s="104"/>
      <c r="Y4484" s="195" t="str">
        <f t="shared" si="1378"/>
        <v/>
      </c>
      <c r="Z4484" s="196" t="str">
        <f t="shared" si="1379"/>
        <v/>
      </c>
      <c r="AA4484" s="22"/>
      <c r="AB4484" s="197" t="str">
        <f t="shared" si="1384"/>
        <v/>
      </c>
      <c r="AC4484" s="198" t="str">
        <f t="shared" si="1385"/>
        <v/>
      </c>
      <c r="AD4484" s="162"/>
      <c r="AE4484" s="199" t="str">
        <f t="shared" si="1386"/>
        <v/>
      </c>
      <c r="AF4484" s="199" t="str">
        <f>IF(AND(COUNTIFS($J$18:J4484,J4484)=1,AE4484=1),1,"")</f>
        <v/>
      </c>
      <c r="AG4484" s="199" t="str">
        <f>IF(C4484="","",IF(AND(COUNTIFS($J$18:J4484,J4484)=1,C4484&lt;&gt;""),1,""))</f>
        <v/>
      </c>
      <c r="AH4484" s="199" t="str">
        <f>IF(G4484="","",IF(AND(COUNTIFS($J$18:J4484,J4484)=1,G4484&lt;&gt;""),1,""))</f>
        <v/>
      </c>
      <c r="AI4484" s="200">
        <f t="shared" si="1387"/>
        <v>0</v>
      </c>
      <c r="AJ4484" s="200">
        <f t="shared" si="1388"/>
        <v>0</v>
      </c>
      <c r="AK4484" s="201" t="str">
        <f t="shared" si="1389"/>
        <v/>
      </c>
      <c r="AL4484" s="24"/>
      <c r="AM4484" s="24"/>
      <c r="AN4484" s="24"/>
      <c r="AO4484" s="24"/>
      <c r="AP4484" s="165" t="str">
        <f t="shared" si="1390"/>
        <v/>
      </c>
      <c r="AQ4484" s="203" t="str">
        <f t="shared" si="1391"/>
        <v/>
      </c>
      <c r="AR4484" s="206">
        <f t="shared" si="1392"/>
        <v>0</v>
      </c>
      <c r="AS4484" s="22" t="str">
        <f t="shared" si="1393"/>
        <v/>
      </c>
      <c r="AT4484" s="24" t="str">
        <f t="shared" si="1394"/>
        <v/>
      </c>
      <c r="AU4484" s="22" t="s">
        <v>3240</v>
      </c>
    </row>
    <row r="4485" spans="1:47">
      <c r="A4485" s="246" t="str">
        <f t="shared" si="1382"/>
        <v/>
      </c>
      <c r="B4485" s="23"/>
      <c r="C4485" s="23"/>
      <c r="D4485" s="202" t="str">
        <f t="shared" si="1383"/>
        <v/>
      </c>
      <c r="E4485" s="33" t="str">
        <f t="shared" si="1377"/>
        <v/>
      </c>
      <c r="F4485" s="23"/>
      <c r="G4485" s="23"/>
      <c r="H4485" s="29"/>
      <c r="I4485" s="204" t="str">
        <f t="shared" si="1380"/>
        <v/>
      </c>
      <c r="J4485" s="188"/>
      <c r="K4485" s="29"/>
      <c r="L4485" s="24"/>
      <c r="M4485" s="22"/>
      <c r="N4485" s="22"/>
      <c r="O4485" s="22"/>
      <c r="P4485" s="202" t="str">
        <f t="shared" si="1381"/>
        <v/>
      </c>
      <c r="Q4485" s="22"/>
      <c r="R4485" s="22"/>
      <c r="S4485" s="22"/>
      <c r="T4485" s="22"/>
      <c r="U4485" s="22"/>
      <c r="V4485" s="22"/>
      <c r="W4485" s="22"/>
      <c r="X4485" s="104"/>
      <c r="Y4485" s="195" t="str">
        <f t="shared" si="1378"/>
        <v/>
      </c>
      <c r="Z4485" s="196" t="str">
        <f t="shared" si="1379"/>
        <v/>
      </c>
      <c r="AA4485" s="22"/>
      <c r="AB4485" s="197" t="str">
        <f t="shared" si="1384"/>
        <v/>
      </c>
      <c r="AC4485" s="198" t="str">
        <f t="shared" si="1385"/>
        <v/>
      </c>
      <c r="AD4485" s="162"/>
      <c r="AE4485" s="199" t="str">
        <f t="shared" si="1386"/>
        <v/>
      </c>
      <c r="AF4485" s="199" t="str">
        <f>IF(AND(COUNTIFS($J$18:J4485,J4485)=1,AE4485=1),1,"")</f>
        <v/>
      </c>
      <c r="AG4485" s="199" t="str">
        <f>IF(C4485="","",IF(AND(COUNTIFS($J$18:J4485,J4485)=1,C4485&lt;&gt;""),1,""))</f>
        <v/>
      </c>
      <c r="AH4485" s="199" t="str">
        <f>IF(G4485="","",IF(AND(COUNTIFS($J$18:J4485,J4485)=1,G4485&lt;&gt;""),1,""))</f>
        <v/>
      </c>
      <c r="AI4485" s="200">
        <f t="shared" si="1387"/>
        <v>0</v>
      </c>
      <c r="AJ4485" s="200">
        <f t="shared" si="1388"/>
        <v>0</v>
      </c>
      <c r="AK4485" s="201" t="str">
        <f t="shared" si="1389"/>
        <v/>
      </c>
      <c r="AL4485" s="24"/>
      <c r="AM4485" s="24"/>
      <c r="AN4485" s="24"/>
      <c r="AO4485" s="24"/>
      <c r="AP4485" s="165" t="str">
        <f t="shared" si="1390"/>
        <v/>
      </c>
      <c r="AQ4485" s="203" t="str">
        <f t="shared" si="1391"/>
        <v/>
      </c>
      <c r="AR4485" s="206">
        <f t="shared" si="1392"/>
        <v>0</v>
      </c>
      <c r="AS4485" s="22" t="str">
        <f t="shared" si="1393"/>
        <v/>
      </c>
      <c r="AT4485" s="24" t="str">
        <f t="shared" si="1394"/>
        <v/>
      </c>
      <c r="AU4485" s="22" t="s">
        <v>3240</v>
      </c>
    </row>
    <row r="4486" spans="1:47">
      <c r="A4486" s="246" t="str">
        <f t="shared" si="1382"/>
        <v/>
      </c>
      <c r="B4486" s="23"/>
      <c r="C4486" s="23"/>
      <c r="D4486" s="202" t="str">
        <f t="shared" si="1383"/>
        <v/>
      </c>
      <c r="E4486" s="33" t="str">
        <f t="shared" si="1377"/>
        <v/>
      </c>
      <c r="F4486" s="23"/>
      <c r="G4486" s="23"/>
      <c r="H4486" s="29"/>
      <c r="I4486" s="204" t="str">
        <f t="shared" si="1380"/>
        <v/>
      </c>
      <c r="J4486" s="188"/>
      <c r="K4486" s="29"/>
      <c r="L4486" s="24"/>
      <c r="M4486" s="22"/>
      <c r="N4486" s="22"/>
      <c r="O4486" s="22"/>
      <c r="P4486" s="202" t="str">
        <f t="shared" si="1381"/>
        <v/>
      </c>
      <c r="Q4486" s="22"/>
      <c r="R4486" s="22"/>
      <c r="S4486" s="22"/>
      <c r="T4486" s="22"/>
      <c r="U4486" s="22"/>
      <c r="V4486" s="22"/>
      <c r="W4486" s="22"/>
      <c r="X4486" s="104"/>
      <c r="Y4486" s="195" t="str">
        <f t="shared" si="1378"/>
        <v/>
      </c>
      <c r="Z4486" s="196" t="str">
        <f t="shared" si="1379"/>
        <v/>
      </c>
      <c r="AA4486" s="22"/>
      <c r="AB4486" s="197" t="str">
        <f t="shared" si="1384"/>
        <v/>
      </c>
      <c r="AC4486" s="198" t="str">
        <f t="shared" si="1385"/>
        <v/>
      </c>
      <c r="AD4486" s="162"/>
      <c r="AE4486" s="199" t="str">
        <f t="shared" si="1386"/>
        <v/>
      </c>
      <c r="AF4486" s="199" t="str">
        <f>IF(AND(COUNTIFS($J$18:J4486,J4486)=1,AE4486=1),1,"")</f>
        <v/>
      </c>
      <c r="AG4486" s="199" t="str">
        <f>IF(C4486="","",IF(AND(COUNTIFS($J$18:J4486,J4486)=1,C4486&lt;&gt;""),1,""))</f>
        <v/>
      </c>
      <c r="AH4486" s="199" t="str">
        <f>IF(G4486="","",IF(AND(COUNTIFS($J$18:J4486,J4486)=1,G4486&lt;&gt;""),1,""))</f>
        <v/>
      </c>
      <c r="AI4486" s="200">
        <f t="shared" si="1387"/>
        <v>0</v>
      </c>
      <c r="AJ4486" s="200">
        <f t="shared" si="1388"/>
        <v>0</v>
      </c>
      <c r="AK4486" s="201" t="str">
        <f t="shared" si="1389"/>
        <v/>
      </c>
      <c r="AL4486" s="24"/>
      <c r="AM4486" s="24"/>
      <c r="AN4486" s="24"/>
      <c r="AO4486" s="24"/>
      <c r="AP4486" s="165" t="str">
        <f t="shared" si="1390"/>
        <v/>
      </c>
      <c r="AQ4486" s="203" t="str">
        <f t="shared" si="1391"/>
        <v/>
      </c>
      <c r="AR4486" s="206">
        <f t="shared" si="1392"/>
        <v>0</v>
      </c>
      <c r="AS4486" s="22" t="str">
        <f t="shared" si="1393"/>
        <v/>
      </c>
      <c r="AT4486" s="24" t="str">
        <f t="shared" si="1394"/>
        <v/>
      </c>
      <c r="AU4486" s="22" t="s">
        <v>3240</v>
      </c>
    </row>
    <row r="4487" spans="1:47">
      <c r="A4487" s="246" t="str">
        <f t="shared" si="1382"/>
        <v/>
      </c>
      <c r="B4487" s="23"/>
      <c r="C4487" s="23"/>
      <c r="D4487" s="202" t="str">
        <f t="shared" si="1383"/>
        <v/>
      </c>
      <c r="E4487" s="33" t="str">
        <f t="shared" si="1377"/>
        <v/>
      </c>
      <c r="F4487" s="23"/>
      <c r="G4487" s="23"/>
      <c r="H4487" s="29"/>
      <c r="I4487" s="204" t="str">
        <f t="shared" si="1380"/>
        <v/>
      </c>
      <c r="J4487" s="188"/>
      <c r="K4487" s="29"/>
      <c r="L4487" s="24"/>
      <c r="M4487" s="22"/>
      <c r="N4487" s="22"/>
      <c r="O4487" s="22"/>
      <c r="P4487" s="202" t="str">
        <f t="shared" si="1381"/>
        <v/>
      </c>
      <c r="Q4487" s="22"/>
      <c r="R4487" s="22"/>
      <c r="S4487" s="22"/>
      <c r="T4487" s="22"/>
      <c r="U4487" s="22"/>
      <c r="V4487" s="22"/>
      <c r="W4487" s="22"/>
      <c r="X4487" s="104"/>
      <c r="Y4487" s="195" t="str">
        <f t="shared" si="1378"/>
        <v/>
      </c>
      <c r="Z4487" s="196" t="str">
        <f t="shared" si="1379"/>
        <v/>
      </c>
      <c r="AA4487" s="22"/>
      <c r="AB4487" s="197" t="str">
        <f t="shared" si="1384"/>
        <v/>
      </c>
      <c r="AC4487" s="198" t="str">
        <f t="shared" si="1385"/>
        <v/>
      </c>
      <c r="AD4487" s="162"/>
      <c r="AE4487" s="199" t="str">
        <f t="shared" si="1386"/>
        <v/>
      </c>
      <c r="AF4487" s="199" t="str">
        <f>IF(AND(COUNTIFS($J$18:J4487,J4487)=1,AE4487=1),1,"")</f>
        <v/>
      </c>
      <c r="AG4487" s="199" t="str">
        <f>IF(C4487="","",IF(AND(COUNTIFS($J$18:J4487,J4487)=1,C4487&lt;&gt;""),1,""))</f>
        <v/>
      </c>
      <c r="AH4487" s="199" t="str">
        <f>IF(G4487="","",IF(AND(COUNTIFS($J$18:J4487,J4487)=1,G4487&lt;&gt;""),1,""))</f>
        <v/>
      </c>
      <c r="AI4487" s="200">
        <f t="shared" si="1387"/>
        <v>0</v>
      </c>
      <c r="AJ4487" s="200">
        <f t="shared" si="1388"/>
        <v>0</v>
      </c>
      <c r="AK4487" s="201" t="str">
        <f t="shared" si="1389"/>
        <v/>
      </c>
      <c r="AL4487" s="24"/>
      <c r="AM4487" s="24"/>
      <c r="AN4487" s="24"/>
      <c r="AO4487" s="24"/>
      <c r="AP4487" s="165" t="str">
        <f t="shared" si="1390"/>
        <v/>
      </c>
      <c r="AQ4487" s="203" t="str">
        <f t="shared" si="1391"/>
        <v/>
      </c>
      <c r="AR4487" s="206">
        <f t="shared" si="1392"/>
        <v>0</v>
      </c>
      <c r="AS4487" s="22" t="str">
        <f t="shared" si="1393"/>
        <v/>
      </c>
      <c r="AT4487" s="24" t="str">
        <f t="shared" si="1394"/>
        <v/>
      </c>
      <c r="AU4487" s="22" t="s">
        <v>3240</v>
      </c>
    </row>
    <row r="4488" spans="1:47">
      <c r="A4488" s="246" t="str">
        <f t="shared" si="1382"/>
        <v/>
      </c>
      <c r="B4488" s="23"/>
      <c r="C4488" s="23"/>
      <c r="D4488" s="202" t="str">
        <f t="shared" si="1383"/>
        <v/>
      </c>
      <c r="E4488" s="33" t="str">
        <f t="shared" si="1377"/>
        <v/>
      </c>
      <c r="F4488" s="23"/>
      <c r="G4488" s="23"/>
      <c r="H4488" s="29"/>
      <c r="I4488" s="204" t="str">
        <f t="shared" si="1380"/>
        <v/>
      </c>
      <c r="J4488" s="188"/>
      <c r="K4488" s="29"/>
      <c r="L4488" s="24"/>
      <c r="M4488" s="22"/>
      <c r="N4488" s="22"/>
      <c r="O4488" s="22"/>
      <c r="P4488" s="202" t="str">
        <f t="shared" si="1381"/>
        <v/>
      </c>
      <c r="Q4488" s="22"/>
      <c r="R4488" s="22"/>
      <c r="S4488" s="22"/>
      <c r="T4488" s="22"/>
      <c r="U4488" s="22"/>
      <c r="V4488" s="22"/>
      <c r="W4488" s="22"/>
      <c r="X4488" s="104"/>
      <c r="Y4488" s="195" t="str">
        <f t="shared" si="1378"/>
        <v/>
      </c>
      <c r="Z4488" s="196" t="str">
        <f t="shared" si="1379"/>
        <v/>
      </c>
      <c r="AA4488" s="22"/>
      <c r="AB4488" s="197" t="str">
        <f t="shared" si="1384"/>
        <v/>
      </c>
      <c r="AC4488" s="198" t="str">
        <f t="shared" si="1385"/>
        <v/>
      </c>
      <c r="AD4488" s="162"/>
      <c r="AE4488" s="199" t="str">
        <f t="shared" si="1386"/>
        <v/>
      </c>
      <c r="AF4488" s="199" t="str">
        <f>IF(AND(COUNTIFS($J$18:J4488,J4488)=1,AE4488=1),1,"")</f>
        <v/>
      </c>
      <c r="AG4488" s="199" t="str">
        <f>IF(C4488="","",IF(AND(COUNTIFS($J$18:J4488,J4488)=1,C4488&lt;&gt;""),1,""))</f>
        <v/>
      </c>
      <c r="AH4488" s="199" t="str">
        <f>IF(G4488="","",IF(AND(COUNTIFS($J$18:J4488,J4488)=1,G4488&lt;&gt;""),1,""))</f>
        <v/>
      </c>
      <c r="AI4488" s="200">
        <f t="shared" si="1387"/>
        <v>0</v>
      </c>
      <c r="AJ4488" s="200">
        <f t="shared" si="1388"/>
        <v>0</v>
      </c>
      <c r="AK4488" s="201" t="str">
        <f t="shared" si="1389"/>
        <v/>
      </c>
      <c r="AL4488" s="24"/>
      <c r="AM4488" s="24"/>
      <c r="AN4488" s="24"/>
      <c r="AO4488" s="24"/>
      <c r="AP4488" s="165" t="str">
        <f t="shared" si="1390"/>
        <v/>
      </c>
      <c r="AQ4488" s="203" t="str">
        <f t="shared" si="1391"/>
        <v/>
      </c>
      <c r="AR4488" s="206">
        <f t="shared" si="1392"/>
        <v>0</v>
      </c>
      <c r="AS4488" s="22" t="str">
        <f t="shared" si="1393"/>
        <v/>
      </c>
      <c r="AT4488" s="24" t="str">
        <f t="shared" si="1394"/>
        <v/>
      </c>
      <c r="AU4488" s="22" t="s">
        <v>3240</v>
      </c>
    </row>
    <row r="4489" spans="1:47">
      <c r="A4489" s="246" t="str">
        <f t="shared" si="1382"/>
        <v/>
      </c>
      <c r="B4489" s="23"/>
      <c r="C4489" s="23"/>
      <c r="D4489" s="202" t="str">
        <f t="shared" si="1383"/>
        <v/>
      </c>
      <c r="E4489" s="33" t="str">
        <f t="shared" si="1377"/>
        <v/>
      </c>
      <c r="F4489" s="23"/>
      <c r="G4489" s="23"/>
      <c r="H4489" s="29"/>
      <c r="I4489" s="204" t="str">
        <f t="shared" si="1380"/>
        <v/>
      </c>
      <c r="J4489" s="188"/>
      <c r="K4489" s="29"/>
      <c r="L4489" s="24"/>
      <c r="M4489" s="22"/>
      <c r="N4489" s="22"/>
      <c r="O4489" s="22"/>
      <c r="P4489" s="202" t="str">
        <f t="shared" si="1381"/>
        <v/>
      </c>
      <c r="Q4489" s="22"/>
      <c r="R4489" s="22"/>
      <c r="S4489" s="22"/>
      <c r="T4489" s="22"/>
      <c r="U4489" s="22"/>
      <c r="V4489" s="22"/>
      <c r="W4489" s="22"/>
      <c r="X4489" s="104"/>
      <c r="Y4489" s="195" t="str">
        <f t="shared" si="1378"/>
        <v/>
      </c>
      <c r="Z4489" s="196" t="str">
        <f t="shared" si="1379"/>
        <v/>
      </c>
      <c r="AA4489" s="22"/>
      <c r="AB4489" s="197" t="str">
        <f t="shared" si="1384"/>
        <v/>
      </c>
      <c r="AC4489" s="198" t="str">
        <f t="shared" si="1385"/>
        <v/>
      </c>
      <c r="AD4489" s="162"/>
      <c r="AE4489" s="199" t="str">
        <f t="shared" si="1386"/>
        <v/>
      </c>
      <c r="AF4489" s="199" t="str">
        <f>IF(AND(COUNTIFS($J$18:J4489,J4489)=1,AE4489=1),1,"")</f>
        <v/>
      </c>
      <c r="AG4489" s="199" t="str">
        <f>IF(C4489="","",IF(AND(COUNTIFS($J$18:J4489,J4489)=1,C4489&lt;&gt;""),1,""))</f>
        <v/>
      </c>
      <c r="AH4489" s="199" t="str">
        <f>IF(G4489="","",IF(AND(COUNTIFS($J$18:J4489,J4489)=1,G4489&lt;&gt;""),1,""))</f>
        <v/>
      </c>
      <c r="AI4489" s="200">
        <f t="shared" si="1387"/>
        <v>0</v>
      </c>
      <c r="AJ4489" s="200">
        <f t="shared" si="1388"/>
        <v>0</v>
      </c>
      <c r="AK4489" s="201" t="str">
        <f t="shared" si="1389"/>
        <v/>
      </c>
      <c r="AL4489" s="24"/>
      <c r="AM4489" s="24"/>
      <c r="AN4489" s="24"/>
      <c r="AO4489" s="24"/>
      <c r="AP4489" s="165" t="str">
        <f t="shared" si="1390"/>
        <v/>
      </c>
      <c r="AQ4489" s="203" t="str">
        <f t="shared" si="1391"/>
        <v/>
      </c>
      <c r="AR4489" s="206">
        <f t="shared" si="1392"/>
        <v>0</v>
      </c>
      <c r="AS4489" s="22" t="str">
        <f t="shared" si="1393"/>
        <v/>
      </c>
      <c r="AT4489" s="24" t="str">
        <f t="shared" si="1394"/>
        <v/>
      </c>
      <c r="AU4489" s="22" t="s">
        <v>3240</v>
      </c>
    </row>
    <row r="4490" spans="1:47">
      <c r="A4490" s="246" t="str">
        <f t="shared" si="1382"/>
        <v/>
      </c>
      <c r="B4490" s="23"/>
      <c r="C4490" s="23"/>
      <c r="D4490" s="202" t="str">
        <f t="shared" si="1383"/>
        <v/>
      </c>
      <c r="E4490" s="33" t="str">
        <f t="shared" si="1377"/>
        <v/>
      </c>
      <c r="F4490" s="23"/>
      <c r="G4490" s="23"/>
      <c r="H4490" s="29"/>
      <c r="I4490" s="204" t="str">
        <f t="shared" si="1380"/>
        <v/>
      </c>
      <c r="J4490" s="188"/>
      <c r="K4490" s="29"/>
      <c r="L4490" s="24"/>
      <c r="M4490" s="22"/>
      <c r="N4490" s="22"/>
      <c r="O4490" s="22"/>
      <c r="P4490" s="202" t="str">
        <f t="shared" si="1381"/>
        <v/>
      </c>
      <c r="Q4490" s="22"/>
      <c r="R4490" s="22"/>
      <c r="S4490" s="22"/>
      <c r="T4490" s="22"/>
      <c r="U4490" s="22"/>
      <c r="V4490" s="22"/>
      <c r="W4490" s="22"/>
      <c r="X4490" s="104"/>
      <c r="Y4490" s="195" t="str">
        <f t="shared" si="1378"/>
        <v/>
      </c>
      <c r="Z4490" s="196" t="str">
        <f t="shared" si="1379"/>
        <v/>
      </c>
      <c r="AA4490" s="22"/>
      <c r="AB4490" s="197" t="str">
        <f t="shared" si="1384"/>
        <v/>
      </c>
      <c r="AC4490" s="198" t="str">
        <f t="shared" si="1385"/>
        <v/>
      </c>
      <c r="AD4490" s="162"/>
      <c r="AE4490" s="199" t="str">
        <f t="shared" si="1386"/>
        <v/>
      </c>
      <c r="AF4490" s="199" t="str">
        <f>IF(AND(COUNTIFS($J$18:J4490,J4490)=1,AE4490=1),1,"")</f>
        <v/>
      </c>
      <c r="AG4490" s="199" t="str">
        <f>IF(C4490="","",IF(AND(COUNTIFS($J$18:J4490,J4490)=1,C4490&lt;&gt;""),1,""))</f>
        <v/>
      </c>
      <c r="AH4490" s="199" t="str">
        <f>IF(G4490="","",IF(AND(COUNTIFS($J$18:J4490,J4490)=1,G4490&lt;&gt;""),1,""))</f>
        <v/>
      </c>
      <c r="AI4490" s="200">
        <f t="shared" si="1387"/>
        <v>0</v>
      </c>
      <c r="AJ4490" s="200">
        <f t="shared" si="1388"/>
        <v>0</v>
      </c>
      <c r="AK4490" s="201" t="str">
        <f t="shared" si="1389"/>
        <v/>
      </c>
      <c r="AL4490" s="24"/>
      <c r="AM4490" s="24"/>
      <c r="AN4490" s="24"/>
      <c r="AO4490" s="24"/>
      <c r="AP4490" s="165" t="str">
        <f t="shared" si="1390"/>
        <v/>
      </c>
      <c r="AQ4490" s="203" t="str">
        <f t="shared" si="1391"/>
        <v/>
      </c>
      <c r="AR4490" s="206">
        <f t="shared" si="1392"/>
        <v>0</v>
      </c>
      <c r="AS4490" s="22" t="str">
        <f t="shared" si="1393"/>
        <v/>
      </c>
      <c r="AT4490" s="24" t="str">
        <f t="shared" si="1394"/>
        <v/>
      </c>
      <c r="AU4490" s="22" t="s">
        <v>3240</v>
      </c>
    </row>
    <row r="4491" spans="1:47">
      <c r="A4491" s="246" t="str">
        <f t="shared" si="1382"/>
        <v/>
      </c>
      <c r="B4491" s="23"/>
      <c r="C4491" s="23"/>
      <c r="D4491" s="202" t="str">
        <f t="shared" si="1383"/>
        <v/>
      </c>
      <c r="E4491" s="33" t="str">
        <f t="shared" si="1377"/>
        <v/>
      </c>
      <c r="F4491" s="23"/>
      <c r="G4491" s="23"/>
      <c r="H4491" s="29"/>
      <c r="I4491" s="204" t="str">
        <f t="shared" si="1380"/>
        <v/>
      </c>
      <c r="J4491" s="188"/>
      <c r="K4491" s="29"/>
      <c r="L4491" s="24"/>
      <c r="M4491" s="22"/>
      <c r="N4491" s="22"/>
      <c r="O4491" s="22"/>
      <c r="P4491" s="202" t="str">
        <f t="shared" si="1381"/>
        <v/>
      </c>
      <c r="Q4491" s="22"/>
      <c r="R4491" s="22"/>
      <c r="S4491" s="22"/>
      <c r="T4491" s="22"/>
      <c r="U4491" s="22"/>
      <c r="V4491" s="22"/>
      <c r="W4491" s="22"/>
      <c r="X4491" s="104"/>
      <c r="Y4491" s="195" t="str">
        <f t="shared" si="1378"/>
        <v/>
      </c>
      <c r="Z4491" s="196" t="str">
        <f t="shared" si="1379"/>
        <v/>
      </c>
      <c r="AA4491" s="22"/>
      <c r="AB4491" s="197" t="str">
        <f t="shared" si="1384"/>
        <v/>
      </c>
      <c r="AC4491" s="198" t="str">
        <f t="shared" si="1385"/>
        <v/>
      </c>
      <c r="AD4491" s="162"/>
      <c r="AE4491" s="199" t="str">
        <f t="shared" si="1386"/>
        <v/>
      </c>
      <c r="AF4491" s="199" t="str">
        <f>IF(AND(COUNTIFS($J$18:J4491,J4491)=1,AE4491=1),1,"")</f>
        <v/>
      </c>
      <c r="AG4491" s="199" t="str">
        <f>IF(C4491="","",IF(AND(COUNTIFS($J$18:J4491,J4491)=1,C4491&lt;&gt;""),1,""))</f>
        <v/>
      </c>
      <c r="AH4491" s="199" t="str">
        <f>IF(G4491="","",IF(AND(COUNTIFS($J$18:J4491,J4491)=1,G4491&lt;&gt;""),1,""))</f>
        <v/>
      </c>
      <c r="AI4491" s="200">
        <f t="shared" si="1387"/>
        <v>0</v>
      </c>
      <c r="AJ4491" s="200">
        <f t="shared" si="1388"/>
        <v>0</v>
      </c>
      <c r="AK4491" s="201" t="str">
        <f t="shared" si="1389"/>
        <v/>
      </c>
      <c r="AL4491" s="24"/>
      <c r="AM4491" s="24"/>
      <c r="AN4491" s="24"/>
      <c r="AO4491" s="24"/>
      <c r="AP4491" s="165" t="str">
        <f t="shared" si="1390"/>
        <v/>
      </c>
      <c r="AQ4491" s="203" t="str">
        <f t="shared" si="1391"/>
        <v/>
      </c>
      <c r="AR4491" s="206">
        <f t="shared" si="1392"/>
        <v>0</v>
      </c>
      <c r="AS4491" s="22" t="str">
        <f t="shared" si="1393"/>
        <v/>
      </c>
      <c r="AT4491" s="24" t="str">
        <f t="shared" si="1394"/>
        <v/>
      </c>
      <c r="AU4491" s="22" t="s">
        <v>3240</v>
      </c>
    </row>
    <row r="4492" spans="1:47">
      <c r="A4492" s="246" t="str">
        <f t="shared" si="1382"/>
        <v/>
      </c>
      <c r="B4492" s="23"/>
      <c r="C4492" s="23"/>
      <c r="D4492" s="202" t="str">
        <f t="shared" si="1383"/>
        <v/>
      </c>
      <c r="E4492" s="33" t="str">
        <f t="shared" si="1377"/>
        <v/>
      </c>
      <c r="F4492" s="23"/>
      <c r="G4492" s="23"/>
      <c r="H4492" s="29"/>
      <c r="I4492" s="204" t="str">
        <f t="shared" si="1380"/>
        <v/>
      </c>
      <c r="J4492" s="188"/>
      <c r="K4492" s="29"/>
      <c r="L4492" s="24"/>
      <c r="M4492" s="22"/>
      <c r="N4492" s="22"/>
      <c r="O4492" s="22"/>
      <c r="P4492" s="202" t="str">
        <f t="shared" si="1381"/>
        <v/>
      </c>
      <c r="Q4492" s="22"/>
      <c r="R4492" s="22"/>
      <c r="S4492" s="22"/>
      <c r="T4492" s="22"/>
      <c r="U4492" s="22"/>
      <c r="V4492" s="22"/>
      <c r="W4492" s="22"/>
      <c r="X4492" s="104"/>
      <c r="Y4492" s="195" t="str">
        <f t="shared" si="1378"/>
        <v/>
      </c>
      <c r="Z4492" s="196" t="str">
        <f t="shared" si="1379"/>
        <v/>
      </c>
      <c r="AA4492" s="22"/>
      <c r="AB4492" s="197" t="str">
        <f t="shared" si="1384"/>
        <v/>
      </c>
      <c r="AC4492" s="198" t="str">
        <f t="shared" si="1385"/>
        <v/>
      </c>
      <c r="AD4492" s="162"/>
      <c r="AE4492" s="199" t="str">
        <f t="shared" si="1386"/>
        <v/>
      </c>
      <c r="AF4492" s="199" t="str">
        <f>IF(AND(COUNTIFS($J$18:J4492,J4492)=1,AE4492=1),1,"")</f>
        <v/>
      </c>
      <c r="AG4492" s="199" t="str">
        <f>IF(C4492="","",IF(AND(COUNTIFS($J$18:J4492,J4492)=1,C4492&lt;&gt;""),1,""))</f>
        <v/>
      </c>
      <c r="AH4492" s="199" t="str">
        <f>IF(G4492="","",IF(AND(COUNTIFS($J$18:J4492,J4492)=1,G4492&lt;&gt;""),1,""))</f>
        <v/>
      </c>
      <c r="AI4492" s="200">
        <f t="shared" si="1387"/>
        <v>0</v>
      </c>
      <c r="AJ4492" s="200">
        <f t="shared" si="1388"/>
        <v>0</v>
      </c>
      <c r="AK4492" s="201" t="str">
        <f t="shared" si="1389"/>
        <v/>
      </c>
      <c r="AL4492" s="24"/>
      <c r="AM4492" s="24"/>
      <c r="AN4492" s="24"/>
      <c r="AO4492" s="24"/>
      <c r="AP4492" s="165" t="str">
        <f t="shared" si="1390"/>
        <v/>
      </c>
      <c r="AQ4492" s="203" t="str">
        <f t="shared" si="1391"/>
        <v/>
      </c>
      <c r="AR4492" s="206">
        <f t="shared" si="1392"/>
        <v>0</v>
      </c>
      <c r="AS4492" s="22" t="str">
        <f t="shared" si="1393"/>
        <v/>
      </c>
      <c r="AT4492" s="24" t="str">
        <f t="shared" si="1394"/>
        <v/>
      </c>
      <c r="AU4492" s="22" t="s">
        <v>3240</v>
      </c>
    </row>
    <row r="4493" spans="1:47">
      <c r="A4493" s="246" t="str">
        <f t="shared" si="1382"/>
        <v/>
      </c>
      <c r="B4493" s="23"/>
      <c r="C4493" s="23"/>
      <c r="D4493" s="202" t="str">
        <f t="shared" si="1383"/>
        <v/>
      </c>
      <c r="E4493" s="33" t="str">
        <f t="shared" si="1377"/>
        <v/>
      </c>
      <c r="F4493" s="23"/>
      <c r="G4493" s="23"/>
      <c r="H4493" s="29"/>
      <c r="I4493" s="204" t="str">
        <f t="shared" si="1380"/>
        <v/>
      </c>
      <c r="J4493" s="188"/>
      <c r="K4493" s="29"/>
      <c r="L4493" s="24"/>
      <c r="M4493" s="22"/>
      <c r="N4493" s="22"/>
      <c r="O4493" s="22"/>
      <c r="P4493" s="202" t="str">
        <f t="shared" si="1381"/>
        <v/>
      </c>
      <c r="Q4493" s="22"/>
      <c r="R4493" s="22"/>
      <c r="S4493" s="22"/>
      <c r="T4493" s="22"/>
      <c r="U4493" s="22"/>
      <c r="V4493" s="22"/>
      <c r="W4493" s="22"/>
      <c r="X4493" s="104"/>
      <c r="Y4493" s="195" t="str">
        <f t="shared" si="1378"/>
        <v/>
      </c>
      <c r="Z4493" s="196" t="str">
        <f t="shared" si="1379"/>
        <v/>
      </c>
      <c r="AA4493" s="22"/>
      <c r="AB4493" s="197" t="str">
        <f t="shared" si="1384"/>
        <v/>
      </c>
      <c r="AC4493" s="198" t="str">
        <f t="shared" si="1385"/>
        <v/>
      </c>
      <c r="AD4493" s="162"/>
      <c r="AE4493" s="199" t="str">
        <f t="shared" si="1386"/>
        <v/>
      </c>
      <c r="AF4493" s="199" t="str">
        <f>IF(AND(COUNTIFS($J$18:J4493,J4493)=1,AE4493=1),1,"")</f>
        <v/>
      </c>
      <c r="AG4493" s="199" t="str">
        <f>IF(C4493="","",IF(AND(COUNTIFS($J$18:J4493,J4493)=1,C4493&lt;&gt;""),1,""))</f>
        <v/>
      </c>
      <c r="AH4493" s="199" t="str">
        <f>IF(G4493="","",IF(AND(COUNTIFS($J$18:J4493,J4493)=1,G4493&lt;&gt;""),1,""))</f>
        <v/>
      </c>
      <c r="AI4493" s="200">
        <f t="shared" si="1387"/>
        <v>0</v>
      </c>
      <c r="AJ4493" s="200">
        <f t="shared" si="1388"/>
        <v>0</v>
      </c>
      <c r="AK4493" s="201" t="str">
        <f t="shared" si="1389"/>
        <v/>
      </c>
      <c r="AL4493" s="24"/>
      <c r="AM4493" s="24"/>
      <c r="AN4493" s="24"/>
      <c r="AO4493" s="24"/>
      <c r="AP4493" s="165" t="str">
        <f t="shared" si="1390"/>
        <v/>
      </c>
      <c r="AQ4493" s="203" t="str">
        <f t="shared" si="1391"/>
        <v/>
      </c>
      <c r="AR4493" s="206">
        <f t="shared" si="1392"/>
        <v>0</v>
      </c>
      <c r="AS4493" s="22" t="str">
        <f t="shared" si="1393"/>
        <v/>
      </c>
      <c r="AT4493" s="24" t="str">
        <f t="shared" si="1394"/>
        <v/>
      </c>
      <c r="AU4493" s="22" t="s">
        <v>3240</v>
      </c>
    </row>
    <row r="4494" spans="1:47">
      <c r="A4494" s="246" t="str">
        <f t="shared" si="1382"/>
        <v/>
      </c>
      <c r="B4494" s="23"/>
      <c r="C4494" s="23"/>
      <c r="D4494" s="202" t="str">
        <f t="shared" si="1383"/>
        <v/>
      </c>
      <c r="E4494" s="33" t="str">
        <f t="shared" si="1377"/>
        <v/>
      </c>
      <c r="F4494" s="23"/>
      <c r="G4494" s="23"/>
      <c r="H4494" s="29"/>
      <c r="I4494" s="204" t="str">
        <f t="shared" si="1380"/>
        <v/>
      </c>
      <c r="J4494" s="188"/>
      <c r="K4494" s="29"/>
      <c r="L4494" s="24"/>
      <c r="M4494" s="22"/>
      <c r="N4494" s="22"/>
      <c r="O4494" s="22"/>
      <c r="P4494" s="202" t="str">
        <f t="shared" si="1381"/>
        <v/>
      </c>
      <c r="Q4494" s="22"/>
      <c r="R4494" s="22"/>
      <c r="S4494" s="22"/>
      <c r="T4494" s="22"/>
      <c r="U4494" s="22"/>
      <c r="V4494" s="22"/>
      <c r="W4494" s="22"/>
      <c r="X4494" s="104"/>
      <c r="Y4494" s="195" t="str">
        <f t="shared" si="1378"/>
        <v/>
      </c>
      <c r="Z4494" s="196" t="str">
        <f t="shared" si="1379"/>
        <v/>
      </c>
      <c r="AA4494" s="22"/>
      <c r="AB4494" s="197" t="str">
        <f t="shared" si="1384"/>
        <v/>
      </c>
      <c r="AC4494" s="198" t="str">
        <f t="shared" si="1385"/>
        <v/>
      </c>
      <c r="AD4494" s="162"/>
      <c r="AE4494" s="199" t="str">
        <f t="shared" si="1386"/>
        <v/>
      </c>
      <c r="AF4494" s="199" t="str">
        <f>IF(AND(COUNTIFS($J$18:J4494,J4494)=1,AE4494=1),1,"")</f>
        <v/>
      </c>
      <c r="AG4494" s="199" t="str">
        <f>IF(C4494="","",IF(AND(COUNTIFS($J$18:J4494,J4494)=1,C4494&lt;&gt;""),1,""))</f>
        <v/>
      </c>
      <c r="AH4494" s="199" t="str">
        <f>IF(G4494="","",IF(AND(COUNTIFS($J$18:J4494,J4494)=1,G4494&lt;&gt;""),1,""))</f>
        <v/>
      </c>
      <c r="AI4494" s="200">
        <f t="shared" si="1387"/>
        <v>0</v>
      </c>
      <c r="AJ4494" s="200">
        <f t="shared" si="1388"/>
        <v>0</v>
      </c>
      <c r="AK4494" s="201" t="str">
        <f t="shared" si="1389"/>
        <v/>
      </c>
      <c r="AL4494" s="24"/>
      <c r="AM4494" s="24"/>
      <c r="AN4494" s="24"/>
      <c r="AO4494" s="24"/>
      <c r="AP4494" s="165" t="str">
        <f t="shared" si="1390"/>
        <v/>
      </c>
      <c r="AQ4494" s="203" t="str">
        <f t="shared" si="1391"/>
        <v/>
      </c>
      <c r="AR4494" s="206">
        <f t="shared" si="1392"/>
        <v>0</v>
      </c>
      <c r="AS4494" s="22" t="str">
        <f t="shared" si="1393"/>
        <v/>
      </c>
      <c r="AT4494" s="24" t="str">
        <f t="shared" si="1394"/>
        <v/>
      </c>
      <c r="AU4494" s="22" t="s">
        <v>3240</v>
      </c>
    </row>
    <row r="4495" spans="1:47">
      <c r="A4495" s="246" t="str">
        <f t="shared" si="1382"/>
        <v/>
      </c>
      <c r="B4495" s="23"/>
      <c r="C4495" s="23"/>
      <c r="D4495" s="202" t="str">
        <f t="shared" si="1383"/>
        <v/>
      </c>
      <c r="E4495" s="33" t="str">
        <f t="shared" si="1377"/>
        <v/>
      </c>
      <c r="F4495" s="23"/>
      <c r="G4495" s="23"/>
      <c r="H4495" s="29"/>
      <c r="I4495" s="204" t="str">
        <f t="shared" si="1380"/>
        <v/>
      </c>
      <c r="J4495" s="188"/>
      <c r="K4495" s="29"/>
      <c r="L4495" s="24"/>
      <c r="M4495" s="22"/>
      <c r="N4495" s="22"/>
      <c r="O4495" s="22"/>
      <c r="P4495" s="202" t="str">
        <f t="shared" si="1381"/>
        <v/>
      </c>
      <c r="Q4495" s="22"/>
      <c r="R4495" s="22"/>
      <c r="S4495" s="22"/>
      <c r="T4495" s="22"/>
      <c r="U4495" s="22"/>
      <c r="V4495" s="22"/>
      <c r="W4495" s="22"/>
      <c r="X4495" s="104"/>
      <c r="Y4495" s="195" t="str">
        <f t="shared" si="1378"/>
        <v/>
      </c>
      <c r="Z4495" s="196" t="str">
        <f t="shared" si="1379"/>
        <v/>
      </c>
      <c r="AA4495" s="22"/>
      <c r="AB4495" s="197" t="str">
        <f t="shared" si="1384"/>
        <v/>
      </c>
      <c r="AC4495" s="198" t="str">
        <f t="shared" si="1385"/>
        <v/>
      </c>
      <c r="AD4495" s="162"/>
      <c r="AE4495" s="199" t="str">
        <f t="shared" si="1386"/>
        <v/>
      </c>
      <c r="AF4495" s="199" t="str">
        <f>IF(AND(COUNTIFS($J$18:J4495,J4495)=1,AE4495=1),1,"")</f>
        <v/>
      </c>
      <c r="AG4495" s="199" t="str">
        <f>IF(C4495="","",IF(AND(COUNTIFS($J$18:J4495,J4495)=1,C4495&lt;&gt;""),1,""))</f>
        <v/>
      </c>
      <c r="AH4495" s="199" t="str">
        <f>IF(G4495="","",IF(AND(COUNTIFS($J$18:J4495,J4495)=1,G4495&lt;&gt;""),1,""))</f>
        <v/>
      </c>
      <c r="AI4495" s="200">
        <f t="shared" si="1387"/>
        <v>0</v>
      </c>
      <c r="AJ4495" s="200">
        <f t="shared" si="1388"/>
        <v>0</v>
      </c>
      <c r="AK4495" s="201" t="str">
        <f t="shared" si="1389"/>
        <v/>
      </c>
      <c r="AL4495" s="24"/>
      <c r="AM4495" s="24"/>
      <c r="AN4495" s="24"/>
      <c r="AO4495" s="24"/>
      <c r="AP4495" s="165" t="str">
        <f t="shared" si="1390"/>
        <v/>
      </c>
      <c r="AQ4495" s="203" t="str">
        <f t="shared" si="1391"/>
        <v/>
      </c>
      <c r="AR4495" s="206">
        <f t="shared" si="1392"/>
        <v>0</v>
      </c>
      <c r="AS4495" s="22" t="str">
        <f t="shared" si="1393"/>
        <v/>
      </c>
      <c r="AT4495" s="24" t="str">
        <f t="shared" si="1394"/>
        <v/>
      </c>
      <c r="AU4495" s="22" t="s">
        <v>3240</v>
      </c>
    </row>
    <row r="4496" spans="1:47">
      <c r="A4496" s="246" t="str">
        <f t="shared" si="1382"/>
        <v/>
      </c>
      <c r="B4496" s="23"/>
      <c r="C4496" s="23"/>
      <c r="D4496" s="202" t="str">
        <f t="shared" si="1383"/>
        <v/>
      </c>
      <c r="E4496" s="33" t="str">
        <f t="shared" si="1377"/>
        <v/>
      </c>
      <c r="F4496" s="23"/>
      <c r="G4496" s="23"/>
      <c r="H4496" s="29"/>
      <c r="I4496" s="204" t="str">
        <f t="shared" si="1380"/>
        <v/>
      </c>
      <c r="J4496" s="188"/>
      <c r="K4496" s="29"/>
      <c r="L4496" s="24"/>
      <c r="M4496" s="22"/>
      <c r="N4496" s="22"/>
      <c r="O4496" s="22"/>
      <c r="P4496" s="202" t="str">
        <f t="shared" si="1381"/>
        <v/>
      </c>
      <c r="Q4496" s="22"/>
      <c r="R4496" s="22"/>
      <c r="S4496" s="22"/>
      <c r="T4496" s="22"/>
      <c r="U4496" s="22"/>
      <c r="V4496" s="22"/>
      <c r="W4496" s="22"/>
      <c r="X4496" s="104"/>
      <c r="Y4496" s="195" t="str">
        <f t="shared" si="1378"/>
        <v/>
      </c>
      <c r="Z4496" s="196" t="str">
        <f t="shared" si="1379"/>
        <v/>
      </c>
      <c r="AA4496" s="22"/>
      <c r="AB4496" s="197" t="str">
        <f t="shared" si="1384"/>
        <v/>
      </c>
      <c r="AC4496" s="198" t="str">
        <f t="shared" si="1385"/>
        <v/>
      </c>
      <c r="AD4496" s="162"/>
      <c r="AE4496" s="199" t="str">
        <f t="shared" si="1386"/>
        <v/>
      </c>
      <c r="AF4496" s="199" t="str">
        <f>IF(AND(COUNTIFS($J$18:J4496,J4496)=1,AE4496=1),1,"")</f>
        <v/>
      </c>
      <c r="AG4496" s="199" t="str">
        <f>IF(C4496="","",IF(AND(COUNTIFS($J$18:J4496,J4496)=1,C4496&lt;&gt;""),1,""))</f>
        <v/>
      </c>
      <c r="AH4496" s="199" t="str">
        <f>IF(G4496="","",IF(AND(COUNTIFS($J$18:J4496,J4496)=1,G4496&lt;&gt;""),1,""))</f>
        <v/>
      </c>
      <c r="AI4496" s="200">
        <f t="shared" si="1387"/>
        <v>0</v>
      </c>
      <c r="AJ4496" s="200">
        <f t="shared" si="1388"/>
        <v>0</v>
      </c>
      <c r="AK4496" s="201" t="str">
        <f t="shared" si="1389"/>
        <v/>
      </c>
      <c r="AL4496" s="24"/>
      <c r="AM4496" s="24"/>
      <c r="AN4496" s="24"/>
      <c r="AO4496" s="24"/>
      <c r="AP4496" s="165" t="str">
        <f t="shared" si="1390"/>
        <v/>
      </c>
      <c r="AQ4496" s="203" t="str">
        <f t="shared" si="1391"/>
        <v/>
      </c>
      <c r="AR4496" s="206">
        <f t="shared" si="1392"/>
        <v>0</v>
      </c>
      <c r="AS4496" s="22" t="str">
        <f t="shared" si="1393"/>
        <v/>
      </c>
      <c r="AT4496" s="24" t="str">
        <f t="shared" si="1394"/>
        <v/>
      </c>
      <c r="AU4496" s="22" t="s">
        <v>3240</v>
      </c>
    </row>
    <row r="4497" spans="1:47">
      <c r="A4497" s="246" t="str">
        <f t="shared" si="1382"/>
        <v/>
      </c>
      <c r="B4497" s="23"/>
      <c r="C4497" s="23"/>
      <c r="D4497" s="202" t="str">
        <f t="shared" si="1383"/>
        <v/>
      </c>
      <c r="E4497" s="33" t="str">
        <f t="shared" si="1377"/>
        <v/>
      </c>
      <c r="F4497" s="23"/>
      <c r="G4497" s="23"/>
      <c r="H4497" s="29"/>
      <c r="I4497" s="204" t="str">
        <f t="shared" si="1380"/>
        <v/>
      </c>
      <c r="J4497" s="188"/>
      <c r="K4497" s="29"/>
      <c r="L4497" s="24"/>
      <c r="M4497" s="22"/>
      <c r="N4497" s="22"/>
      <c r="O4497" s="22"/>
      <c r="P4497" s="202" t="str">
        <f t="shared" si="1381"/>
        <v/>
      </c>
      <c r="Q4497" s="22"/>
      <c r="R4497" s="22"/>
      <c r="S4497" s="22"/>
      <c r="T4497" s="22"/>
      <c r="U4497" s="22"/>
      <c r="V4497" s="22"/>
      <c r="W4497" s="22"/>
      <c r="X4497" s="104"/>
      <c r="Y4497" s="195" t="str">
        <f t="shared" si="1378"/>
        <v/>
      </c>
      <c r="Z4497" s="196" t="str">
        <f t="shared" si="1379"/>
        <v/>
      </c>
      <c r="AA4497" s="22"/>
      <c r="AB4497" s="197" t="str">
        <f t="shared" si="1384"/>
        <v/>
      </c>
      <c r="AC4497" s="198" t="str">
        <f t="shared" si="1385"/>
        <v/>
      </c>
      <c r="AD4497" s="162"/>
      <c r="AE4497" s="199" t="str">
        <f t="shared" si="1386"/>
        <v/>
      </c>
      <c r="AF4497" s="199" t="str">
        <f>IF(AND(COUNTIFS($J$18:J4497,J4497)=1,AE4497=1),1,"")</f>
        <v/>
      </c>
      <c r="AG4497" s="199" t="str">
        <f>IF(C4497="","",IF(AND(COUNTIFS($J$18:J4497,J4497)=1,C4497&lt;&gt;""),1,""))</f>
        <v/>
      </c>
      <c r="AH4497" s="199" t="str">
        <f>IF(G4497="","",IF(AND(COUNTIFS($J$18:J4497,J4497)=1,G4497&lt;&gt;""),1,""))</f>
        <v/>
      </c>
      <c r="AI4497" s="200">
        <f t="shared" si="1387"/>
        <v>0</v>
      </c>
      <c r="AJ4497" s="200">
        <f t="shared" si="1388"/>
        <v>0</v>
      </c>
      <c r="AK4497" s="201" t="str">
        <f t="shared" si="1389"/>
        <v/>
      </c>
      <c r="AL4497" s="24"/>
      <c r="AM4497" s="24"/>
      <c r="AN4497" s="24"/>
      <c r="AO4497" s="24"/>
      <c r="AP4497" s="165" t="str">
        <f t="shared" si="1390"/>
        <v/>
      </c>
      <c r="AQ4497" s="203" t="str">
        <f t="shared" si="1391"/>
        <v/>
      </c>
      <c r="AR4497" s="206">
        <f t="shared" si="1392"/>
        <v>0</v>
      </c>
      <c r="AS4497" s="22" t="str">
        <f t="shared" si="1393"/>
        <v/>
      </c>
      <c r="AT4497" s="24" t="str">
        <f t="shared" si="1394"/>
        <v/>
      </c>
      <c r="AU4497" s="22" t="s">
        <v>3240</v>
      </c>
    </row>
    <row r="4498" spans="1:47">
      <c r="A4498" s="246" t="str">
        <f t="shared" si="1382"/>
        <v/>
      </c>
      <c r="B4498" s="23"/>
      <c r="C4498" s="23"/>
      <c r="D4498" s="202" t="str">
        <f t="shared" si="1383"/>
        <v/>
      </c>
      <c r="E4498" s="33" t="str">
        <f t="shared" si="1377"/>
        <v/>
      </c>
      <c r="F4498" s="23"/>
      <c r="G4498" s="23"/>
      <c r="H4498" s="29"/>
      <c r="I4498" s="204" t="str">
        <f t="shared" si="1380"/>
        <v/>
      </c>
      <c r="J4498" s="188"/>
      <c r="K4498" s="29"/>
      <c r="L4498" s="24"/>
      <c r="M4498" s="22"/>
      <c r="N4498" s="22"/>
      <c r="O4498" s="22"/>
      <c r="P4498" s="202" t="str">
        <f t="shared" si="1381"/>
        <v/>
      </c>
      <c r="Q4498" s="22"/>
      <c r="R4498" s="22"/>
      <c r="S4498" s="22"/>
      <c r="T4498" s="22"/>
      <c r="U4498" s="22"/>
      <c r="V4498" s="22"/>
      <c r="W4498" s="22"/>
      <c r="X4498" s="104"/>
      <c r="Y4498" s="195" t="str">
        <f t="shared" si="1378"/>
        <v/>
      </c>
      <c r="Z4498" s="196" t="str">
        <f t="shared" si="1379"/>
        <v/>
      </c>
      <c r="AA4498" s="22"/>
      <c r="AB4498" s="197" t="str">
        <f t="shared" si="1384"/>
        <v/>
      </c>
      <c r="AC4498" s="198" t="str">
        <f t="shared" si="1385"/>
        <v/>
      </c>
      <c r="AD4498" s="162"/>
      <c r="AE4498" s="199" t="str">
        <f t="shared" si="1386"/>
        <v/>
      </c>
      <c r="AF4498" s="199" t="str">
        <f>IF(AND(COUNTIFS($J$18:J4498,J4498)=1,AE4498=1),1,"")</f>
        <v/>
      </c>
      <c r="AG4498" s="199" t="str">
        <f>IF(C4498="","",IF(AND(COUNTIFS($J$18:J4498,J4498)=1,C4498&lt;&gt;""),1,""))</f>
        <v/>
      </c>
      <c r="AH4498" s="199" t="str">
        <f>IF(G4498="","",IF(AND(COUNTIFS($J$18:J4498,J4498)=1,G4498&lt;&gt;""),1,""))</f>
        <v/>
      </c>
      <c r="AI4498" s="200">
        <f t="shared" si="1387"/>
        <v>0</v>
      </c>
      <c r="AJ4498" s="200">
        <f t="shared" si="1388"/>
        <v>0</v>
      </c>
      <c r="AK4498" s="201" t="str">
        <f t="shared" si="1389"/>
        <v/>
      </c>
      <c r="AL4498" s="24"/>
      <c r="AM4498" s="24"/>
      <c r="AN4498" s="24"/>
      <c r="AO4498" s="24"/>
      <c r="AP4498" s="165" t="str">
        <f t="shared" si="1390"/>
        <v/>
      </c>
      <c r="AQ4498" s="203" t="str">
        <f t="shared" si="1391"/>
        <v/>
      </c>
      <c r="AR4498" s="206">
        <f t="shared" si="1392"/>
        <v>0</v>
      </c>
      <c r="AS4498" s="22" t="str">
        <f t="shared" si="1393"/>
        <v/>
      </c>
      <c r="AT4498" s="24" t="str">
        <f t="shared" si="1394"/>
        <v/>
      </c>
      <c r="AU4498" s="22" t="s">
        <v>3240</v>
      </c>
    </row>
    <row r="4499" spans="1:47">
      <c r="A4499" s="246" t="str">
        <f t="shared" si="1382"/>
        <v/>
      </c>
      <c r="B4499" s="23"/>
      <c r="C4499" s="23"/>
      <c r="D4499" s="202" t="str">
        <f t="shared" si="1383"/>
        <v/>
      </c>
      <c r="E4499" s="33" t="str">
        <f t="shared" si="1377"/>
        <v/>
      </c>
      <c r="F4499" s="23"/>
      <c r="G4499" s="23"/>
      <c r="H4499" s="29"/>
      <c r="I4499" s="204" t="str">
        <f t="shared" si="1380"/>
        <v/>
      </c>
      <c r="J4499" s="188"/>
      <c r="K4499" s="29"/>
      <c r="L4499" s="24"/>
      <c r="M4499" s="22"/>
      <c r="N4499" s="22"/>
      <c r="O4499" s="22"/>
      <c r="P4499" s="202" t="str">
        <f t="shared" si="1381"/>
        <v/>
      </c>
      <c r="Q4499" s="22"/>
      <c r="R4499" s="22"/>
      <c r="S4499" s="22"/>
      <c r="T4499" s="22"/>
      <c r="U4499" s="22"/>
      <c r="V4499" s="22"/>
      <c r="W4499" s="22"/>
      <c r="X4499" s="104"/>
      <c r="Y4499" s="195" t="str">
        <f t="shared" si="1378"/>
        <v/>
      </c>
      <c r="Z4499" s="196" t="str">
        <f t="shared" si="1379"/>
        <v/>
      </c>
      <c r="AA4499" s="22"/>
      <c r="AB4499" s="197" t="str">
        <f t="shared" si="1384"/>
        <v/>
      </c>
      <c r="AC4499" s="198" t="str">
        <f t="shared" si="1385"/>
        <v/>
      </c>
      <c r="AD4499" s="162"/>
      <c r="AE4499" s="199" t="str">
        <f t="shared" si="1386"/>
        <v/>
      </c>
      <c r="AF4499" s="199" t="str">
        <f>IF(AND(COUNTIFS($J$18:J4499,J4499)=1,AE4499=1),1,"")</f>
        <v/>
      </c>
      <c r="AG4499" s="199" t="str">
        <f>IF(C4499="","",IF(AND(COUNTIFS($J$18:J4499,J4499)=1,C4499&lt;&gt;""),1,""))</f>
        <v/>
      </c>
      <c r="AH4499" s="199" t="str">
        <f>IF(G4499="","",IF(AND(COUNTIFS($J$18:J4499,J4499)=1,G4499&lt;&gt;""),1,""))</f>
        <v/>
      </c>
      <c r="AI4499" s="200">
        <f t="shared" si="1387"/>
        <v>0</v>
      </c>
      <c r="AJ4499" s="200">
        <f t="shared" si="1388"/>
        <v>0</v>
      </c>
      <c r="AK4499" s="201" t="str">
        <f t="shared" si="1389"/>
        <v/>
      </c>
      <c r="AL4499" s="24"/>
      <c r="AM4499" s="24"/>
      <c r="AN4499" s="24"/>
      <c r="AO4499" s="24"/>
      <c r="AP4499" s="165" t="str">
        <f t="shared" si="1390"/>
        <v/>
      </c>
      <c r="AQ4499" s="203" t="str">
        <f t="shared" si="1391"/>
        <v/>
      </c>
      <c r="AR4499" s="206">
        <f t="shared" si="1392"/>
        <v>0</v>
      </c>
      <c r="AS4499" s="22" t="str">
        <f t="shared" si="1393"/>
        <v/>
      </c>
      <c r="AT4499" s="24" t="str">
        <f t="shared" si="1394"/>
        <v/>
      </c>
      <c r="AU4499" s="22" t="s">
        <v>3240</v>
      </c>
    </row>
    <row r="4500" spans="1:47">
      <c r="A4500" s="246" t="str">
        <f t="shared" si="1382"/>
        <v/>
      </c>
      <c r="B4500" s="23"/>
      <c r="C4500" s="23"/>
      <c r="D4500" s="202" t="str">
        <f t="shared" si="1383"/>
        <v/>
      </c>
      <c r="E4500" s="33" t="str">
        <f t="shared" si="1377"/>
        <v/>
      </c>
      <c r="F4500" s="23"/>
      <c r="G4500" s="23"/>
      <c r="H4500" s="29"/>
      <c r="I4500" s="204" t="str">
        <f t="shared" si="1380"/>
        <v/>
      </c>
      <c r="J4500" s="188"/>
      <c r="K4500" s="29"/>
      <c r="L4500" s="24"/>
      <c r="M4500" s="22"/>
      <c r="N4500" s="22"/>
      <c r="O4500" s="22"/>
      <c r="P4500" s="202" t="str">
        <f t="shared" si="1381"/>
        <v/>
      </c>
      <c r="Q4500" s="22"/>
      <c r="R4500" s="22"/>
      <c r="S4500" s="22"/>
      <c r="T4500" s="22"/>
      <c r="U4500" s="22"/>
      <c r="V4500" s="22"/>
      <c r="W4500" s="22"/>
      <c r="X4500" s="104"/>
      <c r="Y4500" s="195" t="str">
        <f t="shared" si="1378"/>
        <v/>
      </c>
      <c r="Z4500" s="196" t="str">
        <f t="shared" si="1379"/>
        <v/>
      </c>
      <c r="AA4500" s="22"/>
      <c r="AB4500" s="197" t="str">
        <f t="shared" si="1384"/>
        <v/>
      </c>
      <c r="AC4500" s="198" t="str">
        <f t="shared" si="1385"/>
        <v/>
      </c>
      <c r="AD4500" s="162"/>
      <c r="AE4500" s="199" t="str">
        <f t="shared" si="1386"/>
        <v/>
      </c>
      <c r="AF4500" s="199" t="str">
        <f>IF(AND(COUNTIFS($J$18:J4500,J4500)=1,AE4500=1),1,"")</f>
        <v/>
      </c>
      <c r="AG4500" s="199" t="str">
        <f>IF(C4500="","",IF(AND(COUNTIFS($J$18:J4500,J4500)=1,C4500&lt;&gt;""),1,""))</f>
        <v/>
      </c>
      <c r="AH4500" s="199" t="str">
        <f>IF(G4500="","",IF(AND(COUNTIFS($J$18:J4500,J4500)=1,G4500&lt;&gt;""),1,""))</f>
        <v/>
      </c>
      <c r="AI4500" s="200">
        <f t="shared" si="1387"/>
        <v>0</v>
      </c>
      <c r="AJ4500" s="200">
        <f t="shared" si="1388"/>
        <v>0</v>
      </c>
      <c r="AK4500" s="201" t="str">
        <f t="shared" si="1389"/>
        <v/>
      </c>
      <c r="AL4500" s="24"/>
      <c r="AM4500" s="24"/>
      <c r="AN4500" s="24"/>
      <c r="AO4500" s="24"/>
      <c r="AP4500" s="165" t="str">
        <f t="shared" si="1390"/>
        <v/>
      </c>
      <c r="AQ4500" s="203" t="str">
        <f t="shared" si="1391"/>
        <v/>
      </c>
      <c r="AR4500" s="206">
        <f t="shared" si="1392"/>
        <v>0</v>
      </c>
      <c r="AS4500" s="22" t="str">
        <f t="shared" si="1393"/>
        <v/>
      </c>
      <c r="AT4500" s="24" t="str">
        <f t="shared" si="1394"/>
        <v/>
      </c>
      <c r="AU4500" s="22" t="s">
        <v>3240</v>
      </c>
    </row>
    <row r="4501" spans="1:47">
      <c r="A4501" s="246" t="str">
        <f t="shared" si="1382"/>
        <v/>
      </c>
      <c r="B4501" s="23"/>
      <c r="C4501" s="23"/>
      <c r="D4501" s="202" t="str">
        <f t="shared" si="1383"/>
        <v/>
      </c>
      <c r="E4501" s="33" t="str">
        <f t="shared" si="1377"/>
        <v/>
      </c>
      <c r="F4501" s="23"/>
      <c r="G4501" s="23"/>
      <c r="H4501" s="29"/>
      <c r="I4501" s="204" t="str">
        <f t="shared" si="1380"/>
        <v/>
      </c>
      <c r="J4501" s="188"/>
      <c r="K4501" s="29"/>
      <c r="L4501" s="24"/>
      <c r="M4501" s="22"/>
      <c r="N4501" s="22"/>
      <c r="O4501" s="22"/>
      <c r="P4501" s="202" t="str">
        <f t="shared" si="1381"/>
        <v/>
      </c>
      <c r="Q4501" s="22"/>
      <c r="R4501" s="22"/>
      <c r="S4501" s="22"/>
      <c r="T4501" s="22"/>
      <c r="U4501" s="22"/>
      <c r="V4501" s="22"/>
      <c r="W4501" s="22"/>
      <c r="X4501" s="104"/>
      <c r="Y4501" s="195" t="str">
        <f t="shared" si="1378"/>
        <v/>
      </c>
      <c r="Z4501" s="196" t="str">
        <f t="shared" si="1379"/>
        <v/>
      </c>
      <c r="AA4501" s="22"/>
      <c r="AB4501" s="197" t="str">
        <f t="shared" si="1384"/>
        <v/>
      </c>
      <c r="AC4501" s="198" t="str">
        <f t="shared" si="1385"/>
        <v/>
      </c>
      <c r="AD4501" s="162"/>
      <c r="AE4501" s="199" t="str">
        <f t="shared" si="1386"/>
        <v/>
      </c>
      <c r="AF4501" s="199" t="str">
        <f>IF(AND(COUNTIFS($J$18:J4501,J4501)=1,AE4501=1),1,"")</f>
        <v/>
      </c>
      <c r="AG4501" s="199" t="str">
        <f>IF(C4501="","",IF(AND(COUNTIFS($J$18:J4501,J4501)=1,C4501&lt;&gt;""),1,""))</f>
        <v/>
      </c>
      <c r="AH4501" s="199" t="str">
        <f>IF(G4501="","",IF(AND(COUNTIFS($J$18:J4501,J4501)=1,G4501&lt;&gt;""),1,""))</f>
        <v/>
      </c>
      <c r="AI4501" s="200">
        <f t="shared" si="1387"/>
        <v>0</v>
      </c>
      <c r="AJ4501" s="200">
        <f t="shared" si="1388"/>
        <v>0</v>
      </c>
      <c r="AK4501" s="201" t="str">
        <f t="shared" si="1389"/>
        <v/>
      </c>
      <c r="AL4501" s="24"/>
      <c r="AM4501" s="24"/>
      <c r="AN4501" s="24"/>
      <c r="AO4501" s="24"/>
      <c r="AP4501" s="165" t="str">
        <f t="shared" si="1390"/>
        <v/>
      </c>
      <c r="AQ4501" s="203" t="str">
        <f t="shared" si="1391"/>
        <v/>
      </c>
      <c r="AR4501" s="206">
        <f t="shared" si="1392"/>
        <v>0</v>
      </c>
      <c r="AS4501" s="22" t="str">
        <f t="shared" si="1393"/>
        <v/>
      </c>
      <c r="AT4501" s="24" t="str">
        <f t="shared" si="1394"/>
        <v/>
      </c>
      <c r="AU4501" s="22" t="s">
        <v>3240</v>
      </c>
    </row>
    <row r="4502" spans="1:47">
      <c r="A4502" s="246" t="str">
        <f t="shared" si="1382"/>
        <v/>
      </c>
      <c r="B4502" s="23"/>
      <c r="C4502" s="23"/>
      <c r="D4502" s="202" t="str">
        <f t="shared" si="1383"/>
        <v/>
      </c>
      <c r="E4502" s="33" t="str">
        <f t="shared" si="1377"/>
        <v/>
      </c>
      <c r="F4502" s="23"/>
      <c r="G4502" s="23"/>
      <c r="H4502" s="29"/>
      <c r="I4502" s="204" t="str">
        <f t="shared" si="1380"/>
        <v/>
      </c>
      <c r="J4502" s="188"/>
      <c r="K4502" s="29"/>
      <c r="L4502" s="24"/>
      <c r="M4502" s="22"/>
      <c r="N4502" s="22"/>
      <c r="O4502" s="22"/>
      <c r="P4502" s="202" t="str">
        <f t="shared" si="1381"/>
        <v/>
      </c>
      <c r="Q4502" s="22"/>
      <c r="R4502" s="22"/>
      <c r="S4502" s="22"/>
      <c r="T4502" s="22"/>
      <c r="U4502" s="22"/>
      <c r="V4502" s="22"/>
      <c r="W4502" s="22"/>
      <c r="X4502" s="104"/>
      <c r="Y4502" s="195" t="str">
        <f t="shared" si="1378"/>
        <v/>
      </c>
      <c r="Z4502" s="196" t="str">
        <f t="shared" si="1379"/>
        <v/>
      </c>
      <c r="AA4502" s="22"/>
      <c r="AB4502" s="197" t="str">
        <f t="shared" si="1384"/>
        <v/>
      </c>
      <c r="AC4502" s="198" t="str">
        <f t="shared" si="1385"/>
        <v/>
      </c>
      <c r="AD4502" s="162"/>
      <c r="AE4502" s="199" t="str">
        <f t="shared" si="1386"/>
        <v/>
      </c>
      <c r="AF4502" s="199" t="str">
        <f>IF(AND(COUNTIFS($J$18:J4502,J4502)=1,AE4502=1),1,"")</f>
        <v/>
      </c>
      <c r="AG4502" s="199" t="str">
        <f>IF(C4502="","",IF(AND(COUNTIFS($J$18:J4502,J4502)=1,C4502&lt;&gt;""),1,""))</f>
        <v/>
      </c>
      <c r="AH4502" s="199" t="str">
        <f>IF(G4502="","",IF(AND(COUNTIFS($J$18:J4502,J4502)=1,G4502&lt;&gt;""),1,""))</f>
        <v/>
      </c>
      <c r="AI4502" s="200">
        <f t="shared" si="1387"/>
        <v>0</v>
      </c>
      <c r="AJ4502" s="200">
        <f t="shared" si="1388"/>
        <v>0</v>
      </c>
      <c r="AK4502" s="201" t="str">
        <f t="shared" si="1389"/>
        <v/>
      </c>
      <c r="AL4502" s="24"/>
      <c r="AM4502" s="24"/>
      <c r="AN4502" s="24"/>
      <c r="AO4502" s="24"/>
      <c r="AP4502" s="165" t="str">
        <f t="shared" si="1390"/>
        <v/>
      </c>
      <c r="AQ4502" s="203" t="str">
        <f t="shared" si="1391"/>
        <v/>
      </c>
      <c r="AR4502" s="206">
        <f t="shared" si="1392"/>
        <v>0</v>
      </c>
      <c r="AS4502" s="22" t="str">
        <f t="shared" si="1393"/>
        <v/>
      </c>
      <c r="AT4502" s="24" t="str">
        <f t="shared" si="1394"/>
        <v/>
      </c>
      <c r="AU4502" s="22" t="s">
        <v>3240</v>
      </c>
    </row>
    <row r="4503" spans="1:47">
      <c r="A4503" s="246" t="str">
        <f t="shared" si="1382"/>
        <v/>
      </c>
      <c r="B4503" s="23"/>
      <c r="C4503" s="23"/>
      <c r="D4503" s="202" t="str">
        <f t="shared" si="1383"/>
        <v/>
      </c>
      <c r="E4503" s="33" t="str">
        <f t="shared" si="1377"/>
        <v/>
      </c>
      <c r="F4503" s="23"/>
      <c r="G4503" s="23"/>
      <c r="H4503" s="29"/>
      <c r="I4503" s="204" t="str">
        <f t="shared" si="1380"/>
        <v/>
      </c>
      <c r="J4503" s="188"/>
      <c r="K4503" s="29"/>
      <c r="L4503" s="24"/>
      <c r="M4503" s="22"/>
      <c r="N4503" s="22"/>
      <c r="O4503" s="22"/>
      <c r="P4503" s="202" t="str">
        <f t="shared" si="1381"/>
        <v/>
      </c>
      <c r="Q4503" s="22"/>
      <c r="R4503" s="22"/>
      <c r="S4503" s="22"/>
      <c r="T4503" s="22"/>
      <c r="U4503" s="22"/>
      <c r="V4503" s="22"/>
      <c r="W4503" s="22"/>
      <c r="X4503" s="104"/>
      <c r="Y4503" s="195" t="str">
        <f t="shared" si="1378"/>
        <v/>
      </c>
      <c r="Z4503" s="196" t="str">
        <f t="shared" si="1379"/>
        <v/>
      </c>
      <c r="AA4503" s="22"/>
      <c r="AB4503" s="197" t="str">
        <f t="shared" si="1384"/>
        <v/>
      </c>
      <c r="AC4503" s="198" t="str">
        <f t="shared" si="1385"/>
        <v/>
      </c>
      <c r="AD4503" s="162"/>
      <c r="AE4503" s="199" t="str">
        <f t="shared" si="1386"/>
        <v/>
      </c>
      <c r="AF4503" s="199" t="str">
        <f>IF(AND(COUNTIFS($J$18:J4503,J4503)=1,AE4503=1),1,"")</f>
        <v/>
      </c>
      <c r="AG4503" s="199" t="str">
        <f>IF(C4503="","",IF(AND(COUNTIFS($J$18:J4503,J4503)=1,C4503&lt;&gt;""),1,""))</f>
        <v/>
      </c>
      <c r="AH4503" s="199" t="str">
        <f>IF(G4503="","",IF(AND(COUNTIFS($J$18:J4503,J4503)=1,G4503&lt;&gt;""),1,""))</f>
        <v/>
      </c>
      <c r="AI4503" s="200">
        <f t="shared" si="1387"/>
        <v>0</v>
      </c>
      <c r="AJ4503" s="200">
        <f t="shared" si="1388"/>
        <v>0</v>
      </c>
      <c r="AK4503" s="201" t="str">
        <f t="shared" si="1389"/>
        <v/>
      </c>
      <c r="AL4503" s="24"/>
      <c r="AM4503" s="24"/>
      <c r="AN4503" s="24"/>
      <c r="AO4503" s="24"/>
      <c r="AP4503" s="165" t="str">
        <f t="shared" si="1390"/>
        <v/>
      </c>
      <c r="AQ4503" s="203" t="str">
        <f t="shared" si="1391"/>
        <v/>
      </c>
      <c r="AR4503" s="206">
        <f t="shared" si="1392"/>
        <v>0</v>
      </c>
      <c r="AS4503" s="22" t="str">
        <f t="shared" si="1393"/>
        <v/>
      </c>
      <c r="AT4503" s="24" t="str">
        <f t="shared" si="1394"/>
        <v/>
      </c>
      <c r="AU4503" s="22" t="s">
        <v>3240</v>
      </c>
    </row>
    <row r="4504" spans="1:47">
      <c r="A4504" s="246" t="str">
        <f t="shared" si="1382"/>
        <v/>
      </c>
      <c r="B4504" s="23"/>
      <c r="C4504" s="23"/>
      <c r="D4504" s="202" t="str">
        <f t="shared" si="1383"/>
        <v/>
      </c>
      <c r="E4504" s="33" t="str">
        <f t="shared" ref="E4504:E4567" si="1395">IF(G4504="Cancel","Cancel",IF(G4504="TBA","TBA",IFERROR(IF(I4504="Q4","FY "&amp;RIGHT(F4504,2)-1&amp;"/"&amp;RIGHT(F4504,2),"FY "&amp;RIGHT(F4504,2)&amp;"/"&amp;RIGHT(F4504,2)+1),"")))</f>
        <v/>
      </c>
      <c r="F4504" s="23"/>
      <c r="G4504" s="23"/>
      <c r="H4504" s="29"/>
      <c r="I4504" s="204" t="str">
        <f t="shared" si="1380"/>
        <v/>
      </c>
      <c r="J4504" s="188"/>
      <c r="K4504" s="29"/>
      <c r="L4504" s="24"/>
      <c r="M4504" s="22"/>
      <c r="N4504" s="22"/>
      <c r="O4504" s="22"/>
      <c r="P4504" s="202" t="str">
        <f t="shared" si="1381"/>
        <v/>
      </c>
      <c r="Q4504" s="22"/>
      <c r="R4504" s="22"/>
      <c r="S4504" s="22"/>
      <c r="T4504" s="22"/>
      <c r="U4504" s="22"/>
      <c r="V4504" s="22"/>
      <c r="W4504" s="22"/>
      <c r="X4504" s="104"/>
      <c r="Y4504" s="195" t="str">
        <f t="shared" si="1378"/>
        <v/>
      </c>
      <c r="Z4504" s="196" t="str">
        <f t="shared" si="1379"/>
        <v/>
      </c>
      <c r="AA4504" s="22"/>
      <c r="AB4504" s="197" t="str">
        <f t="shared" si="1384"/>
        <v/>
      </c>
      <c r="AC4504" s="198" t="str">
        <f t="shared" si="1385"/>
        <v/>
      </c>
      <c r="AD4504" s="162"/>
      <c r="AE4504" s="199" t="str">
        <f t="shared" si="1386"/>
        <v/>
      </c>
      <c r="AF4504" s="199" t="str">
        <f>IF(AND(COUNTIFS($J$18:J4504,J4504)=1,AE4504=1),1,"")</f>
        <v/>
      </c>
      <c r="AG4504" s="199" t="str">
        <f>IF(C4504="","",IF(AND(COUNTIFS($J$18:J4504,J4504)=1,C4504&lt;&gt;""),1,""))</f>
        <v/>
      </c>
      <c r="AH4504" s="199" t="str">
        <f>IF(G4504="","",IF(AND(COUNTIFS($J$18:J4504,J4504)=1,G4504&lt;&gt;""),1,""))</f>
        <v/>
      </c>
      <c r="AI4504" s="200">
        <f t="shared" si="1387"/>
        <v>0</v>
      </c>
      <c r="AJ4504" s="200">
        <f t="shared" si="1388"/>
        <v>0</v>
      </c>
      <c r="AK4504" s="201" t="str">
        <f t="shared" si="1389"/>
        <v/>
      </c>
      <c r="AL4504" s="24"/>
      <c r="AM4504" s="24"/>
      <c r="AN4504" s="24"/>
      <c r="AO4504" s="24"/>
      <c r="AP4504" s="165" t="str">
        <f t="shared" si="1390"/>
        <v/>
      </c>
      <c r="AQ4504" s="203" t="str">
        <f t="shared" si="1391"/>
        <v/>
      </c>
      <c r="AR4504" s="206">
        <f t="shared" si="1392"/>
        <v>0</v>
      </c>
      <c r="AS4504" s="22" t="str">
        <f t="shared" si="1393"/>
        <v/>
      </c>
      <c r="AT4504" s="24" t="str">
        <f t="shared" si="1394"/>
        <v/>
      </c>
      <c r="AU4504" s="22" t="s">
        <v>3240</v>
      </c>
    </row>
    <row r="4505" spans="1:47">
      <c r="A4505" s="246" t="str">
        <f t="shared" si="1382"/>
        <v/>
      </c>
      <c r="B4505" s="23"/>
      <c r="C4505" s="23"/>
      <c r="D4505" s="202" t="str">
        <f t="shared" si="1383"/>
        <v/>
      </c>
      <c r="E4505" s="33" t="str">
        <f t="shared" si="1395"/>
        <v/>
      </c>
      <c r="F4505" s="23"/>
      <c r="G4505" s="23"/>
      <c r="H4505" s="29"/>
      <c r="I4505" s="204" t="str">
        <f t="shared" si="1380"/>
        <v/>
      </c>
      <c r="J4505" s="188"/>
      <c r="K4505" s="29"/>
      <c r="L4505" s="24"/>
      <c r="M4505" s="22"/>
      <c r="N4505" s="22"/>
      <c r="O4505" s="22"/>
      <c r="P4505" s="202" t="str">
        <f t="shared" si="1381"/>
        <v/>
      </c>
      <c r="Q4505" s="22"/>
      <c r="R4505" s="22"/>
      <c r="S4505" s="22"/>
      <c r="T4505" s="22"/>
      <c r="U4505" s="22"/>
      <c r="V4505" s="22"/>
      <c r="W4505" s="22"/>
      <c r="X4505" s="104"/>
      <c r="Y4505" s="195" t="str">
        <f t="shared" si="1378"/>
        <v/>
      </c>
      <c r="Z4505" s="196" t="str">
        <f t="shared" si="1379"/>
        <v/>
      </c>
      <c r="AA4505" s="22"/>
      <c r="AB4505" s="197" t="str">
        <f t="shared" si="1384"/>
        <v/>
      </c>
      <c r="AC4505" s="198" t="str">
        <f t="shared" si="1385"/>
        <v/>
      </c>
      <c r="AD4505" s="162"/>
      <c r="AE4505" s="199" t="str">
        <f t="shared" si="1386"/>
        <v/>
      </c>
      <c r="AF4505" s="199" t="str">
        <f>IF(AND(COUNTIFS($J$18:J4505,J4505)=1,AE4505=1),1,"")</f>
        <v/>
      </c>
      <c r="AG4505" s="199" t="str">
        <f>IF(C4505="","",IF(AND(COUNTIFS($J$18:J4505,J4505)=1,C4505&lt;&gt;""),1,""))</f>
        <v/>
      </c>
      <c r="AH4505" s="199" t="str">
        <f>IF(G4505="","",IF(AND(COUNTIFS($J$18:J4505,J4505)=1,G4505&lt;&gt;""),1,""))</f>
        <v/>
      </c>
      <c r="AI4505" s="200">
        <f t="shared" si="1387"/>
        <v>0</v>
      </c>
      <c r="AJ4505" s="200">
        <f t="shared" si="1388"/>
        <v>0</v>
      </c>
      <c r="AK4505" s="201" t="str">
        <f t="shared" si="1389"/>
        <v/>
      </c>
      <c r="AL4505" s="24"/>
      <c r="AM4505" s="24"/>
      <c r="AN4505" s="24"/>
      <c r="AO4505" s="24"/>
      <c r="AP4505" s="165" t="str">
        <f t="shared" si="1390"/>
        <v/>
      </c>
      <c r="AQ4505" s="203" t="str">
        <f t="shared" si="1391"/>
        <v/>
      </c>
      <c r="AR4505" s="206">
        <f t="shared" si="1392"/>
        <v>0</v>
      </c>
      <c r="AS4505" s="22" t="str">
        <f t="shared" si="1393"/>
        <v/>
      </c>
      <c r="AT4505" s="24" t="str">
        <f t="shared" si="1394"/>
        <v/>
      </c>
      <c r="AU4505" s="22" t="s">
        <v>3240</v>
      </c>
    </row>
    <row r="4506" spans="1:47">
      <c r="A4506" s="246" t="str">
        <f t="shared" si="1382"/>
        <v/>
      </c>
      <c r="B4506" s="23"/>
      <c r="C4506" s="23"/>
      <c r="D4506" s="202" t="str">
        <f t="shared" si="1383"/>
        <v/>
      </c>
      <c r="E4506" s="33" t="str">
        <f t="shared" si="1395"/>
        <v/>
      </c>
      <c r="F4506" s="23"/>
      <c r="G4506" s="23"/>
      <c r="H4506" s="29"/>
      <c r="I4506" s="204" t="str">
        <f t="shared" si="1380"/>
        <v/>
      </c>
      <c r="J4506" s="188"/>
      <c r="K4506" s="29"/>
      <c r="L4506" s="24"/>
      <c r="M4506" s="22"/>
      <c r="N4506" s="22"/>
      <c r="O4506" s="22"/>
      <c r="P4506" s="202" t="str">
        <f t="shared" si="1381"/>
        <v/>
      </c>
      <c r="Q4506" s="22"/>
      <c r="R4506" s="22"/>
      <c r="S4506" s="22"/>
      <c r="T4506" s="22"/>
      <c r="U4506" s="22"/>
      <c r="V4506" s="22"/>
      <c r="W4506" s="22"/>
      <c r="X4506" s="104"/>
      <c r="Y4506" s="195" t="str">
        <f t="shared" si="1378"/>
        <v/>
      </c>
      <c r="Z4506" s="196" t="str">
        <f t="shared" si="1379"/>
        <v/>
      </c>
      <c r="AA4506" s="22"/>
      <c r="AB4506" s="197" t="str">
        <f t="shared" si="1384"/>
        <v/>
      </c>
      <c r="AC4506" s="198" t="str">
        <f t="shared" si="1385"/>
        <v/>
      </c>
      <c r="AD4506" s="162"/>
      <c r="AE4506" s="199" t="str">
        <f t="shared" si="1386"/>
        <v/>
      </c>
      <c r="AF4506" s="199" t="str">
        <f>IF(AND(COUNTIFS($J$18:J4506,J4506)=1,AE4506=1),1,"")</f>
        <v/>
      </c>
      <c r="AG4506" s="199" t="str">
        <f>IF(C4506="","",IF(AND(COUNTIFS($J$18:J4506,J4506)=1,C4506&lt;&gt;""),1,""))</f>
        <v/>
      </c>
      <c r="AH4506" s="199" t="str">
        <f>IF(G4506="","",IF(AND(COUNTIFS($J$18:J4506,J4506)=1,G4506&lt;&gt;""),1,""))</f>
        <v/>
      </c>
      <c r="AI4506" s="200">
        <f t="shared" si="1387"/>
        <v>0</v>
      </c>
      <c r="AJ4506" s="200">
        <f t="shared" si="1388"/>
        <v>0</v>
      </c>
      <c r="AK4506" s="201" t="str">
        <f t="shared" si="1389"/>
        <v/>
      </c>
      <c r="AL4506" s="24"/>
      <c r="AM4506" s="24"/>
      <c r="AN4506" s="24"/>
      <c r="AO4506" s="24"/>
      <c r="AP4506" s="165" t="str">
        <f t="shared" si="1390"/>
        <v/>
      </c>
      <c r="AQ4506" s="203" t="str">
        <f t="shared" si="1391"/>
        <v/>
      </c>
      <c r="AR4506" s="206">
        <f t="shared" si="1392"/>
        <v>0</v>
      </c>
      <c r="AS4506" s="22" t="str">
        <f t="shared" si="1393"/>
        <v/>
      </c>
      <c r="AT4506" s="24" t="str">
        <f t="shared" si="1394"/>
        <v/>
      </c>
      <c r="AU4506" s="22" t="s">
        <v>3240</v>
      </c>
    </row>
    <row r="4507" spans="1:47">
      <c r="A4507" s="246" t="str">
        <f t="shared" si="1382"/>
        <v/>
      </c>
      <c r="B4507" s="23"/>
      <c r="C4507" s="23"/>
      <c r="D4507" s="202" t="str">
        <f t="shared" si="1383"/>
        <v/>
      </c>
      <c r="E4507" s="33" t="str">
        <f t="shared" si="1395"/>
        <v/>
      </c>
      <c r="F4507" s="23"/>
      <c r="G4507" s="23"/>
      <c r="H4507" s="29"/>
      <c r="I4507" s="204" t="str">
        <f t="shared" si="1380"/>
        <v/>
      </c>
      <c r="J4507" s="188"/>
      <c r="K4507" s="29"/>
      <c r="L4507" s="24"/>
      <c r="M4507" s="22"/>
      <c r="N4507" s="22"/>
      <c r="O4507" s="22"/>
      <c r="P4507" s="202" t="str">
        <f t="shared" si="1381"/>
        <v/>
      </c>
      <c r="Q4507" s="22"/>
      <c r="R4507" s="22"/>
      <c r="S4507" s="22"/>
      <c r="T4507" s="22"/>
      <c r="U4507" s="22"/>
      <c r="V4507" s="22"/>
      <c r="W4507" s="22"/>
      <c r="X4507" s="104"/>
      <c r="Y4507" s="195" t="str">
        <f t="shared" ref="Y4507:Y4570" si="1396">IF(W4507="","",IF(W4507="RMB","1.13", "1"))</f>
        <v/>
      </c>
      <c r="Z4507" s="196" t="str">
        <f t="shared" ref="Z4507:Z4570" si="1397">IF(X4507="","",X4507*MAX(O4507,N4507))</f>
        <v/>
      </c>
      <c r="AA4507" s="22"/>
      <c r="AB4507" s="197" t="str">
        <f t="shared" si="1384"/>
        <v/>
      </c>
      <c r="AC4507" s="198" t="str">
        <f t="shared" si="1385"/>
        <v/>
      </c>
      <c r="AD4507" s="162"/>
      <c r="AE4507" s="199" t="str">
        <f t="shared" si="1386"/>
        <v/>
      </c>
      <c r="AF4507" s="199" t="str">
        <f>IF(AND(COUNTIFS($J$18:J4507,J4507)=1,AE4507=1),1,"")</f>
        <v/>
      </c>
      <c r="AG4507" s="199" t="str">
        <f>IF(C4507="","",IF(AND(COUNTIFS($J$18:J4507,J4507)=1,C4507&lt;&gt;""),1,""))</f>
        <v/>
      </c>
      <c r="AH4507" s="199" t="str">
        <f>IF(G4507="","",IF(AND(COUNTIFS($J$18:J4507,J4507)=1,G4507&lt;&gt;""),1,""))</f>
        <v/>
      </c>
      <c r="AI4507" s="200">
        <f t="shared" si="1387"/>
        <v>0</v>
      </c>
      <c r="AJ4507" s="200">
        <f t="shared" si="1388"/>
        <v>0</v>
      </c>
      <c r="AK4507" s="201" t="str">
        <f t="shared" si="1389"/>
        <v/>
      </c>
      <c r="AL4507" s="24"/>
      <c r="AM4507" s="24"/>
      <c r="AN4507" s="24"/>
      <c r="AO4507" s="24"/>
      <c r="AP4507" s="165" t="str">
        <f t="shared" si="1390"/>
        <v/>
      </c>
      <c r="AQ4507" s="203" t="str">
        <f t="shared" si="1391"/>
        <v/>
      </c>
      <c r="AR4507" s="206">
        <f t="shared" si="1392"/>
        <v>0</v>
      </c>
      <c r="AS4507" s="22" t="str">
        <f t="shared" si="1393"/>
        <v/>
      </c>
      <c r="AT4507" s="24" t="str">
        <f t="shared" si="1394"/>
        <v/>
      </c>
      <c r="AU4507" s="22" t="s">
        <v>3240</v>
      </c>
    </row>
    <row r="4508" spans="1:47">
      <c r="A4508" s="246" t="str">
        <f t="shared" si="1382"/>
        <v/>
      </c>
      <c r="B4508" s="23"/>
      <c r="C4508" s="23"/>
      <c r="D4508" s="202" t="str">
        <f t="shared" si="1383"/>
        <v/>
      </c>
      <c r="E4508" s="33" t="str">
        <f t="shared" si="1395"/>
        <v/>
      </c>
      <c r="F4508" s="23"/>
      <c r="G4508" s="23"/>
      <c r="H4508" s="29"/>
      <c r="I4508" s="204" t="str">
        <f t="shared" si="1380"/>
        <v/>
      </c>
      <c r="J4508" s="188"/>
      <c r="K4508" s="29"/>
      <c r="L4508" s="24"/>
      <c r="M4508" s="22"/>
      <c r="N4508" s="22"/>
      <c r="O4508" s="22"/>
      <c r="P4508" s="202" t="str">
        <f t="shared" si="1381"/>
        <v/>
      </c>
      <c r="Q4508" s="22"/>
      <c r="R4508" s="22"/>
      <c r="S4508" s="22"/>
      <c r="T4508" s="22"/>
      <c r="U4508" s="22"/>
      <c r="V4508" s="22"/>
      <c r="W4508" s="22"/>
      <c r="X4508" s="104"/>
      <c r="Y4508" s="195" t="str">
        <f t="shared" si="1396"/>
        <v/>
      </c>
      <c r="Z4508" s="196" t="str">
        <f t="shared" si="1397"/>
        <v/>
      </c>
      <c r="AA4508" s="22"/>
      <c r="AB4508" s="197" t="str">
        <f t="shared" si="1384"/>
        <v/>
      </c>
      <c r="AC4508" s="198" t="str">
        <f t="shared" si="1385"/>
        <v/>
      </c>
      <c r="AD4508" s="162"/>
      <c r="AE4508" s="199" t="str">
        <f t="shared" si="1386"/>
        <v/>
      </c>
      <c r="AF4508" s="199" t="str">
        <f>IF(AND(COUNTIFS($J$18:J4508,J4508)=1,AE4508=1),1,"")</f>
        <v/>
      </c>
      <c r="AG4508" s="199" t="str">
        <f>IF(C4508="","",IF(AND(COUNTIFS($J$18:J4508,J4508)=1,C4508&lt;&gt;""),1,""))</f>
        <v/>
      </c>
      <c r="AH4508" s="199" t="str">
        <f>IF(G4508="","",IF(AND(COUNTIFS($J$18:J4508,J4508)=1,G4508&lt;&gt;""),1,""))</f>
        <v/>
      </c>
      <c r="AI4508" s="200">
        <f t="shared" si="1387"/>
        <v>0</v>
      </c>
      <c r="AJ4508" s="200">
        <f t="shared" si="1388"/>
        <v>0</v>
      </c>
      <c r="AK4508" s="201" t="str">
        <f t="shared" si="1389"/>
        <v/>
      </c>
      <c r="AL4508" s="24"/>
      <c r="AM4508" s="24"/>
      <c r="AN4508" s="24"/>
      <c r="AO4508" s="24"/>
      <c r="AP4508" s="165" t="str">
        <f t="shared" si="1390"/>
        <v/>
      </c>
      <c r="AQ4508" s="203" t="str">
        <f t="shared" si="1391"/>
        <v/>
      </c>
      <c r="AR4508" s="206">
        <f t="shared" si="1392"/>
        <v>0</v>
      </c>
      <c r="AS4508" s="22" t="str">
        <f t="shared" si="1393"/>
        <v/>
      </c>
      <c r="AT4508" s="24" t="str">
        <f t="shared" si="1394"/>
        <v/>
      </c>
      <c r="AU4508" s="22" t="s">
        <v>3240</v>
      </c>
    </row>
    <row r="4509" spans="1:47">
      <c r="A4509" s="246" t="str">
        <f t="shared" si="1382"/>
        <v/>
      </c>
      <c r="B4509" s="23"/>
      <c r="C4509" s="23"/>
      <c r="D4509" s="202" t="str">
        <f t="shared" si="1383"/>
        <v/>
      </c>
      <c r="E4509" s="33" t="str">
        <f t="shared" si="1395"/>
        <v/>
      </c>
      <c r="F4509" s="23"/>
      <c r="G4509" s="23"/>
      <c r="H4509" s="29"/>
      <c r="I4509" s="204" t="str">
        <f t="shared" si="1380"/>
        <v/>
      </c>
      <c r="J4509" s="188"/>
      <c r="K4509" s="29"/>
      <c r="L4509" s="24"/>
      <c r="M4509" s="22"/>
      <c r="N4509" s="22"/>
      <c r="O4509" s="22"/>
      <c r="P4509" s="202" t="str">
        <f t="shared" si="1381"/>
        <v/>
      </c>
      <c r="Q4509" s="22"/>
      <c r="R4509" s="22"/>
      <c r="S4509" s="22"/>
      <c r="T4509" s="22"/>
      <c r="U4509" s="22"/>
      <c r="V4509" s="22"/>
      <c r="W4509" s="22"/>
      <c r="X4509" s="104"/>
      <c r="Y4509" s="195" t="str">
        <f t="shared" si="1396"/>
        <v/>
      </c>
      <c r="Z4509" s="196" t="str">
        <f t="shared" si="1397"/>
        <v/>
      </c>
      <c r="AA4509" s="22"/>
      <c r="AB4509" s="197" t="str">
        <f t="shared" si="1384"/>
        <v/>
      </c>
      <c r="AC4509" s="198" t="str">
        <f t="shared" si="1385"/>
        <v/>
      </c>
      <c r="AD4509" s="162"/>
      <c r="AE4509" s="199" t="str">
        <f t="shared" si="1386"/>
        <v/>
      </c>
      <c r="AF4509" s="199" t="str">
        <f>IF(AND(COUNTIFS($J$18:J4509,J4509)=1,AE4509=1),1,"")</f>
        <v/>
      </c>
      <c r="AG4509" s="199" t="str">
        <f>IF(C4509="","",IF(AND(COUNTIFS($J$18:J4509,J4509)=1,C4509&lt;&gt;""),1,""))</f>
        <v/>
      </c>
      <c r="AH4509" s="199" t="str">
        <f>IF(G4509="","",IF(AND(COUNTIFS($J$18:J4509,J4509)=1,G4509&lt;&gt;""),1,""))</f>
        <v/>
      </c>
      <c r="AI4509" s="200">
        <f t="shared" si="1387"/>
        <v>0</v>
      </c>
      <c r="AJ4509" s="200">
        <f t="shared" si="1388"/>
        <v>0</v>
      </c>
      <c r="AK4509" s="201" t="str">
        <f t="shared" si="1389"/>
        <v/>
      </c>
      <c r="AL4509" s="24"/>
      <c r="AM4509" s="24"/>
      <c r="AN4509" s="24"/>
      <c r="AO4509" s="24"/>
      <c r="AP4509" s="165" t="str">
        <f t="shared" si="1390"/>
        <v/>
      </c>
      <c r="AQ4509" s="203" t="str">
        <f t="shared" si="1391"/>
        <v/>
      </c>
      <c r="AR4509" s="206">
        <f t="shared" si="1392"/>
        <v>0</v>
      </c>
      <c r="AS4509" s="22" t="str">
        <f t="shared" si="1393"/>
        <v/>
      </c>
      <c r="AT4509" s="24" t="str">
        <f t="shared" si="1394"/>
        <v/>
      </c>
      <c r="AU4509" s="22" t="s">
        <v>3240</v>
      </c>
    </row>
    <row r="4510" spans="1:47">
      <c r="A4510" s="246" t="str">
        <f t="shared" si="1382"/>
        <v/>
      </c>
      <c r="B4510" s="23"/>
      <c r="C4510" s="23"/>
      <c r="D4510" s="202" t="str">
        <f t="shared" si="1383"/>
        <v/>
      </c>
      <c r="E4510" s="33" t="str">
        <f t="shared" si="1395"/>
        <v/>
      </c>
      <c r="F4510" s="23"/>
      <c r="G4510" s="23"/>
      <c r="H4510" s="29"/>
      <c r="I4510" s="204" t="str">
        <f t="shared" si="1380"/>
        <v/>
      </c>
      <c r="J4510" s="188"/>
      <c r="K4510" s="29"/>
      <c r="L4510" s="24"/>
      <c r="M4510" s="22"/>
      <c r="N4510" s="22"/>
      <c r="O4510" s="22"/>
      <c r="P4510" s="202" t="str">
        <f t="shared" si="1381"/>
        <v/>
      </c>
      <c r="Q4510" s="22"/>
      <c r="R4510" s="22"/>
      <c r="S4510" s="22"/>
      <c r="T4510" s="22"/>
      <c r="U4510" s="22"/>
      <c r="V4510" s="22"/>
      <c r="W4510" s="22"/>
      <c r="X4510" s="104"/>
      <c r="Y4510" s="195" t="str">
        <f t="shared" si="1396"/>
        <v/>
      </c>
      <c r="Z4510" s="196" t="str">
        <f t="shared" si="1397"/>
        <v/>
      </c>
      <c r="AA4510" s="22"/>
      <c r="AB4510" s="197" t="str">
        <f t="shared" si="1384"/>
        <v/>
      </c>
      <c r="AC4510" s="198" t="str">
        <f t="shared" si="1385"/>
        <v/>
      </c>
      <c r="AD4510" s="162"/>
      <c r="AE4510" s="199" t="str">
        <f t="shared" si="1386"/>
        <v/>
      </c>
      <c r="AF4510" s="199" t="str">
        <f>IF(AND(COUNTIFS($J$18:J4510,J4510)=1,AE4510=1),1,"")</f>
        <v/>
      </c>
      <c r="AG4510" s="199" t="str">
        <f>IF(C4510="","",IF(AND(COUNTIFS($J$18:J4510,J4510)=1,C4510&lt;&gt;""),1,""))</f>
        <v/>
      </c>
      <c r="AH4510" s="199" t="str">
        <f>IF(G4510="","",IF(AND(COUNTIFS($J$18:J4510,J4510)=1,G4510&lt;&gt;""),1,""))</f>
        <v/>
      </c>
      <c r="AI4510" s="200">
        <f t="shared" si="1387"/>
        <v>0</v>
      </c>
      <c r="AJ4510" s="200">
        <f t="shared" si="1388"/>
        <v>0</v>
      </c>
      <c r="AK4510" s="201" t="str">
        <f t="shared" si="1389"/>
        <v/>
      </c>
      <c r="AL4510" s="24"/>
      <c r="AM4510" s="24"/>
      <c r="AN4510" s="24"/>
      <c r="AO4510" s="24"/>
      <c r="AP4510" s="165" t="str">
        <f t="shared" si="1390"/>
        <v/>
      </c>
      <c r="AQ4510" s="203" t="str">
        <f t="shared" si="1391"/>
        <v/>
      </c>
      <c r="AR4510" s="206">
        <f t="shared" si="1392"/>
        <v>0</v>
      </c>
      <c r="AS4510" s="22" t="str">
        <f t="shared" si="1393"/>
        <v/>
      </c>
      <c r="AT4510" s="24" t="str">
        <f t="shared" si="1394"/>
        <v/>
      </c>
      <c r="AU4510" s="22" t="s">
        <v>3240</v>
      </c>
    </row>
    <row r="4511" spans="1:47">
      <c r="A4511" s="246" t="str">
        <f t="shared" si="1382"/>
        <v/>
      </c>
      <c r="B4511" s="23"/>
      <c r="C4511" s="23"/>
      <c r="D4511" s="202" t="str">
        <f t="shared" si="1383"/>
        <v/>
      </c>
      <c r="E4511" s="33" t="str">
        <f t="shared" si="1395"/>
        <v/>
      </c>
      <c r="F4511" s="23"/>
      <c r="G4511" s="23"/>
      <c r="H4511" s="29"/>
      <c r="I4511" s="204" t="str">
        <f t="shared" si="1380"/>
        <v/>
      </c>
      <c r="J4511" s="188"/>
      <c r="K4511" s="29"/>
      <c r="L4511" s="24"/>
      <c r="M4511" s="22"/>
      <c r="N4511" s="22"/>
      <c r="O4511" s="22"/>
      <c r="P4511" s="202" t="str">
        <f t="shared" si="1381"/>
        <v/>
      </c>
      <c r="Q4511" s="22"/>
      <c r="R4511" s="22"/>
      <c r="S4511" s="22"/>
      <c r="T4511" s="22"/>
      <c r="U4511" s="22"/>
      <c r="V4511" s="22"/>
      <c r="W4511" s="22"/>
      <c r="X4511" s="104"/>
      <c r="Y4511" s="195" t="str">
        <f t="shared" si="1396"/>
        <v/>
      </c>
      <c r="Z4511" s="196" t="str">
        <f t="shared" si="1397"/>
        <v/>
      </c>
      <c r="AA4511" s="22"/>
      <c r="AB4511" s="197" t="str">
        <f t="shared" si="1384"/>
        <v/>
      </c>
      <c r="AC4511" s="198" t="str">
        <f t="shared" si="1385"/>
        <v/>
      </c>
      <c r="AD4511" s="162"/>
      <c r="AE4511" s="199" t="str">
        <f t="shared" si="1386"/>
        <v/>
      </c>
      <c r="AF4511" s="199" t="str">
        <f>IF(AND(COUNTIFS($J$18:J4511,J4511)=1,AE4511=1),1,"")</f>
        <v/>
      </c>
      <c r="AG4511" s="199" t="str">
        <f>IF(C4511="","",IF(AND(COUNTIFS($J$18:J4511,J4511)=1,C4511&lt;&gt;""),1,""))</f>
        <v/>
      </c>
      <c r="AH4511" s="199" t="str">
        <f>IF(G4511="","",IF(AND(COUNTIFS($J$18:J4511,J4511)=1,G4511&lt;&gt;""),1,""))</f>
        <v/>
      </c>
      <c r="AI4511" s="200">
        <f t="shared" si="1387"/>
        <v>0</v>
      </c>
      <c r="AJ4511" s="200">
        <f t="shared" si="1388"/>
        <v>0</v>
      </c>
      <c r="AK4511" s="201" t="str">
        <f t="shared" si="1389"/>
        <v/>
      </c>
      <c r="AL4511" s="24"/>
      <c r="AM4511" s="24"/>
      <c r="AN4511" s="24"/>
      <c r="AO4511" s="24"/>
      <c r="AP4511" s="165" t="str">
        <f t="shared" si="1390"/>
        <v/>
      </c>
      <c r="AQ4511" s="203" t="str">
        <f t="shared" si="1391"/>
        <v/>
      </c>
      <c r="AR4511" s="206">
        <f t="shared" si="1392"/>
        <v>0</v>
      </c>
      <c r="AS4511" s="22" t="str">
        <f t="shared" si="1393"/>
        <v/>
      </c>
      <c r="AT4511" s="24" t="str">
        <f t="shared" si="1394"/>
        <v/>
      </c>
      <c r="AU4511" s="22" t="s">
        <v>3240</v>
      </c>
    </row>
    <row r="4512" spans="1:47">
      <c r="A4512" s="246" t="str">
        <f t="shared" si="1382"/>
        <v/>
      </c>
      <c r="B4512" s="23"/>
      <c r="C4512" s="23"/>
      <c r="D4512" s="202" t="str">
        <f t="shared" si="1383"/>
        <v/>
      </c>
      <c r="E4512" s="33" t="str">
        <f t="shared" si="1395"/>
        <v/>
      </c>
      <c r="F4512" s="23"/>
      <c r="G4512" s="23"/>
      <c r="H4512" s="29"/>
      <c r="I4512" s="204" t="str">
        <f t="shared" ref="I4512:I4575" si="1398">IFERROR(IF(F4512="","",IF(F4512="TBA","TBA",IF(F4512="Cancel","Cancel",IF(AND(G4512&gt;=10,G4512&lt;=12),"Q3",IF(AND(G4512&gt;=1,G4512&lt;=3),"Q4",IF(AND(G4512&gt;=7,G4512&lt;=9),"Q2",IF(AND(G4512&gt;=4,G4512&lt;=6),"Q1"))))))),"")</f>
        <v/>
      </c>
      <c r="J4512" s="188"/>
      <c r="K4512" s="29"/>
      <c r="L4512" s="24"/>
      <c r="M4512" s="22"/>
      <c r="N4512" s="22"/>
      <c r="O4512" s="22"/>
      <c r="P4512" s="202" t="str">
        <f t="shared" si="1381"/>
        <v/>
      </c>
      <c r="Q4512" s="22"/>
      <c r="R4512" s="22"/>
      <c r="S4512" s="22"/>
      <c r="T4512" s="22"/>
      <c r="U4512" s="22"/>
      <c r="V4512" s="22"/>
      <c r="W4512" s="22"/>
      <c r="X4512" s="104"/>
      <c r="Y4512" s="195" t="str">
        <f t="shared" si="1396"/>
        <v/>
      </c>
      <c r="Z4512" s="196" t="str">
        <f t="shared" si="1397"/>
        <v/>
      </c>
      <c r="AA4512" s="22"/>
      <c r="AB4512" s="197" t="str">
        <f t="shared" si="1384"/>
        <v/>
      </c>
      <c r="AC4512" s="198" t="str">
        <f t="shared" si="1385"/>
        <v/>
      </c>
      <c r="AD4512" s="162"/>
      <c r="AE4512" s="199" t="str">
        <f t="shared" si="1386"/>
        <v/>
      </c>
      <c r="AF4512" s="199" t="str">
        <f>IF(AND(COUNTIFS($J$18:J4512,J4512)=1,AE4512=1),1,"")</f>
        <v/>
      </c>
      <c r="AG4512" s="199" t="str">
        <f>IF(C4512="","",IF(AND(COUNTIFS($J$18:J4512,J4512)=1,C4512&lt;&gt;""),1,""))</f>
        <v/>
      </c>
      <c r="AH4512" s="199" t="str">
        <f>IF(G4512="","",IF(AND(COUNTIFS($J$18:J4512,J4512)=1,G4512&lt;&gt;""),1,""))</f>
        <v/>
      </c>
      <c r="AI4512" s="200">
        <f t="shared" si="1387"/>
        <v>0</v>
      </c>
      <c r="AJ4512" s="200">
        <f t="shared" si="1388"/>
        <v>0</v>
      </c>
      <c r="AK4512" s="201" t="str">
        <f t="shared" si="1389"/>
        <v/>
      </c>
      <c r="AL4512" s="24"/>
      <c r="AM4512" s="24"/>
      <c r="AN4512" s="24"/>
      <c r="AO4512" s="24"/>
      <c r="AP4512" s="165" t="str">
        <f t="shared" si="1390"/>
        <v/>
      </c>
      <c r="AQ4512" s="203" t="str">
        <f t="shared" si="1391"/>
        <v/>
      </c>
      <c r="AR4512" s="206">
        <f t="shared" si="1392"/>
        <v>0</v>
      </c>
      <c r="AS4512" s="22" t="str">
        <f t="shared" si="1393"/>
        <v/>
      </c>
      <c r="AT4512" s="24" t="str">
        <f t="shared" si="1394"/>
        <v/>
      </c>
      <c r="AU4512" s="22" t="s">
        <v>3240</v>
      </c>
    </row>
    <row r="4513" spans="1:47">
      <c r="A4513" s="246" t="str">
        <f t="shared" si="1382"/>
        <v/>
      </c>
      <c r="B4513" s="23"/>
      <c r="C4513" s="23"/>
      <c r="D4513" s="202" t="str">
        <f t="shared" si="1383"/>
        <v/>
      </c>
      <c r="E4513" s="33" t="str">
        <f t="shared" si="1395"/>
        <v/>
      </c>
      <c r="F4513" s="23"/>
      <c r="G4513" s="23"/>
      <c r="H4513" s="29"/>
      <c r="I4513" s="204" t="str">
        <f t="shared" si="1398"/>
        <v/>
      </c>
      <c r="J4513" s="188"/>
      <c r="K4513" s="29"/>
      <c r="L4513" s="24"/>
      <c r="M4513" s="22"/>
      <c r="N4513" s="22"/>
      <c r="O4513" s="22"/>
      <c r="P4513" s="202" t="str">
        <f t="shared" ref="P4513:P4576" si="1399">IF(M4513="","",IF(AND(N4513&gt;0,L4513&lt;&gt;""),"MAIN UNIT",IF(AND(O4513&gt;0,L4513&lt;&gt;""),"SERVICE/ PARTS","C66 SERVICE/OTHERS")))</f>
        <v/>
      </c>
      <c r="Q4513" s="22"/>
      <c r="R4513" s="22"/>
      <c r="S4513" s="22"/>
      <c r="T4513" s="22"/>
      <c r="U4513" s="22"/>
      <c r="V4513" s="22"/>
      <c r="W4513" s="22"/>
      <c r="X4513" s="104"/>
      <c r="Y4513" s="195" t="str">
        <f t="shared" si="1396"/>
        <v/>
      </c>
      <c r="Z4513" s="196" t="str">
        <f t="shared" si="1397"/>
        <v/>
      </c>
      <c r="AA4513" s="22"/>
      <c r="AB4513" s="197" t="str">
        <f t="shared" si="1384"/>
        <v/>
      </c>
      <c r="AC4513" s="198" t="str">
        <f t="shared" si="1385"/>
        <v/>
      </c>
      <c r="AD4513" s="162"/>
      <c r="AE4513" s="199" t="str">
        <f t="shared" si="1386"/>
        <v/>
      </c>
      <c r="AF4513" s="199" t="str">
        <f>IF(AND(COUNTIFS($J$18:J4513,J4513)=1,AE4513=1),1,"")</f>
        <v/>
      </c>
      <c r="AG4513" s="199" t="str">
        <f>IF(C4513="","",IF(AND(COUNTIFS($J$18:J4513,J4513)=1,C4513&lt;&gt;""),1,""))</f>
        <v/>
      </c>
      <c r="AH4513" s="199" t="str">
        <f>IF(G4513="","",IF(AND(COUNTIFS($J$18:J4513,J4513)=1,G4513&lt;&gt;""),1,""))</f>
        <v/>
      </c>
      <c r="AI4513" s="200">
        <f t="shared" si="1387"/>
        <v>0</v>
      </c>
      <c r="AJ4513" s="200">
        <f t="shared" si="1388"/>
        <v>0</v>
      </c>
      <c r="AK4513" s="201" t="str">
        <f t="shared" si="1389"/>
        <v/>
      </c>
      <c r="AL4513" s="24"/>
      <c r="AM4513" s="24"/>
      <c r="AN4513" s="24"/>
      <c r="AO4513" s="24"/>
      <c r="AP4513" s="165" t="str">
        <f t="shared" si="1390"/>
        <v/>
      </c>
      <c r="AQ4513" s="203" t="str">
        <f t="shared" si="1391"/>
        <v/>
      </c>
      <c r="AR4513" s="206">
        <f t="shared" si="1392"/>
        <v>0</v>
      </c>
      <c r="AS4513" s="22" t="str">
        <f t="shared" si="1393"/>
        <v/>
      </c>
      <c r="AT4513" s="24" t="str">
        <f t="shared" si="1394"/>
        <v/>
      </c>
      <c r="AU4513" s="22" t="s">
        <v>3240</v>
      </c>
    </row>
    <row r="4514" spans="1:47">
      <c r="A4514" s="246" t="str">
        <f t="shared" ref="A4514:A4577" si="1400">IF(C4514="cancel","cancel",IFERROR(IF(D4514="Q4","FY "&amp;RIGHT(B4514,2)-1&amp;"/"&amp;RIGHT(B4514,2),"FY "&amp;RIGHT(B4514,2)&amp;"/"&amp;RIGHT(B4514,2)+1),""))</f>
        <v/>
      </c>
      <c r="B4514" s="23"/>
      <c r="C4514" s="23"/>
      <c r="D4514" s="202" t="str">
        <f t="shared" ref="D4514:D4577" si="1401">IF(B4514="","",IF(AND(C4514&gt;=10,C4514&lt;=12),"Q3",IF(AND(C4514&gt;=1,C4514&lt;=3),"Q4",IF(AND(C4514&gt;=7,C4514&lt;=9),"Q2",IF(AND(C4514&gt;=4,C4514&lt;=6),"Q1")))))</f>
        <v/>
      </c>
      <c r="E4514" s="33" t="str">
        <f t="shared" si="1395"/>
        <v/>
      </c>
      <c r="F4514" s="23"/>
      <c r="G4514" s="23"/>
      <c r="H4514" s="29"/>
      <c r="I4514" s="204" t="str">
        <f t="shared" si="1398"/>
        <v/>
      </c>
      <c r="J4514" s="188"/>
      <c r="K4514" s="29"/>
      <c r="L4514" s="24"/>
      <c r="M4514" s="22"/>
      <c r="N4514" s="22"/>
      <c r="O4514" s="22"/>
      <c r="P4514" s="202" t="str">
        <f t="shared" si="1399"/>
        <v/>
      </c>
      <c r="Q4514" s="22"/>
      <c r="R4514" s="22"/>
      <c r="S4514" s="22"/>
      <c r="T4514" s="22"/>
      <c r="U4514" s="22"/>
      <c r="V4514" s="22"/>
      <c r="W4514" s="22"/>
      <c r="X4514" s="104"/>
      <c r="Y4514" s="195" t="str">
        <f t="shared" si="1396"/>
        <v/>
      </c>
      <c r="Z4514" s="196" t="str">
        <f t="shared" si="1397"/>
        <v/>
      </c>
      <c r="AA4514" s="22"/>
      <c r="AB4514" s="197" t="str">
        <f t="shared" ref="AB4514:AB4577" si="1402">IF(AND(R4514&lt;&gt;"C66",R4514&lt;&gt;""),Z4514/Y4514*AA4514,"")</f>
        <v/>
      </c>
      <c r="AC4514" s="198" t="str">
        <f t="shared" ref="AC4514:AC4577" si="1403">IF(R4514&lt;&gt;"",AB4514*AD4514,"")</f>
        <v/>
      </c>
      <c r="AD4514" s="162"/>
      <c r="AE4514" s="199" t="str">
        <f t="shared" ref="AE4514:AE4577" si="1404">IF(Q4514="","",IF(Q4514="Yes",1,0))</f>
        <v/>
      </c>
      <c r="AF4514" s="199" t="str">
        <f>IF(AND(COUNTIFS($J$18:J4514,J4514)=1,AE4514=1),1,"")</f>
        <v/>
      </c>
      <c r="AG4514" s="199" t="str">
        <f>IF(C4514="","",IF(AND(COUNTIFS($J$18:J4514,J4514)=1,C4514&lt;&gt;""),1,""))</f>
        <v/>
      </c>
      <c r="AH4514" s="199" t="str">
        <f>IF(G4514="","",IF(AND(COUNTIFS($J$18:J4514,J4514)=1,G4514&lt;&gt;""),1,""))</f>
        <v/>
      </c>
      <c r="AI4514" s="200">
        <f t="shared" ref="AI4514:AI4577" si="1405">IF(P4514="C66 SERVICE","",SUMIFS(AB:AB,F:F,F4514,G:G,G4514,E:E,E4514))</f>
        <v>0</v>
      </c>
      <c r="AJ4514" s="200">
        <f t="shared" ref="AJ4514:AJ4577" si="1406">IF(P4514="C66 SERVICE","",SUMIFS(AC:AC,F:F,F4514,G:G,G4514,E:E,E4514))</f>
        <v>0</v>
      </c>
      <c r="AK4514" s="201" t="str">
        <f t="shared" ref="AK4514:AK4577" si="1407">IF(AJ4514&gt;0,AJ4514/AI4514,"")</f>
        <v/>
      </c>
      <c r="AL4514" s="24"/>
      <c r="AM4514" s="24"/>
      <c r="AN4514" s="24"/>
      <c r="AO4514" s="24"/>
      <c r="AP4514" s="165" t="str">
        <f t="shared" ref="AP4514:AP4577" si="1408">IF(F4514="","",F4514&amp;G4514)</f>
        <v/>
      </c>
      <c r="AQ4514" s="203" t="str">
        <f t="shared" ref="AQ4514:AQ4577" si="1409">IF(W4514="","",F4514&amp;G4514&amp;W4514)</f>
        <v/>
      </c>
      <c r="AR4514" s="206">
        <f t="shared" ref="AR4514:AR4577" si="1410">IFERROR(IF(AND(M4514="YAMAHA", R4514="C28"), "YAMAHA_Non_Mounter", IF(AND(M4514="YAMAHA", R4514="C49"), "YAMAHA_Mounter", M4514)),"")</f>
        <v>0</v>
      </c>
      <c r="AS4514" s="22" t="str">
        <f t="shared" ref="AS4514:AS4577" si="1411">IFERROR(IF(OR(G4514="TBA", G4514=""), "", DATEDIF(DATE(B4514, C4514, 1), DATE(F4514, G4514, 1), "M")),"")</f>
        <v/>
      </c>
      <c r="AT4514" s="24" t="str">
        <f t="shared" ref="AT4514:AT4577" si="1412">IF(ISNUMBER(AS4514), IF(AS4514&gt;=0, IF(AS4514&lt;=3, "0-3 months", IF(AS4514&lt;=6, "4-6 months", "&gt; 6 months"))), "")</f>
        <v/>
      </c>
      <c r="AU4514" s="22" t="s">
        <v>3240</v>
      </c>
    </row>
    <row r="4515" spans="1:47">
      <c r="A4515" s="246" t="str">
        <f t="shared" si="1400"/>
        <v/>
      </c>
      <c r="B4515" s="23"/>
      <c r="C4515" s="23"/>
      <c r="D4515" s="202" t="str">
        <f t="shared" si="1401"/>
        <v/>
      </c>
      <c r="E4515" s="33" t="str">
        <f t="shared" si="1395"/>
        <v/>
      </c>
      <c r="F4515" s="23"/>
      <c r="G4515" s="23"/>
      <c r="H4515" s="29"/>
      <c r="I4515" s="204" t="str">
        <f t="shared" si="1398"/>
        <v/>
      </c>
      <c r="J4515" s="188"/>
      <c r="K4515" s="29"/>
      <c r="L4515" s="24"/>
      <c r="M4515" s="22"/>
      <c r="N4515" s="22"/>
      <c r="O4515" s="22"/>
      <c r="P4515" s="202" t="str">
        <f t="shared" si="1399"/>
        <v/>
      </c>
      <c r="Q4515" s="22"/>
      <c r="R4515" s="22"/>
      <c r="S4515" s="22"/>
      <c r="T4515" s="22"/>
      <c r="U4515" s="22"/>
      <c r="V4515" s="22"/>
      <c r="W4515" s="22"/>
      <c r="X4515" s="104"/>
      <c r="Y4515" s="195" t="str">
        <f t="shared" si="1396"/>
        <v/>
      </c>
      <c r="Z4515" s="196" t="str">
        <f t="shared" si="1397"/>
        <v/>
      </c>
      <c r="AA4515" s="22"/>
      <c r="AB4515" s="197" t="str">
        <f t="shared" si="1402"/>
        <v/>
      </c>
      <c r="AC4515" s="198" t="str">
        <f t="shared" si="1403"/>
        <v/>
      </c>
      <c r="AD4515" s="162"/>
      <c r="AE4515" s="199" t="str">
        <f t="shared" si="1404"/>
        <v/>
      </c>
      <c r="AF4515" s="199" t="str">
        <f>IF(AND(COUNTIFS($J$18:J4515,J4515)=1,AE4515=1),1,"")</f>
        <v/>
      </c>
      <c r="AG4515" s="199" t="str">
        <f>IF(C4515="","",IF(AND(COUNTIFS($J$18:J4515,J4515)=1,C4515&lt;&gt;""),1,""))</f>
        <v/>
      </c>
      <c r="AH4515" s="199" t="str">
        <f>IF(G4515="","",IF(AND(COUNTIFS($J$18:J4515,J4515)=1,G4515&lt;&gt;""),1,""))</f>
        <v/>
      </c>
      <c r="AI4515" s="200">
        <f t="shared" si="1405"/>
        <v>0</v>
      </c>
      <c r="AJ4515" s="200">
        <f t="shared" si="1406"/>
        <v>0</v>
      </c>
      <c r="AK4515" s="201" t="str">
        <f t="shared" si="1407"/>
        <v/>
      </c>
      <c r="AL4515" s="24"/>
      <c r="AM4515" s="24"/>
      <c r="AN4515" s="24"/>
      <c r="AO4515" s="24"/>
      <c r="AP4515" s="165" t="str">
        <f t="shared" si="1408"/>
        <v/>
      </c>
      <c r="AQ4515" s="203" t="str">
        <f t="shared" si="1409"/>
        <v/>
      </c>
      <c r="AR4515" s="206">
        <f t="shared" si="1410"/>
        <v>0</v>
      </c>
      <c r="AS4515" s="22" t="str">
        <f t="shared" si="1411"/>
        <v/>
      </c>
      <c r="AT4515" s="24" t="str">
        <f t="shared" si="1412"/>
        <v/>
      </c>
      <c r="AU4515" s="22" t="s">
        <v>3240</v>
      </c>
    </row>
    <row r="4516" spans="1:47">
      <c r="A4516" s="246" t="str">
        <f t="shared" si="1400"/>
        <v/>
      </c>
      <c r="B4516" s="23"/>
      <c r="C4516" s="23"/>
      <c r="D4516" s="202" t="str">
        <f t="shared" si="1401"/>
        <v/>
      </c>
      <c r="E4516" s="33" t="str">
        <f t="shared" si="1395"/>
        <v/>
      </c>
      <c r="F4516" s="23"/>
      <c r="G4516" s="23"/>
      <c r="H4516" s="29"/>
      <c r="I4516" s="204" t="str">
        <f t="shared" si="1398"/>
        <v/>
      </c>
      <c r="J4516" s="188"/>
      <c r="K4516" s="29"/>
      <c r="L4516" s="24"/>
      <c r="M4516" s="22"/>
      <c r="N4516" s="22"/>
      <c r="O4516" s="22"/>
      <c r="P4516" s="202" t="str">
        <f t="shared" si="1399"/>
        <v/>
      </c>
      <c r="Q4516" s="22"/>
      <c r="R4516" s="22"/>
      <c r="S4516" s="22"/>
      <c r="T4516" s="22"/>
      <c r="U4516" s="22"/>
      <c r="V4516" s="22"/>
      <c r="W4516" s="22"/>
      <c r="X4516" s="104"/>
      <c r="Y4516" s="195" t="str">
        <f t="shared" si="1396"/>
        <v/>
      </c>
      <c r="Z4516" s="196" t="str">
        <f t="shared" si="1397"/>
        <v/>
      </c>
      <c r="AA4516" s="22"/>
      <c r="AB4516" s="197" t="str">
        <f t="shared" si="1402"/>
        <v/>
      </c>
      <c r="AC4516" s="198" t="str">
        <f t="shared" si="1403"/>
        <v/>
      </c>
      <c r="AD4516" s="162"/>
      <c r="AE4516" s="199" t="str">
        <f t="shared" si="1404"/>
        <v/>
      </c>
      <c r="AF4516" s="199" t="str">
        <f>IF(AND(COUNTIFS($J$18:J4516,J4516)=1,AE4516=1),1,"")</f>
        <v/>
      </c>
      <c r="AG4516" s="199" t="str">
        <f>IF(C4516="","",IF(AND(COUNTIFS($J$18:J4516,J4516)=1,C4516&lt;&gt;""),1,""))</f>
        <v/>
      </c>
      <c r="AH4516" s="199" t="str">
        <f>IF(G4516="","",IF(AND(COUNTIFS($J$18:J4516,J4516)=1,G4516&lt;&gt;""),1,""))</f>
        <v/>
      </c>
      <c r="AI4516" s="200">
        <f t="shared" si="1405"/>
        <v>0</v>
      </c>
      <c r="AJ4516" s="200">
        <f t="shared" si="1406"/>
        <v>0</v>
      </c>
      <c r="AK4516" s="201" t="str">
        <f t="shared" si="1407"/>
        <v/>
      </c>
      <c r="AL4516" s="24"/>
      <c r="AM4516" s="24"/>
      <c r="AN4516" s="24"/>
      <c r="AO4516" s="24"/>
      <c r="AP4516" s="165" t="str">
        <f t="shared" si="1408"/>
        <v/>
      </c>
      <c r="AQ4516" s="203" t="str">
        <f t="shared" si="1409"/>
        <v/>
      </c>
      <c r="AR4516" s="206">
        <f t="shared" si="1410"/>
        <v>0</v>
      </c>
      <c r="AS4516" s="22" t="str">
        <f t="shared" si="1411"/>
        <v/>
      </c>
      <c r="AT4516" s="24" t="str">
        <f t="shared" si="1412"/>
        <v/>
      </c>
      <c r="AU4516" s="22" t="s">
        <v>3240</v>
      </c>
    </row>
    <row r="4517" spans="1:47">
      <c r="A4517" s="246" t="str">
        <f t="shared" si="1400"/>
        <v/>
      </c>
      <c r="B4517" s="23"/>
      <c r="C4517" s="23"/>
      <c r="D4517" s="202" t="str">
        <f t="shared" si="1401"/>
        <v/>
      </c>
      <c r="E4517" s="33" t="str">
        <f t="shared" si="1395"/>
        <v/>
      </c>
      <c r="F4517" s="23"/>
      <c r="G4517" s="23"/>
      <c r="H4517" s="29"/>
      <c r="I4517" s="204" t="str">
        <f t="shared" si="1398"/>
        <v/>
      </c>
      <c r="J4517" s="188"/>
      <c r="K4517" s="29"/>
      <c r="L4517" s="24"/>
      <c r="M4517" s="22"/>
      <c r="N4517" s="22"/>
      <c r="O4517" s="22"/>
      <c r="P4517" s="202" t="str">
        <f t="shared" si="1399"/>
        <v/>
      </c>
      <c r="Q4517" s="22"/>
      <c r="R4517" s="22"/>
      <c r="S4517" s="22"/>
      <c r="T4517" s="22"/>
      <c r="U4517" s="22"/>
      <c r="V4517" s="22"/>
      <c r="W4517" s="22"/>
      <c r="X4517" s="104"/>
      <c r="Y4517" s="195" t="str">
        <f t="shared" si="1396"/>
        <v/>
      </c>
      <c r="Z4517" s="196" t="str">
        <f t="shared" si="1397"/>
        <v/>
      </c>
      <c r="AA4517" s="22"/>
      <c r="AB4517" s="197" t="str">
        <f t="shared" si="1402"/>
        <v/>
      </c>
      <c r="AC4517" s="198" t="str">
        <f t="shared" si="1403"/>
        <v/>
      </c>
      <c r="AD4517" s="162"/>
      <c r="AE4517" s="199" t="str">
        <f t="shared" si="1404"/>
        <v/>
      </c>
      <c r="AF4517" s="199" t="str">
        <f>IF(AND(COUNTIFS($J$18:J4517,J4517)=1,AE4517=1),1,"")</f>
        <v/>
      </c>
      <c r="AG4517" s="199" t="str">
        <f>IF(C4517="","",IF(AND(COUNTIFS($J$18:J4517,J4517)=1,C4517&lt;&gt;""),1,""))</f>
        <v/>
      </c>
      <c r="AH4517" s="199" t="str">
        <f>IF(G4517="","",IF(AND(COUNTIFS($J$18:J4517,J4517)=1,G4517&lt;&gt;""),1,""))</f>
        <v/>
      </c>
      <c r="AI4517" s="200">
        <f t="shared" si="1405"/>
        <v>0</v>
      </c>
      <c r="AJ4517" s="200">
        <f t="shared" si="1406"/>
        <v>0</v>
      </c>
      <c r="AK4517" s="201" t="str">
        <f t="shared" si="1407"/>
        <v/>
      </c>
      <c r="AL4517" s="24"/>
      <c r="AM4517" s="24"/>
      <c r="AN4517" s="24"/>
      <c r="AO4517" s="24"/>
      <c r="AP4517" s="165" t="str">
        <f t="shared" si="1408"/>
        <v/>
      </c>
      <c r="AQ4517" s="203" t="str">
        <f t="shared" si="1409"/>
        <v/>
      </c>
      <c r="AR4517" s="206">
        <f t="shared" si="1410"/>
        <v>0</v>
      </c>
      <c r="AS4517" s="22" t="str">
        <f t="shared" si="1411"/>
        <v/>
      </c>
      <c r="AT4517" s="24" t="str">
        <f t="shared" si="1412"/>
        <v/>
      </c>
      <c r="AU4517" s="22" t="s">
        <v>3240</v>
      </c>
    </row>
    <row r="4518" spans="1:47">
      <c r="A4518" s="246" t="str">
        <f t="shared" si="1400"/>
        <v/>
      </c>
      <c r="B4518" s="23"/>
      <c r="C4518" s="23"/>
      <c r="D4518" s="202" t="str">
        <f t="shared" si="1401"/>
        <v/>
      </c>
      <c r="E4518" s="33" t="str">
        <f t="shared" si="1395"/>
        <v/>
      </c>
      <c r="F4518" s="23"/>
      <c r="G4518" s="23"/>
      <c r="H4518" s="29"/>
      <c r="I4518" s="204" t="str">
        <f t="shared" si="1398"/>
        <v/>
      </c>
      <c r="J4518" s="188"/>
      <c r="K4518" s="29"/>
      <c r="L4518" s="24"/>
      <c r="M4518" s="22"/>
      <c r="N4518" s="22"/>
      <c r="O4518" s="22"/>
      <c r="P4518" s="202" t="str">
        <f t="shared" si="1399"/>
        <v/>
      </c>
      <c r="Q4518" s="22"/>
      <c r="R4518" s="22"/>
      <c r="S4518" s="22"/>
      <c r="T4518" s="22"/>
      <c r="U4518" s="22"/>
      <c r="V4518" s="22"/>
      <c r="W4518" s="22"/>
      <c r="X4518" s="104"/>
      <c r="Y4518" s="195" t="str">
        <f t="shared" si="1396"/>
        <v/>
      </c>
      <c r="Z4518" s="196" t="str">
        <f t="shared" si="1397"/>
        <v/>
      </c>
      <c r="AA4518" s="22"/>
      <c r="AB4518" s="197" t="str">
        <f t="shared" si="1402"/>
        <v/>
      </c>
      <c r="AC4518" s="198" t="str">
        <f t="shared" si="1403"/>
        <v/>
      </c>
      <c r="AD4518" s="162"/>
      <c r="AE4518" s="199" t="str">
        <f t="shared" si="1404"/>
        <v/>
      </c>
      <c r="AF4518" s="199" t="str">
        <f>IF(AND(COUNTIFS($J$18:J4518,J4518)=1,AE4518=1),1,"")</f>
        <v/>
      </c>
      <c r="AG4518" s="199" t="str">
        <f>IF(C4518="","",IF(AND(COUNTIFS($J$18:J4518,J4518)=1,C4518&lt;&gt;""),1,""))</f>
        <v/>
      </c>
      <c r="AH4518" s="199" t="str">
        <f>IF(G4518="","",IF(AND(COUNTIFS($J$18:J4518,J4518)=1,G4518&lt;&gt;""),1,""))</f>
        <v/>
      </c>
      <c r="AI4518" s="200">
        <f t="shared" si="1405"/>
        <v>0</v>
      </c>
      <c r="AJ4518" s="200">
        <f t="shared" si="1406"/>
        <v>0</v>
      </c>
      <c r="AK4518" s="201" t="str">
        <f t="shared" si="1407"/>
        <v/>
      </c>
      <c r="AL4518" s="24"/>
      <c r="AM4518" s="24"/>
      <c r="AN4518" s="24"/>
      <c r="AO4518" s="24"/>
      <c r="AP4518" s="165" t="str">
        <f t="shared" si="1408"/>
        <v/>
      </c>
      <c r="AQ4518" s="203" t="str">
        <f t="shared" si="1409"/>
        <v/>
      </c>
      <c r="AR4518" s="206">
        <f t="shared" si="1410"/>
        <v>0</v>
      </c>
      <c r="AS4518" s="22" t="str">
        <f t="shared" si="1411"/>
        <v/>
      </c>
      <c r="AT4518" s="24" t="str">
        <f t="shared" si="1412"/>
        <v/>
      </c>
      <c r="AU4518" s="22" t="s">
        <v>3240</v>
      </c>
    </row>
    <row r="4519" spans="1:47">
      <c r="A4519" s="246" t="str">
        <f t="shared" si="1400"/>
        <v/>
      </c>
      <c r="B4519" s="23"/>
      <c r="C4519" s="23"/>
      <c r="D4519" s="202" t="str">
        <f t="shared" si="1401"/>
        <v/>
      </c>
      <c r="E4519" s="33" t="str">
        <f t="shared" si="1395"/>
        <v/>
      </c>
      <c r="F4519" s="23"/>
      <c r="G4519" s="23"/>
      <c r="H4519" s="29"/>
      <c r="I4519" s="204" t="str">
        <f t="shared" si="1398"/>
        <v/>
      </c>
      <c r="J4519" s="188"/>
      <c r="K4519" s="29"/>
      <c r="L4519" s="24"/>
      <c r="M4519" s="22"/>
      <c r="N4519" s="22"/>
      <c r="O4519" s="22"/>
      <c r="P4519" s="202" t="str">
        <f t="shared" si="1399"/>
        <v/>
      </c>
      <c r="Q4519" s="22"/>
      <c r="R4519" s="22"/>
      <c r="S4519" s="22"/>
      <c r="T4519" s="22"/>
      <c r="U4519" s="22"/>
      <c r="V4519" s="22"/>
      <c r="W4519" s="22"/>
      <c r="X4519" s="104"/>
      <c r="Y4519" s="195" t="str">
        <f t="shared" si="1396"/>
        <v/>
      </c>
      <c r="Z4519" s="196" t="str">
        <f t="shared" si="1397"/>
        <v/>
      </c>
      <c r="AA4519" s="22"/>
      <c r="AB4519" s="197" t="str">
        <f t="shared" si="1402"/>
        <v/>
      </c>
      <c r="AC4519" s="198" t="str">
        <f t="shared" si="1403"/>
        <v/>
      </c>
      <c r="AD4519" s="162"/>
      <c r="AE4519" s="199" t="str">
        <f t="shared" si="1404"/>
        <v/>
      </c>
      <c r="AF4519" s="199" t="str">
        <f>IF(AND(COUNTIFS($J$18:J4519,J4519)=1,AE4519=1),1,"")</f>
        <v/>
      </c>
      <c r="AG4519" s="199" t="str">
        <f>IF(C4519="","",IF(AND(COUNTIFS($J$18:J4519,J4519)=1,C4519&lt;&gt;""),1,""))</f>
        <v/>
      </c>
      <c r="AH4519" s="199" t="str">
        <f>IF(G4519="","",IF(AND(COUNTIFS($J$18:J4519,J4519)=1,G4519&lt;&gt;""),1,""))</f>
        <v/>
      </c>
      <c r="AI4519" s="200">
        <f t="shared" si="1405"/>
        <v>0</v>
      </c>
      <c r="AJ4519" s="200">
        <f t="shared" si="1406"/>
        <v>0</v>
      </c>
      <c r="AK4519" s="201" t="str">
        <f t="shared" si="1407"/>
        <v/>
      </c>
      <c r="AL4519" s="24"/>
      <c r="AM4519" s="24"/>
      <c r="AN4519" s="24"/>
      <c r="AO4519" s="24"/>
      <c r="AP4519" s="165" t="str">
        <f t="shared" si="1408"/>
        <v/>
      </c>
      <c r="AQ4519" s="203" t="str">
        <f t="shared" si="1409"/>
        <v/>
      </c>
      <c r="AR4519" s="206">
        <f t="shared" si="1410"/>
        <v>0</v>
      </c>
      <c r="AS4519" s="22" t="str">
        <f t="shared" si="1411"/>
        <v/>
      </c>
      <c r="AT4519" s="24" t="str">
        <f t="shared" si="1412"/>
        <v/>
      </c>
      <c r="AU4519" s="22" t="s">
        <v>3240</v>
      </c>
    </row>
    <row r="4520" spans="1:47">
      <c r="A4520" s="246" t="str">
        <f t="shared" si="1400"/>
        <v/>
      </c>
      <c r="B4520" s="23"/>
      <c r="C4520" s="23"/>
      <c r="D4520" s="202" t="str">
        <f t="shared" si="1401"/>
        <v/>
      </c>
      <c r="E4520" s="33" t="str">
        <f t="shared" si="1395"/>
        <v/>
      </c>
      <c r="F4520" s="23"/>
      <c r="G4520" s="23"/>
      <c r="H4520" s="29"/>
      <c r="I4520" s="204" t="str">
        <f t="shared" si="1398"/>
        <v/>
      </c>
      <c r="J4520" s="188"/>
      <c r="K4520" s="29"/>
      <c r="L4520" s="24"/>
      <c r="M4520" s="22"/>
      <c r="N4520" s="22"/>
      <c r="O4520" s="22"/>
      <c r="P4520" s="202" t="str">
        <f t="shared" si="1399"/>
        <v/>
      </c>
      <c r="Q4520" s="22"/>
      <c r="R4520" s="22"/>
      <c r="S4520" s="22"/>
      <c r="T4520" s="22"/>
      <c r="U4520" s="22"/>
      <c r="V4520" s="22"/>
      <c r="W4520" s="22"/>
      <c r="X4520" s="104"/>
      <c r="Y4520" s="195" t="str">
        <f t="shared" si="1396"/>
        <v/>
      </c>
      <c r="Z4520" s="196" t="str">
        <f t="shared" si="1397"/>
        <v/>
      </c>
      <c r="AA4520" s="22"/>
      <c r="AB4520" s="197" t="str">
        <f t="shared" si="1402"/>
        <v/>
      </c>
      <c r="AC4520" s="198" t="str">
        <f t="shared" si="1403"/>
        <v/>
      </c>
      <c r="AD4520" s="162"/>
      <c r="AE4520" s="199" t="str">
        <f t="shared" si="1404"/>
        <v/>
      </c>
      <c r="AF4520" s="199" t="str">
        <f>IF(AND(COUNTIFS($J$18:J4520,J4520)=1,AE4520=1),1,"")</f>
        <v/>
      </c>
      <c r="AG4520" s="199" t="str">
        <f>IF(C4520="","",IF(AND(COUNTIFS($J$18:J4520,J4520)=1,C4520&lt;&gt;""),1,""))</f>
        <v/>
      </c>
      <c r="AH4520" s="199" t="str">
        <f>IF(G4520="","",IF(AND(COUNTIFS($J$18:J4520,J4520)=1,G4520&lt;&gt;""),1,""))</f>
        <v/>
      </c>
      <c r="AI4520" s="200">
        <f t="shared" si="1405"/>
        <v>0</v>
      </c>
      <c r="AJ4520" s="200">
        <f t="shared" si="1406"/>
        <v>0</v>
      </c>
      <c r="AK4520" s="201" t="str">
        <f t="shared" si="1407"/>
        <v/>
      </c>
      <c r="AL4520" s="24"/>
      <c r="AM4520" s="24"/>
      <c r="AN4520" s="24"/>
      <c r="AO4520" s="24"/>
      <c r="AP4520" s="165" t="str">
        <f t="shared" si="1408"/>
        <v/>
      </c>
      <c r="AQ4520" s="203" t="str">
        <f t="shared" si="1409"/>
        <v/>
      </c>
      <c r="AR4520" s="206">
        <f t="shared" si="1410"/>
        <v>0</v>
      </c>
      <c r="AS4520" s="22" t="str">
        <f t="shared" si="1411"/>
        <v/>
      </c>
      <c r="AT4520" s="24" t="str">
        <f t="shared" si="1412"/>
        <v/>
      </c>
      <c r="AU4520" s="22" t="s">
        <v>3240</v>
      </c>
    </row>
    <row r="4521" spans="1:47">
      <c r="A4521" s="246" t="str">
        <f t="shared" si="1400"/>
        <v/>
      </c>
      <c r="B4521" s="23"/>
      <c r="C4521" s="23"/>
      <c r="D4521" s="202" t="str">
        <f t="shared" si="1401"/>
        <v/>
      </c>
      <c r="E4521" s="33" t="str">
        <f t="shared" si="1395"/>
        <v/>
      </c>
      <c r="F4521" s="23"/>
      <c r="G4521" s="23"/>
      <c r="H4521" s="29"/>
      <c r="I4521" s="204" t="str">
        <f t="shared" si="1398"/>
        <v/>
      </c>
      <c r="J4521" s="188"/>
      <c r="K4521" s="29"/>
      <c r="L4521" s="24"/>
      <c r="M4521" s="22"/>
      <c r="N4521" s="22"/>
      <c r="O4521" s="22"/>
      <c r="P4521" s="202" t="str">
        <f t="shared" si="1399"/>
        <v/>
      </c>
      <c r="Q4521" s="22"/>
      <c r="R4521" s="22"/>
      <c r="S4521" s="22"/>
      <c r="T4521" s="22"/>
      <c r="U4521" s="22"/>
      <c r="V4521" s="22"/>
      <c r="W4521" s="22"/>
      <c r="X4521" s="104"/>
      <c r="Y4521" s="195" t="str">
        <f t="shared" si="1396"/>
        <v/>
      </c>
      <c r="Z4521" s="196" t="str">
        <f t="shared" si="1397"/>
        <v/>
      </c>
      <c r="AA4521" s="22"/>
      <c r="AB4521" s="197" t="str">
        <f t="shared" si="1402"/>
        <v/>
      </c>
      <c r="AC4521" s="198" t="str">
        <f t="shared" si="1403"/>
        <v/>
      </c>
      <c r="AD4521" s="162"/>
      <c r="AE4521" s="199" t="str">
        <f t="shared" si="1404"/>
        <v/>
      </c>
      <c r="AF4521" s="199" t="str">
        <f>IF(AND(COUNTIFS($J$18:J4521,J4521)=1,AE4521=1),1,"")</f>
        <v/>
      </c>
      <c r="AG4521" s="199" t="str">
        <f>IF(C4521="","",IF(AND(COUNTIFS($J$18:J4521,J4521)=1,C4521&lt;&gt;""),1,""))</f>
        <v/>
      </c>
      <c r="AH4521" s="199" t="str">
        <f>IF(G4521="","",IF(AND(COUNTIFS($J$18:J4521,J4521)=1,G4521&lt;&gt;""),1,""))</f>
        <v/>
      </c>
      <c r="AI4521" s="200">
        <f t="shared" si="1405"/>
        <v>0</v>
      </c>
      <c r="AJ4521" s="200">
        <f t="shared" si="1406"/>
        <v>0</v>
      </c>
      <c r="AK4521" s="201" t="str">
        <f t="shared" si="1407"/>
        <v/>
      </c>
      <c r="AL4521" s="24"/>
      <c r="AM4521" s="24"/>
      <c r="AN4521" s="24"/>
      <c r="AO4521" s="24"/>
      <c r="AP4521" s="165" t="str">
        <f t="shared" si="1408"/>
        <v/>
      </c>
      <c r="AQ4521" s="203" t="str">
        <f t="shared" si="1409"/>
        <v/>
      </c>
      <c r="AR4521" s="206">
        <f t="shared" si="1410"/>
        <v>0</v>
      </c>
      <c r="AS4521" s="22" t="str">
        <f t="shared" si="1411"/>
        <v/>
      </c>
      <c r="AT4521" s="24" t="str">
        <f t="shared" si="1412"/>
        <v/>
      </c>
      <c r="AU4521" s="22" t="s">
        <v>3240</v>
      </c>
    </row>
    <row r="4522" spans="1:47">
      <c r="A4522" s="246" t="str">
        <f t="shared" si="1400"/>
        <v/>
      </c>
      <c r="B4522" s="23"/>
      <c r="C4522" s="23"/>
      <c r="D4522" s="202" t="str">
        <f t="shared" si="1401"/>
        <v/>
      </c>
      <c r="E4522" s="33" t="str">
        <f t="shared" si="1395"/>
        <v/>
      </c>
      <c r="F4522" s="23"/>
      <c r="G4522" s="23"/>
      <c r="H4522" s="29"/>
      <c r="I4522" s="204" t="str">
        <f t="shared" si="1398"/>
        <v/>
      </c>
      <c r="J4522" s="188"/>
      <c r="K4522" s="29"/>
      <c r="L4522" s="24"/>
      <c r="M4522" s="22"/>
      <c r="N4522" s="22"/>
      <c r="O4522" s="22"/>
      <c r="P4522" s="202" t="str">
        <f t="shared" si="1399"/>
        <v/>
      </c>
      <c r="Q4522" s="22"/>
      <c r="R4522" s="22"/>
      <c r="S4522" s="22"/>
      <c r="T4522" s="22"/>
      <c r="U4522" s="22"/>
      <c r="V4522" s="22"/>
      <c r="W4522" s="22"/>
      <c r="X4522" s="104"/>
      <c r="Y4522" s="195" t="str">
        <f t="shared" si="1396"/>
        <v/>
      </c>
      <c r="Z4522" s="196" t="str">
        <f t="shared" si="1397"/>
        <v/>
      </c>
      <c r="AA4522" s="22"/>
      <c r="AB4522" s="197" t="str">
        <f t="shared" si="1402"/>
        <v/>
      </c>
      <c r="AC4522" s="198" t="str">
        <f t="shared" si="1403"/>
        <v/>
      </c>
      <c r="AD4522" s="162"/>
      <c r="AE4522" s="199" t="str">
        <f t="shared" si="1404"/>
        <v/>
      </c>
      <c r="AF4522" s="199" t="str">
        <f>IF(AND(COUNTIFS($J$18:J4522,J4522)=1,AE4522=1),1,"")</f>
        <v/>
      </c>
      <c r="AG4522" s="199" t="str">
        <f>IF(C4522="","",IF(AND(COUNTIFS($J$18:J4522,J4522)=1,C4522&lt;&gt;""),1,""))</f>
        <v/>
      </c>
      <c r="AH4522" s="199" t="str">
        <f>IF(G4522="","",IF(AND(COUNTIFS($J$18:J4522,J4522)=1,G4522&lt;&gt;""),1,""))</f>
        <v/>
      </c>
      <c r="AI4522" s="200">
        <f t="shared" si="1405"/>
        <v>0</v>
      </c>
      <c r="AJ4522" s="200">
        <f t="shared" si="1406"/>
        <v>0</v>
      </c>
      <c r="AK4522" s="201" t="str">
        <f t="shared" si="1407"/>
        <v/>
      </c>
      <c r="AL4522" s="24"/>
      <c r="AM4522" s="24"/>
      <c r="AN4522" s="24"/>
      <c r="AO4522" s="24"/>
      <c r="AP4522" s="165" t="str">
        <f t="shared" si="1408"/>
        <v/>
      </c>
      <c r="AQ4522" s="203" t="str">
        <f t="shared" si="1409"/>
        <v/>
      </c>
      <c r="AR4522" s="206">
        <f t="shared" si="1410"/>
        <v>0</v>
      </c>
      <c r="AS4522" s="22" t="str">
        <f t="shared" si="1411"/>
        <v/>
      </c>
      <c r="AT4522" s="24" t="str">
        <f t="shared" si="1412"/>
        <v/>
      </c>
      <c r="AU4522" s="22" t="s">
        <v>3240</v>
      </c>
    </row>
    <row r="4523" spans="1:47">
      <c r="A4523" s="246" t="str">
        <f t="shared" si="1400"/>
        <v/>
      </c>
      <c r="B4523" s="23"/>
      <c r="C4523" s="23"/>
      <c r="D4523" s="202" t="str">
        <f t="shared" si="1401"/>
        <v/>
      </c>
      <c r="E4523" s="33" t="str">
        <f t="shared" si="1395"/>
        <v/>
      </c>
      <c r="F4523" s="23"/>
      <c r="G4523" s="23"/>
      <c r="H4523" s="29"/>
      <c r="I4523" s="204" t="str">
        <f t="shared" si="1398"/>
        <v/>
      </c>
      <c r="J4523" s="188"/>
      <c r="K4523" s="29"/>
      <c r="L4523" s="24"/>
      <c r="M4523" s="22"/>
      <c r="N4523" s="22"/>
      <c r="O4523" s="22"/>
      <c r="P4523" s="202" t="str">
        <f t="shared" si="1399"/>
        <v/>
      </c>
      <c r="Q4523" s="22"/>
      <c r="R4523" s="22"/>
      <c r="S4523" s="22"/>
      <c r="T4523" s="22"/>
      <c r="U4523" s="22"/>
      <c r="V4523" s="22"/>
      <c r="W4523" s="22"/>
      <c r="X4523" s="104"/>
      <c r="Y4523" s="195" t="str">
        <f t="shared" si="1396"/>
        <v/>
      </c>
      <c r="Z4523" s="196" t="str">
        <f t="shared" si="1397"/>
        <v/>
      </c>
      <c r="AA4523" s="22"/>
      <c r="AB4523" s="197" t="str">
        <f t="shared" si="1402"/>
        <v/>
      </c>
      <c r="AC4523" s="198" t="str">
        <f t="shared" si="1403"/>
        <v/>
      </c>
      <c r="AD4523" s="162"/>
      <c r="AE4523" s="199" t="str">
        <f t="shared" si="1404"/>
        <v/>
      </c>
      <c r="AF4523" s="199" t="str">
        <f>IF(AND(COUNTIFS($J$18:J4523,J4523)=1,AE4523=1),1,"")</f>
        <v/>
      </c>
      <c r="AG4523" s="199" t="str">
        <f>IF(C4523="","",IF(AND(COUNTIFS($J$18:J4523,J4523)=1,C4523&lt;&gt;""),1,""))</f>
        <v/>
      </c>
      <c r="AH4523" s="199" t="str">
        <f>IF(G4523="","",IF(AND(COUNTIFS($J$18:J4523,J4523)=1,G4523&lt;&gt;""),1,""))</f>
        <v/>
      </c>
      <c r="AI4523" s="200">
        <f t="shared" si="1405"/>
        <v>0</v>
      </c>
      <c r="AJ4523" s="200">
        <f t="shared" si="1406"/>
        <v>0</v>
      </c>
      <c r="AK4523" s="201" t="str">
        <f t="shared" si="1407"/>
        <v/>
      </c>
      <c r="AL4523" s="24"/>
      <c r="AM4523" s="24"/>
      <c r="AN4523" s="24"/>
      <c r="AO4523" s="24"/>
      <c r="AP4523" s="165" t="str">
        <f t="shared" si="1408"/>
        <v/>
      </c>
      <c r="AQ4523" s="203" t="str">
        <f t="shared" si="1409"/>
        <v/>
      </c>
      <c r="AR4523" s="206">
        <f t="shared" si="1410"/>
        <v>0</v>
      </c>
      <c r="AS4523" s="22" t="str">
        <f t="shared" si="1411"/>
        <v/>
      </c>
      <c r="AT4523" s="24" t="str">
        <f t="shared" si="1412"/>
        <v/>
      </c>
      <c r="AU4523" s="22" t="s">
        <v>3240</v>
      </c>
    </row>
    <row r="4524" spans="1:47">
      <c r="A4524" s="246" t="str">
        <f t="shared" si="1400"/>
        <v/>
      </c>
      <c r="B4524" s="23"/>
      <c r="C4524" s="23"/>
      <c r="D4524" s="202" t="str">
        <f t="shared" si="1401"/>
        <v/>
      </c>
      <c r="E4524" s="33" t="str">
        <f t="shared" si="1395"/>
        <v/>
      </c>
      <c r="F4524" s="23"/>
      <c r="G4524" s="23"/>
      <c r="H4524" s="29"/>
      <c r="I4524" s="204" t="str">
        <f t="shared" si="1398"/>
        <v/>
      </c>
      <c r="J4524" s="188"/>
      <c r="K4524" s="29"/>
      <c r="L4524" s="24"/>
      <c r="M4524" s="22"/>
      <c r="N4524" s="22"/>
      <c r="O4524" s="22"/>
      <c r="P4524" s="202" t="str">
        <f t="shared" si="1399"/>
        <v/>
      </c>
      <c r="Q4524" s="22"/>
      <c r="R4524" s="22"/>
      <c r="S4524" s="22"/>
      <c r="T4524" s="22"/>
      <c r="U4524" s="22"/>
      <c r="V4524" s="22"/>
      <c r="W4524" s="22"/>
      <c r="X4524" s="104"/>
      <c r="Y4524" s="195" t="str">
        <f t="shared" si="1396"/>
        <v/>
      </c>
      <c r="Z4524" s="196" t="str">
        <f t="shared" si="1397"/>
        <v/>
      </c>
      <c r="AA4524" s="22"/>
      <c r="AB4524" s="197" t="str">
        <f t="shared" si="1402"/>
        <v/>
      </c>
      <c r="AC4524" s="198" t="str">
        <f t="shared" si="1403"/>
        <v/>
      </c>
      <c r="AD4524" s="162"/>
      <c r="AE4524" s="199" t="str">
        <f t="shared" si="1404"/>
        <v/>
      </c>
      <c r="AF4524" s="199" t="str">
        <f>IF(AND(COUNTIFS($J$18:J4524,J4524)=1,AE4524=1),1,"")</f>
        <v/>
      </c>
      <c r="AG4524" s="199" t="str">
        <f>IF(C4524="","",IF(AND(COUNTIFS($J$18:J4524,J4524)=1,C4524&lt;&gt;""),1,""))</f>
        <v/>
      </c>
      <c r="AH4524" s="199" t="str">
        <f>IF(G4524="","",IF(AND(COUNTIFS($J$18:J4524,J4524)=1,G4524&lt;&gt;""),1,""))</f>
        <v/>
      </c>
      <c r="AI4524" s="200">
        <f t="shared" si="1405"/>
        <v>0</v>
      </c>
      <c r="AJ4524" s="200">
        <f t="shared" si="1406"/>
        <v>0</v>
      </c>
      <c r="AK4524" s="201" t="str">
        <f t="shared" si="1407"/>
        <v/>
      </c>
      <c r="AL4524" s="24"/>
      <c r="AM4524" s="24"/>
      <c r="AN4524" s="24"/>
      <c r="AO4524" s="24"/>
      <c r="AP4524" s="165" t="str">
        <f t="shared" si="1408"/>
        <v/>
      </c>
      <c r="AQ4524" s="203" t="str">
        <f t="shared" si="1409"/>
        <v/>
      </c>
      <c r="AR4524" s="206">
        <f t="shared" si="1410"/>
        <v>0</v>
      </c>
      <c r="AS4524" s="22" t="str">
        <f t="shared" si="1411"/>
        <v/>
      </c>
      <c r="AT4524" s="24" t="str">
        <f t="shared" si="1412"/>
        <v/>
      </c>
      <c r="AU4524" s="22" t="s">
        <v>3240</v>
      </c>
    </row>
    <row r="4525" spans="1:47">
      <c r="A4525" s="246" t="str">
        <f t="shared" si="1400"/>
        <v/>
      </c>
      <c r="B4525" s="23"/>
      <c r="C4525" s="23"/>
      <c r="D4525" s="202" t="str">
        <f t="shared" si="1401"/>
        <v/>
      </c>
      <c r="E4525" s="33" t="str">
        <f t="shared" si="1395"/>
        <v/>
      </c>
      <c r="F4525" s="23"/>
      <c r="G4525" s="23"/>
      <c r="H4525" s="29"/>
      <c r="I4525" s="204" t="str">
        <f t="shared" si="1398"/>
        <v/>
      </c>
      <c r="J4525" s="188"/>
      <c r="K4525" s="29"/>
      <c r="L4525" s="24"/>
      <c r="M4525" s="22"/>
      <c r="N4525" s="22"/>
      <c r="O4525" s="22"/>
      <c r="P4525" s="202" t="str">
        <f t="shared" si="1399"/>
        <v/>
      </c>
      <c r="Q4525" s="22"/>
      <c r="R4525" s="22"/>
      <c r="S4525" s="22"/>
      <c r="T4525" s="22"/>
      <c r="U4525" s="22"/>
      <c r="V4525" s="22"/>
      <c r="W4525" s="22"/>
      <c r="X4525" s="104"/>
      <c r="Y4525" s="195" t="str">
        <f t="shared" si="1396"/>
        <v/>
      </c>
      <c r="Z4525" s="196" t="str">
        <f t="shared" si="1397"/>
        <v/>
      </c>
      <c r="AA4525" s="22"/>
      <c r="AB4525" s="197" t="str">
        <f t="shared" si="1402"/>
        <v/>
      </c>
      <c r="AC4525" s="198" t="str">
        <f t="shared" si="1403"/>
        <v/>
      </c>
      <c r="AD4525" s="162"/>
      <c r="AE4525" s="199" t="str">
        <f t="shared" si="1404"/>
        <v/>
      </c>
      <c r="AF4525" s="199" t="str">
        <f>IF(AND(COUNTIFS($J$18:J4525,J4525)=1,AE4525=1),1,"")</f>
        <v/>
      </c>
      <c r="AG4525" s="199" t="str">
        <f>IF(C4525="","",IF(AND(COUNTIFS($J$18:J4525,J4525)=1,C4525&lt;&gt;""),1,""))</f>
        <v/>
      </c>
      <c r="AH4525" s="199" t="str">
        <f>IF(G4525="","",IF(AND(COUNTIFS($J$18:J4525,J4525)=1,G4525&lt;&gt;""),1,""))</f>
        <v/>
      </c>
      <c r="AI4525" s="200">
        <f t="shared" si="1405"/>
        <v>0</v>
      </c>
      <c r="AJ4525" s="200">
        <f t="shared" si="1406"/>
        <v>0</v>
      </c>
      <c r="AK4525" s="201" t="str">
        <f t="shared" si="1407"/>
        <v/>
      </c>
      <c r="AL4525" s="24"/>
      <c r="AM4525" s="24"/>
      <c r="AN4525" s="24"/>
      <c r="AO4525" s="24"/>
      <c r="AP4525" s="165" t="str">
        <f t="shared" si="1408"/>
        <v/>
      </c>
      <c r="AQ4525" s="203" t="str">
        <f t="shared" si="1409"/>
        <v/>
      </c>
      <c r="AR4525" s="206">
        <f t="shared" si="1410"/>
        <v>0</v>
      </c>
      <c r="AS4525" s="22" t="str">
        <f t="shared" si="1411"/>
        <v/>
      </c>
      <c r="AT4525" s="24" t="str">
        <f t="shared" si="1412"/>
        <v/>
      </c>
      <c r="AU4525" s="22" t="s">
        <v>3240</v>
      </c>
    </row>
    <row r="4526" spans="1:47">
      <c r="A4526" s="246" t="str">
        <f t="shared" si="1400"/>
        <v/>
      </c>
      <c r="B4526" s="23"/>
      <c r="C4526" s="23"/>
      <c r="D4526" s="202" t="str">
        <f t="shared" si="1401"/>
        <v/>
      </c>
      <c r="E4526" s="33" t="str">
        <f t="shared" si="1395"/>
        <v/>
      </c>
      <c r="F4526" s="23"/>
      <c r="G4526" s="23"/>
      <c r="H4526" s="29"/>
      <c r="I4526" s="204" t="str">
        <f t="shared" si="1398"/>
        <v/>
      </c>
      <c r="J4526" s="188"/>
      <c r="K4526" s="29"/>
      <c r="L4526" s="24"/>
      <c r="M4526" s="22"/>
      <c r="N4526" s="22"/>
      <c r="O4526" s="22"/>
      <c r="P4526" s="202" t="str">
        <f t="shared" si="1399"/>
        <v/>
      </c>
      <c r="Q4526" s="22"/>
      <c r="R4526" s="22"/>
      <c r="S4526" s="22"/>
      <c r="T4526" s="22"/>
      <c r="U4526" s="22"/>
      <c r="V4526" s="22"/>
      <c r="W4526" s="22"/>
      <c r="X4526" s="104"/>
      <c r="Y4526" s="195" t="str">
        <f t="shared" si="1396"/>
        <v/>
      </c>
      <c r="Z4526" s="196" t="str">
        <f t="shared" si="1397"/>
        <v/>
      </c>
      <c r="AA4526" s="22"/>
      <c r="AB4526" s="197" t="str">
        <f t="shared" si="1402"/>
        <v/>
      </c>
      <c r="AC4526" s="198" t="str">
        <f t="shared" si="1403"/>
        <v/>
      </c>
      <c r="AD4526" s="162"/>
      <c r="AE4526" s="199" t="str">
        <f t="shared" si="1404"/>
        <v/>
      </c>
      <c r="AF4526" s="199" t="str">
        <f>IF(AND(COUNTIFS($J$18:J4526,J4526)=1,AE4526=1),1,"")</f>
        <v/>
      </c>
      <c r="AG4526" s="199" t="str">
        <f>IF(C4526="","",IF(AND(COUNTIFS($J$18:J4526,J4526)=1,C4526&lt;&gt;""),1,""))</f>
        <v/>
      </c>
      <c r="AH4526" s="199" t="str">
        <f>IF(G4526="","",IF(AND(COUNTIFS($J$18:J4526,J4526)=1,G4526&lt;&gt;""),1,""))</f>
        <v/>
      </c>
      <c r="AI4526" s="200">
        <f t="shared" si="1405"/>
        <v>0</v>
      </c>
      <c r="AJ4526" s="200">
        <f t="shared" si="1406"/>
        <v>0</v>
      </c>
      <c r="AK4526" s="201" t="str">
        <f t="shared" si="1407"/>
        <v/>
      </c>
      <c r="AL4526" s="24"/>
      <c r="AM4526" s="24"/>
      <c r="AN4526" s="24"/>
      <c r="AO4526" s="24"/>
      <c r="AP4526" s="165" t="str">
        <f t="shared" si="1408"/>
        <v/>
      </c>
      <c r="AQ4526" s="203" t="str">
        <f t="shared" si="1409"/>
        <v/>
      </c>
      <c r="AR4526" s="206">
        <f t="shared" si="1410"/>
        <v>0</v>
      </c>
      <c r="AS4526" s="22" t="str">
        <f t="shared" si="1411"/>
        <v/>
      </c>
      <c r="AT4526" s="24" t="str">
        <f t="shared" si="1412"/>
        <v/>
      </c>
      <c r="AU4526" s="22" t="s">
        <v>3240</v>
      </c>
    </row>
    <row r="4527" spans="1:47">
      <c r="A4527" s="246" t="str">
        <f t="shared" si="1400"/>
        <v/>
      </c>
      <c r="B4527" s="23"/>
      <c r="C4527" s="23"/>
      <c r="D4527" s="202" t="str">
        <f t="shared" si="1401"/>
        <v/>
      </c>
      <c r="E4527" s="33" t="str">
        <f t="shared" si="1395"/>
        <v/>
      </c>
      <c r="F4527" s="23"/>
      <c r="G4527" s="23"/>
      <c r="H4527" s="29"/>
      <c r="I4527" s="204" t="str">
        <f t="shared" si="1398"/>
        <v/>
      </c>
      <c r="J4527" s="188"/>
      <c r="K4527" s="29"/>
      <c r="L4527" s="24"/>
      <c r="M4527" s="22"/>
      <c r="N4527" s="22"/>
      <c r="O4527" s="22"/>
      <c r="P4527" s="202" t="str">
        <f t="shared" si="1399"/>
        <v/>
      </c>
      <c r="Q4527" s="22"/>
      <c r="R4527" s="22"/>
      <c r="S4527" s="22"/>
      <c r="T4527" s="22"/>
      <c r="U4527" s="22"/>
      <c r="V4527" s="22"/>
      <c r="W4527" s="22"/>
      <c r="X4527" s="104"/>
      <c r="Y4527" s="195" t="str">
        <f t="shared" si="1396"/>
        <v/>
      </c>
      <c r="Z4527" s="196" t="str">
        <f t="shared" si="1397"/>
        <v/>
      </c>
      <c r="AA4527" s="22"/>
      <c r="AB4527" s="197" t="str">
        <f t="shared" si="1402"/>
        <v/>
      </c>
      <c r="AC4527" s="198" t="str">
        <f t="shared" si="1403"/>
        <v/>
      </c>
      <c r="AD4527" s="162"/>
      <c r="AE4527" s="199" t="str">
        <f t="shared" si="1404"/>
        <v/>
      </c>
      <c r="AF4527" s="199" t="str">
        <f>IF(AND(COUNTIFS($J$18:J4527,J4527)=1,AE4527=1),1,"")</f>
        <v/>
      </c>
      <c r="AG4527" s="199" t="str">
        <f>IF(C4527="","",IF(AND(COUNTIFS($J$18:J4527,J4527)=1,C4527&lt;&gt;""),1,""))</f>
        <v/>
      </c>
      <c r="AH4527" s="199" t="str">
        <f>IF(G4527="","",IF(AND(COUNTIFS($J$18:J4527,J4527)=1,G4527&lt;&gt;""),1,""))</f>
        <v/>
      </c>
      <c r="AI4527" s="200">
        <f t="shared" si="1405"/>
        <v>0</v>
      </c>
      <c r="AJ4527" s="200">
        <f t="shared" si="1406"/>
        <v>0</v>
      </c>
      <c r="AK4527" s="201" t="str">
        <f t="shared" si="1407"/>
        <v/>
      </c>
      <c r="AL4527" s="24"/>
      <c r="AM4527" s="24"/>
      <c r="AN4527" s="24"/>
      <c r="AO4527" s="24"/>
      <c r="AP4527" s="165" t="str">
        <f t="shared" si="1408"/>
        <v/>
      </c>
      <c r="AQ4527" s="203" t="str">
        <f t="shared" si="1409"/>
        <v/>
      </c>
      <c r="AR4527" s="206">
        <f t="shared" si="1410"/>
        <v>0</v>
      </c>
      <c r="AS4527" s="22" t="str">
        <f t="shared" si="1411"/>
        <v/>
      </c>
      <c r="AT4527" s="24" t="str">
        <f t="shared" si="1412"/>
        <v/>
      </c>
      <c r="AU4527" s="22" t="s">
        <v>3240</v>
      </c>
    </row>
    <row r="4528" spans="1:47">
      <c r="A4528" s="246" t="str">
        <f t="shared" si="1400"/>
        <v/>
      </c>
      <c r="B4528" s="23"/>
      <c r="C4528" s="23"/>
      <c r="D4528" s="202" t="str">
        <f t="shared" si="1401"/>
        <v/>
      </c>
      <c r="E4528" s="33" t="str">
        <f t="shared" si="1395"/>
        <v/>
      </c>
      <c r="F4528" s="23"/>
      <c r="G4528" s="23"/>
      <c r="H4528" s="29"/>
      <c r="I4528" s="204" t="str">
        <f t="shared" si="1398"/>
        <v/>
      </c>
      <c r="J4528" s="188"/>
      <c r="K4528" s="29"/>
      <c r="L4528" s="24"/>
      <c r="M4528" s="22"/>
      <c r="N4528" s="22"/>
      <c r="O4528" s="22"/>
      <c r="P4528" s="202" t="str">
        <f t="shared" si="1399"/>
        <v/>
      </c>
      <c r="Q4528" s="22"/>
      <c r="R4528" s="22"/>
      <c r="S4528" s="22"/>
      <c r="T4528" s="22"/>
      <c r="U4528" s="22"/>
      <c r="V4528" s="22"/>
      <c r="W4528" s="22"/>
      <c r="X4528" s="104"/>
      <c r="Y4528" s="195" t="str">
        <f t="shared" si="1396"/>
        <v/>
      </c>
      <c r="Z4528" s="196" t="str">
        <f t="shared" si="1397"/>
        <v/>
      </c>
      <c r="AA4528" s="22"/>
      <c r="AB4528" s="197" t="str">
        <f t="shared" si="1402"/>
        <v/>
      </c>
      <c r="AC4528" s="198" t="str">
        <f t="shared" si="1403"/>
        <v/>
      </c>
      <c r="AD4528" s="162"/>
      <c r="AE4528" s="199" t="str">
        <f t="shared" si="1404"/>
        <v/>
      </c>
      <c r="AF4528" s="199" t="str">
        <f>IF(AND(COUNTIFS($J$18:J4528,J4528)=1,AE4528=1),1,"")</f>
        <v/>
      </c>
      <c r="AG4528" s="199" t="str">
        <f>IF(C4528="","",IF(AND(COUNTIFS($J$18:J4528,J4528)=1,C4528&lt;&gt;""),1,""))</f>
        <v/>
      </c>
      <c r="AH4528" s="199" t="str">
        <f>IF(G4528="","",IF(AND(COUNTIFS($J$18:J4528,J4528)=1,G4528&lt;&gt;""),1,""))</f>
        <v/>
      </c>
      <c r="AI4528" s="200">
        <f t="shared" si="1405"/>
        <v>0</v>
      </c>
      <c r="AJ4528" s="200">
        <f t="shared" si="1406"/>
        <v>0</v>
      </c>
      <c r="AK4528" s="201" t="str">
        <f t="shared" si="1407"/>
        <v/>
      </c>
      <c r="AL4528" s="24"/>
      <c r="AM4528" s="24"/>
      <c r="AN4528" s="24"/>
      <c r="AO4528" s="24"/>
      <c r="AP4528" s="165" t="str">
        <f t="shared" si="1408"/>
        <v/>
      </c>
      <c r="AQ4528" s="203" t="str">
        <f t="shared" si="1409"/>
        <v/>
      </c>
      <c r="AR4528" s="206">
        <f t="shared" si="1410"/>
        <v>0</v>
      </c>
      <c r="AS4528" s="22" t="str">
        <f t="shared" si="1411"/>
        <v/>
      </c>
      <c r="AT4528" s="24" t="str">
        <f t="shared" si="1412"/>
        <v/>
      </c>
      <c r="AU4528" s="22" t="s">
        <v>3240</v>
      </c>
    </row>
    <row r="4529" spans="1:47">
      <c r="A4529" s="246" t="str">
        <f t="shared" si="1400"/>
        <v/>
      </c>
      <c r="B4529" s="23"/>
      <c r="C4529" s="23"/>
      <c r="D4529" s="202" t="str">
        <f t="shared" si="1401"/>
        <v/>
      </c>
      <c r="E4529" s="33" t="str">
        <f t="shared" si="1395"/>
        <v/>
      </c>
      <c r="F4529" s="23"/>
      <c r="G4529" s="23"/>
      <c r="H4529" s="29"/>
      <c r="I4529" s="204" t="str">
        <f t="shared" si="1398"/>
        <v/>
      </c>
      <c r="J4529" s="188"/>
      <c r="K4529" s="29"/>
      <c r="L4529" s="24"/>
      <c r="M4529" s="22"/>
      <c r="N4529" s="22"/>
      <c r="O4529" s="22"/>
      <c r="P4529" s="202" t="str">
        <f t="shared" si="1399"/>
        <v/>
      </c>
      <c r="Q4529" s="22"/>
      <c r="R4529" s="22"/>
      <c r="S4529" s="22"/>
      <c r="T4529" s="22"/>
      <c r="U4529" s="22"/>
      <c r="V4529" s="22"/>
      <c r="W4529" s="22"/>
      <c r="X4529" s="104"/>
      <c r="Y4529" s="195" t="str">
        <f t="shared" si="1396"/>
        <v/>
      </c>
      <c r="Z4529" s="196" t="str">
        <f t="shared" si="1397"/>
        <v/>
      </c>
      <c r="AA4529" s="22"/>
      <c r="AB4529" s="197" t="str">
        <f t="shared" si="1402"/>
        <v/>
      </c>
      <c r="AC4529" s="198" t="str">
        <f t="shared" si="1403"/>
        <v/>
      </c>
      <c r="AD4529" s="162"/>
      <c r="AE4529" s="199" t="str">
        <f t="shared" si="1404"/>
        <v/>
      </c>
      <c r="AF4529" s="199" t="str">
        <f>IF(AND(COUNTIFS($J$18:J4529,J4529)=1,AE4529=1),1,"")</f>
        <v/>
      </c>
      <c r="AG4529" s="199" t="str">
        <f>IF(C4529="","",IF(AND(COUNTIFS($J$18:J4529,J4529)=1,C4529&lt;&gt;""),1,""))</f>
        <v/>
      </c>
      <c r="AH4529" s="199" t="str">
        <f>IF(G4529="","",IF(AND(COUNTIFS($J$18:J4529,J4529)=1,G4529&lt;&gt;""),1,""))</f>
        <v/>
      </c>
      <c r="AI4529" s="200">
        <f t="shared" si="1405"/>
        <v>0</v>
      </c>
      <c r="AJ4529" s="200">
        <f t="shared" si="1406"/>
        <v>0</v>
      </c>
      <c r="AK4529" s="201" t="str">
        <f t="shared" si="1407"/>
        <v/>
      </c>
      <c r="AL4529" s="24"/>
      <c r="AM4529" s="24"/>
      <c r="AN4529" s="24"/>
      <c r="AO4529" s="24"/>
      <c r="AP4529" s="165" t="str">
        <f t="shared" si="1408"/>
        <v/>
      </c>
      <c r="AQ4529" s="203" t="str">
        <f t="shared" si="1409"/>
        <v/>
      </c>
      <c r="AR4529" s="206">
        <f t="shared" si="1410"/>
        <v>0</v>
      </c>
      <c r="AS4529" s="22" t="str">
        <f t="shared" si="1411"/>
        <v/>
      </c>
      <c r="AT4529" s="24" t="str">
        <f t="shared" si="1412"/>
        <v/>
      </c>
      <c r="AU4529" s="22" t="s">
        <v>3240</v>
      </c>
    </row>
    <row r="4530" spans="1:47">
      <c r="A4530" s="246" t="str">
        <f t="shared" si="1400"/>
        <v/>
      </c>
      <c r="B4530" s="23"/>
      <c r="C4530" s="23"/>
      <c r="D4530" s="202" t="str">
        <f t="shared" si="1401"/>
        <v/>
      </c>
      <c r="E4530" s="33" t="str">
        <f t="shared" si="1395"/>
        <v/>
      </c>
      <c r="F4530" s="23"/>
      <c r="G4530" s="23"/>
      <c r="H4530" s="29"/>
      <c r="I4530" s="204" t="str">
        <f t="shared" si="1398"/>
        <v/>
      </c>
      <c r="J4530" s="188"/>
      <c r="K4530" s="29"/>
      <c r="L4530" s="24"/>
      <c r="M4530" s="22"/>
      <c r="N4530" s="22"/>
      <c r="O4530" s="22"/>
      <c r="P4530" s="202" t="str">
        <f t="shared" si="1399"/>
        <v/>
      </c>
      <c r="Q4530" s="22"/>
      <c r="R4530" s="22"/>
      <c r="S4530" s="22"/>
      <c r="T4530" s="22"/>
      <c r="U4530" s="22"/>
      <c r="V4530" s="22"/>
      <c r="W4530" s="22"/>
      <c r="X4530" s="104"/>
      <c r="Y4530" s="195" t="str">
        <f t="shared" si="1396"/>
        <v/>
      </c>
      <c r="Z4530" s="196" t="str">
        <f t="shared" si="1397"/>
        <v/>
      </c>
      <c r="AA4530" s="22"/>
      <c r="AB4530" s="197" t="str">
        <f t="shared" si="1402"/>
        <v/>
      </c>
      <c r="AC4530" s="198" t="str">
        <f t="shared" si="1403"/>
        <v/>
      </c>
      <c r="AD4530" s="162"/>
      <c r="AE4530" s="199" t="str">
        <f t="shared" si="1404"/>
        <v/>
      </c>
      <c r="AF4530" s="199" t="str">
        <f>IF(AND(COUNTIFS($J$18:J4530,J4530)=1,AE4530=1),1,"")</f>
        <v/>
      </c>
      <c r="AG4530" s="199" t="str">
        <f>IF(C4530="","",IF(AND(COUNTIFS($J$18:J4530,J4530)=1,C4530&lt;&gt;""),1,""))</f>
        <v/>
      </c>
      <c r="AH4530" s="199" t="str">
        <f>IF(G4530="","",IF(AND(COUNTIFS($J$18:J4530,J4530)=1,G4530&lt;&gt;""),1,""))</f>
        <v/>
      </c>
      <c r="AI4530" s="200">
        <f t="shared" si="1405"/>
        <v>0</v>
      </c>
      <c r="AJ4530" s="200">
        <f t="shared" si="1406"/>
        <v>0</v>
      </c>
      <c r="AK4530" s="201" t="str">
        <f t="shared" si="1407"/>
        <v/>
      </c>
      <c r="AL4530" s="24"/>
      <c r="AM4530" s="24"/>
      <c r="AN4530" s="24"/>
      <c r="AO4530" s="24"/>
      <c r="AP4530" s="165" t="str">
        <f t="shared" si="1408"/>
        <v/>
      </c>
      <c r="AQ4530" s="203" t="str">
        <f t="shared" si="1409"/>
        <v/>
      </c>
      <c r="AR4530" s="206">
        <f t="shared" si="1410"/>
        <v>0</v>
      </c>
      <c r="AS4530" s="22" t="str">
        <f t="shared" si="1411"/>
        <v/>
      </c>
      <c r="AT4530" s="24" t="str">
        <f t="shared" si="1412"/>
        <v/>
      </c>
      <c r="AU4530" s="22" t="s">
        <v>3240</v>
      </c>
    </row>
    <row r="4531" spans="1:47">
      <c r="A4531" s="246" t="str">
        <f t="shared" si="1400"/>
        <v/>
      </c>
      <c r="B4531" s="23"/>
      <c r="C4531" s="23"/>
      <c r="D4531" s="202" t="str">
        <f t="shared" si="1401"/>
        <v/>
      </c>
      <c r="E4531" s="33" t="str">
        <f t="shared" si="1395"/>
        <v/>
      </c>
      <c r="F4531" s="23"/>
      <c r="G4531" s="23"/>
      <c r="H4531" s="29"/>
      <c r="I4531" s="204" t="str">
        <f t="shared" si="1398"/>
        <v/>
      </c>
      <c r="J4531" s="188"/>
      <c r="K4531" s="29"/>
      <c r="L4531" s="24"/>
      <c r="M4531" s="22"/>
      <c r="N4531" s="22"/>
      <c r="O4531" s="22"/>
      <c r="P4531" s="202" t="str">
        <f t="shared" si="1399"/>
        <v/>
      </c>
      <c r="Q4531" s="22"/>
      <c r="R4531" s="22"/>
      <c r="S4531" s="22"/>
      <c r="T4531" s="22"/>
      <c r="U4531" s="22"/>
      <c r="V4531" s="22"/>
      <c r="W4531" s="22"/>
      <c r="X4531" s="104"/>
      <c r="Y4531" s="195" t="str">
        <f t="shared" si="1396"/>
        <v/>
      </c>
      <c r="Z4531" s="196" t="str">
        <f t="shared" si="1397"/>
        <v/>
      </c>
      <c r="AA4531" s="22"/>
      <c r="AB4531" s="197" t="str">
        <f t="shared" si="1402"/>
        <v/>
      </c>
      <c r="AC4531" s="198" t="str">
        <f t="shared" si="1403"/>
        <v/>
      </c>
      <c r="AD4531" s="162"/>
      <c r="AE4531" s="199" t="str">
        <f t="shared" si="1404"/>
        <v/>
      </c>
      <c r="AF4531" s="199" t="str">
        <f>IF(AND(COUNTIFS($J$18:J4531,J4531)=1,AE4531=1),1,"")</f>
        <v/>
      </c>
      <c r="AG4531" s="199" t="str">
        <f>IF(C4531="","",IF(AND(COUNTIFS($J$18:J4531,J4531)=1,C4531&lt;&gt;""),1,""))</f>
        <v/>
      </c>
      <c r="AH4531" s="199" t="str">
        <f>IF(G4531="","",IF(AND(COUNTIFS($J$18:J4531,J4531)=1,G4531&lt;&gt;""),1,""))</f>
        <v/>
      </c>
      <c r="AI4531" s="200">
        <f t="shared" si="1405"/>
        <v>0</v>
      </c>
      <c r="AJ4531" s="200">
        <f t="shared" si="1406"/>
        <v>0</v>
      </c>
      <c r="AK4531" s="201" t="str">
        <f t="shared" si="1407"/>
        <v/>
      </c>
      <c r="AL4531" s="24"/>
      <c r="AM4531" s="24"/>
      <c r="AN4531" s="24"/>
      <c r="AO4531" s="24"/>
      <c r="AP4531" s="165" t="str">
        <f t="shared" si="1408"/>
        <v/>
      </c>
      <c r="AQ4531" s="203" t="str">
        <f t="shared" si="1409"/>
        <v/>
      </c>
      <c r="AR4531" s="206">
        <f t="shared" si="1410"/>
        <v>0</v>
      </c>
      <c r="AS4531" s="22" t="str">
        <f t="shared" si="1411"/>
        <v/>
      </c>
      <c r="AT4531" s="24" t="str">
        <f t="shared" si="1412"/>
        <v/>
      </c>
      <c r="AU4531" s="22" t="s">
        <v>3240</v>
      </c>
    </row>
    <row r="4532" spans="1:47">
      <c r="A4532" s="246" t="str">
        <f t="shared" si="1400"/>
        <v/>
      </c>
      <c r="B4532" s="23"/>
      <c r="C4532" s="23"/>
      <c r="D4532" s="202" t="str">
        <f t="shared" si="1401"/>
        <v/>
      </c>
      <c r="E4532" s="33" t="str">
        <f t="shared" si="1395"/>
        <v/>
      </c>
      <c r="F4532" s="23"/>
      <c r="G4532" s="23"/>
      <c r="H4532" s="29"/>
      <c r="I4532" s="204" t="str">
        <f t="shared" si="1398"/>
        <v/>
      </c>
      <c r="J4532" s="188"/>
      <c r="K4532" s="29"/>
      <c r="L4532" s="24"/>
      <c r="M4532" s="22"/>
      <c r="N4532" s="22"/>
      <c r="O4532" s="22"/>
      <c r="P4532" s="202" t="str">
        <f t="shared" si="1399"/>
        <v/>
      </c>
      <c r="Q4532" s="22"/>
      <c r="R4532" s="22"/>
      <c r="S4532" s="22"/>
      <c r="T4532" s="22"/>
      <c r="U4532" s="22"/>
      <c r="V4532" s="22"/>
      <c r="W4532" s="22"/>
      <c r="X4532" s="104"/>
      <c r="Y4532" s="195" t="str">
        <f t="shared" si="1396"/>
        <v/>
      </c>
      <c r="Z4532" s="196" t="str">
        <f t="shared" si="1397"/>
        <v/>
      </c>
      <c r="AA4532" s="22"/>
      <c r="AB4532" s="197" t="str">
        <f t="shared" si="1402"/>
        <v/>
      </c>
      <c r="AC4532" s="198" t="str">
        <f t="shared" si="1403"/>
        <v/>
      </c>
      <c r="AD4532" s="162"/>
      <c r="AE4532" s="199" t="str">
        <f t="shared" si="1404"/>
        <v/>
      </c>
      <c r="AF4532" s="199" t="str">
        <f>IF(AND(COUNTIFS($J$18:J4532,J4532)=1,AE4532=1),1,"")</f>
        <v/>
      </c>
      <c r="AG4532" s="199" t="str">
        <f>IF(C4532="","",IF(AND(COUNTIFS($J$18:J4532,J4532)=1,C4532&lt;&gt;""),1,""))</f>
        <v/>
      </c>
      <c r="AH4532" s="199" t="str">
        <f>IF(G4532="","",IF(AND(COUNTIFS($J$18:J4532,J4532)=1,G4532&lt;&gt;""),1,""))</f>
        <v/>
      </c>
      <c r="AI4532" s="200">
        <f t="shared" si="1405"/>
        <v>0</v>
      </c>
      <c r="AJ4532" s="200">
        <f t="shared" si="1406"/>
        <v>0</v>
      </c>
      <c r="AK4532" s="201" t="str">
        <f t="shared" si="1407"/>
        <v/>
      </c>
      <c r="AL4532" s="24"/>
      <c r="AM4532" s="24"/>
      <c r="AN4532" s="24"/>
      <c r="AO4532" s="24"/>
      <c r="AP4532" s="165" t="str">
        <f t="shared" si="1408"/>
        <v/>
      </c>
      <c r="AQ4532" s="203" t="str">
        <f t="shared" si="1409"/>
        <v/>
      </c>
      <c r="AR4532" s="206">
        <f t="shared" si="1410"/>
        <v>0</v>
      </c>
      <c r="AS4532" s="22" t="str">
        <f t="shared" si="1411"/>
        <v/>
      </c>
      <c r="AT4532" s="24" t="str">
        <f t="shared" si="1412"/>
        <v/>
      </c>
      <c r="AU4532" s="22" t="s">
        <v>3240</v>
      </c>
    </row>
    <row r="4533" spans="1:47">
      <c r="A4533" s="246" t="str">
        <f t="shared" si="1400"/>
        <v/>
      </c>
      <c r="B4533" s="23"/>
      <c r="C4533" s="23"/>
      <c r="D4533" s="202" t="str">
        <f t="shared" si="1401"/>
        <v/>
      </c>
      <c r="E4533" s="33" t="str">
        <f t="shared" si="1395"/>
        <v/>
      </c>
      <c r="F4533" s="23"/>
      <c r="G4533" s="23"/>
      <c r="H4533" s="29"/>
      <c r="I4533" s="204" t="str">
        <f t="shared" si="1398"/>
        <v/>
      </c>
      <c r="J4533" s="188"/>
      <c r="K4533" s="29"/>
      <c r="L4533" s="24"/>
      <c r="M4533" s="22"/>
      <c r="N4533" s="22"/>
      <c r="O4533" s="22"/>
      <c r="P4533" s="202" t="str">
        <f t="shared" si="1399"/>
        <v/>
      </c>
      <c r="Q4533" s="22"/>
      <c r="R4533" s="22"/>
      <c r="S4533" s="22"/>
      <c r="T4533" s="22"/>
      <c r="U4533" s="22"/>
      <c r="V4533" s="22"/>
      <c r="W4533" s="22"/>
      <c r="X4533" s="104"/>
      <c r="Y4533" s="195" t="str">
        <f t="shared" si="1396"/>
        <v/>
      </c>
      <c r="Z4533" s="196" t="str">
        <f t="shared" si="1397"/>
        <v/>
      </c>
      <c r="AA4533" s="22"/>
      <c r="AB4533" s="197" t="str">
        <f t="shared" si="1402"/>
        <v/>
      </c>
      <c r="AC4533" s="198" t="str">
        <f t="shared" si="1403"/>
        <v/>
      </c>
      <c r="AD4533" s="162"/>
      <c r="AE4533" s="199" t="str">
        <f t="shared" si="1404"/>
        <v/>
      </c>
      <c r="AF4533" s="199" t="str">
        <f>IF(AND(COUNTIFS($J$18:J4533,J4533)=1,AE4533=1),1,"")</f>
        <v/>
      </c>
      <c r="AG4533" s="199" t="str">
        <f>IF(C4533="","",IF(AND(COUNTIFS($J$18:J4533,J4533)=1,C4533&lt;&gt;""),1,""))</f>
        <v/>
      </c>
      <c r="AH4533" s="199" t="str">
        <f>IF(G4533="","",IF(AND(COUNTIFS($J$18:J4533,J4533)=1,G4533&lt;&gt;""),1,""))</f>
        <v/>
      </c>
      <c r="AI4533" s="200">
        <f t="shared" si="1405"/>
        <v>0</v>
      </c>
      <c r="AJ4533" s="200">
        <f t="shared" si="1406"/>
        <v>0</v>
      </c>
      <c r="AK4533" s="201" t="str">
        <f t="shared" si="1407"/>
        <v/>
      </c>
      <c r="AL4533" s="24"/>
      <c r="AM4533" s="24"/>
      <c r="AN4533" s="24"/>
      <c r="AO4533" s="24"/>
      <c r="AP4533" s="165" t="str">
        <f t="shared" si="1408"/>
        <v/>
      </c>
      <c r="AQ4533" s="203" t="str">
        <f t="shared" si="1409"/>
        <v/>
      </c>
      <c r="AR4533" s="206">
        <f t="shared" si="1410"/>
        <v>0</v>
      </c>
      <c r="AS4533" s="22" t="str">
        <f t="shared" si="1411"/>
        <v/>
      </c>
      <c r="AT4533" s="24" t="str">
        <f t="shared" si="1412"/>
        <v/>
      </c>
      <c r="AU4533" s="22" t="s">
        <v>3240</v>
      </c>
    </row>
    <row r="4534" spans="1:47">
      <c r="A4534" s="246" t="str">
        <f t="shared" si="1400"/>
        <v/>
      </c>
      <c r="B4534" s="23"/>
      <c r="C4534" s="23"/>
      <c r="D4534" s="202" t="str">
        <f t="shared" si="1401"/>
        <v/>
      </c>
      <c r="E4534" s="33" t="str">
        <f t="shared" si="1395"/>
        <v/>
      </c>
      <c r="F4534" s="23"/>
      <c r="G4534" s="23"/>
      <c r="H4534" s="29"/>
      <c r="I4534" s="204" t="str">
        <f t="shared" si="1398"/>
        <v/>
      </c>
      <c r="J4534" s="188"/>
      <c r="K4534" s="29"/>
      <c r="L4534" s="24"/>
      <c r="M4534" s="22"/>
      <c r="N4534" s="22"/>
      <c r="O4534" s="22"/>
      <c r="P4534" s="202" t="str">
        <f t="shared" si="1399"/>
        <v/>
      </c>
      <c r="Q4534" s="22"/>
      <c r="R4534" s="22"/>
      <c r="S4534" s="22"/>
      <c r="T4534" s="22"/>
      <c r="U4534" s="22"/>
      <c r="V4534" s="22"/>
      <c r="W4534" s="22"/>
      <c r="X4534" s="104"/>
      <c r="Y4534" s="195" t="str">
        <f t="shared" si="1396"/>
        <v/>
      </c>
      <c r="Z4534" s="196" t="str">
        <f t="shared" si="1397"/>
        <v/>
      </c>
      <c r="AA4534" s="22"/>
      <c r="AB4534" s="197" t="str">
        <f t="shared" si="1402"/>
        <v/>
      </c>
      <c r="AC4534" s="198" t="str">
        <f t="shared" si="1403"/>
        <v/>
      </c>
      <c r="AD4534" s="162"/>
      <c r="AE4534" s="199" t="str">
        <f t="shared" si="1404"/>
        <v/>
      </c>
      <c r="AF4534" s="199" t="str">
        <f>IF(AND(COUNTIFS($J$18:J4534,J4534)=1,AE4534=1),1,"")</f>
        <v/>
      </c>
      <c r="AG4534" s="199" t="str">
        <f>IF(C4534="","",IF(AND(COUNTIFS($J$18:J4534,J4534)=1,C4534&lt;&gt;""),1,""))</f>
        <v/>
      </c>
      <c r="AH4534" s="199" t="str">
        <f>IF(G4534="","",IF(AND(COUNTIFS($J$18:J4534,J4534)=1,G4534&lt;&gt;""),1,""))</f>
        <v/>
      </c>
      <c r="AI4534" s="200">
        <f t="shared" si="1405"/>
        <v>0</v>
      </c>
      <c r="AJ4534" s="200">
        <f t="shared" si="1406"/>
        <v>0</v>
      </c>
      <c r="AK4534" s="201" t="str">
        <f t="shared" si="1407"/>
        <v/>
      </c>
      <c r="AL4534" s="24"/>
      <c r="AM4534" s="24"/>
      <c r="AN4534" s="24"/>
      <c r="AO4534" s="24"/>
      <c r="AP4534" s="165" t="str">
        <f t="shared" si="1408"/>
        <v/>
      </c>
      <c r="AQ4534" s="203" t="str">
        <f t="shared" si="1409"/>
        <v/>
      </c>
      <c r="AR4534" s="206">
        <f t="shared" si="1410"/>
        <v>0</v>
      </c>
      <c r="AS4534" s="22" t="str">
        <f t="shared" si="1411"/>
        <v/>
      </c>
      <c r="AT4534" s="24" t="str">
        <f t="shared" si="1412"/>
        <v/>
      </c>
      <c r="AU4534" s="22" t="s">
        <v>3240</v>
      </c>
    </row>
    <row r="4535" spans="1:47">
      <c r="A4535" s="246" t="str">
        <f t="shared" si="1400"/>
        <v/>
      </c>
      <c r="B4535" s="23"/>
      <c r="C4535" s="23"/>
      <c r="D4535" s="202" t="str">
        <f t="shared" si="1401"/>
        <v/>
      </c>
      <c r="E4535" s="33" t="str">
        <f t="shared" si="1395"/>
        <v/>
      </c>
      <c r="F4535" s="23"/>
      <c r="G4535" s="23"/>
      <c r="H4535" s="29"/>
      <c r="I4535" s="204" t="str">
        <f t="shared" si="1398"/>
        <v/>
      </c>
      <c r="J4535" s="188"/>
      <c r="K4535" s="29"/>
      <c r="L4535" s="24"/>
      <c r="M4535" s="22"/>
      <c r="N4535" s="22"/>
      <c r="O4535" s="22"/>
      <c r="P4535" s="202" t="str">
        <f t="shared" si="1399"/>
        <v/>
      </c>
      <c r="Q4535" s="22"/>
      <c r="R4535" s="22"/>
      <c r="S4535" s="22"/>
      <c r="T4535" s="22"/>
      <c r="U4535" s="22"/>
      <c r="V4535" s="22"/>
      <c r="W4535" s="22"/>
      <c r="X4535" s="104"/>
      <c r="Y4535" s="195" t="str">
        <f t="shared" si="1396"/>
        <v/>
      </c>
      <c r="Z4535" s="196" t="str">
        <f t="shared" si="1397"/>
        <v/>
      </c>
      <c r="AA4535" s="22"/>
      <c r="AB4535" s="197" t="str">
        <f t="shared" si="1402"/>
        <v/>
      </c>
      <c r="AC4535" s="198" t="str">
        <f t="shared" si="1403"/>
        <v/>
      </c>
      <c r="AD4535" s="162"/>
      <c r="AE4535" s="199" t="str">
        <f t="shared" si="1404"/>
        <v/>
      </c>
      <c r="AF4535" s="199" t="str">
        <f>IF(AND(COUNTIFS($J$18:J4535,J4535)=1,AE4535=1),1,"")</f>
        <v/>
      </c>
      <c r="AG4535" s="199" t="str">
        <f>IF(C4535="","",IF(AND(COUNTIFS($J$18:J4535,J4535)=1,C4535&lt;&gt;""),1,""))</f>
        <v/>
      </c>
      <c r="AH4535" s="199" t="str">
        <f>IF(G4535="","",IF(AND(COUNTIFS($J$18:J4535,J4535)=1,G4535&lt;&gt;""),1,""))</f>
        <v/>
      </c>
      <c r="AI4535" s="200">
        <f t="shared" si="1405"/>
        <v>0</v>
      </c>
      <c r="AJ4535" s="200">
        <f t="shared" si="1406"/>
        <v>0</v>
      </c>
      <c r="AK4535" s="201" t="str">
        <f t="shared" si="1407"/>
        <v/>
      </c>
      <c r="AL4535" s="24"/>
      <c r="AM4535" s="24"/>
      <c r="AN4535" s="24"/>
      <c r="AO4535" s="24"/>
      <c r="AP4535" s="165" t="str">
        <f t="shared" si="1408"/>
        <v/>
      </c>
      <c r="AQ4535" s="203" t="str">
        <f t="shared" si="1409"/>
        <v/>
      </c>
      <c r="AR4535" s="206">
        <f t="shared" si="1410"/>
        <v>0</v>
      </c>
      <c r="AS4535" s="22" t="str">
        <f t="shared" si="1411"/>
        <v/>
      </c>
      <c r="AT4535" s="24" t="str">
        <f t="shared" si="1412"/>
        <v/>
      </c>
      <c r="AU4535" s="22" t="s">
        <v>3240</v>
      </c>
    </row>
    <row r="4536" spans="1:47">
      <c r="A4536" s="246" t="str">
        <f t="shared" si="1400"/>
        <v/>
      </c>
      <c r="B4536" s="23"/>
      <c r="C4536" s="23"/>
      <c r="D4536" s="202" t="str">
        <f t="shared" si="1401"/>
        <v/>
      </c>
      <c r="E4536" s="33" t="str">
        <f t="shared" si="1395"/>
        <v/>
      </c>
      <c r="F4536" s="23"/>
      <c r="G4536" s="23"/>
      <c r="H4536" s="29"/>
      <c r="I4536" s="204" t="str">
        <f t="shared" si="1398"/>
        <v/>
      </c>
      <c r="J4536" s="188"/>
      <c r="K4536" s="29"/>
      <c r="L4536" s="24"/>
      <c r="M4536" s="22"/>
      <c r="N4536" s="22"/>
      <c r="O4536" s="22"/>
      <c r="P4536" s="202" t="str">
        <f t="shared" si="1399"/>
        <v/>
      </c>
      <c r="Q4536" s="22"/>
      <c r="R4536" s="22"/>
      <c r="S4536" s="22"/>
      <c r="T4536" s="22"/>
      <c r="U4536" s="22"/>
      <c r="V4536" s="22"/>
      <c r="W4536" s="22"/>
      <c r="X4536" s="104"/>
      <c r="Y4536" s="195" t="str">
        <f t="shared" si="1396"/>
        <v/>
      </c>
      <c r="Z4536" s="196" t="str">
        <f t="shared" si="1397"/>
        <v/>
      </c>
      <c r="AA4536" s="22"/>
      <c r="AB4536" s="197" t="str">
        <f t="shared" si="1402"/>
        <v/>
      </c>
      <c r="AC4536" s="198" t="str">
        <f t="shared" si="1403"/>
        <v/>
      </c>
      <c r="AD4536" s="162"/>
      <c r="AE4536" s="199" t="str">
        <f t="shared" si="1404"/>
        <v/>
      </c>
      <c r="AF4536" s="199" t="str">
        <f>IF(AND(COUNTIFS($J$18:J4536,J4536)=1,AE4536=1),1,"")</f>
        <v/>
      </c>
      <c r="AG4536" s="199" t="str">
        <f>IF(C4536="","",IF(AND(COUNTIFS($J$18:J4536,J4536)=1,C4536&lt;&gt;""),1,""))</f>
        <v/>
      </c>
      <c r="AH4536" s="199" t="str">
        <f>IF(G4536="","",IF(AND(COUNTIFS($J$18:J4536,J4536)=1,G4536&lt;&gt;""),1,""))</f>
        <v/>
      </c>
      <c r="AI4536" s="200">
        <f t="shared" si="1405"/>
        <v>0</v>
      </c>
      <c r="AJ4536" s="200">
        <f t="shared" si="1406"/>
        <v>0</v>
      </c>
      <c r="AK4536" s="201" t="str">
        <f t="shared" si="1407"/>
        <v/>
      </c>
      <c r="AL4536" s="24"/>
      <c r="AM4536" s="24"/>
      <c r="AN4536" s="24"/>
      <c r="AO4536" s="24"/>
      <c r="AP4536" s="165" t="str">
        <f t="shared" si="1408"/>
        <v/>
      </c>
      <c r="AQ4536" s="203" t="str">
        <f t="shared" si="1409"/>
        <v/>
      </c>
      <c r="AR4536" s="206">
        <f t="shared" si="1410"/>
        <v>0</v>
      </c>
      <c r="AS4536" s="22" t="str">
        <f t="shared" si="1411"/>
        <v/>
      </c>
      <c r="AT4536" s="24" t="str">
        <f t="shared" si="1412"/>
        <v/>
      </c>
      <c r="AU4536" s="22" t="s">
        <v>3240</v>
      </c>
    </row>
    <row r="4537" spans="1:47">
      <c r="A4537" s="246" t="str">
        <f t="shared" si="1400"/>
        <v/>
      </c>
      <c r="B4537" s="23"/>
      <c r="C4537" s="23"/>
      <c r="D4537" s="202" t="str">
        <f t="shared" si="1401"/>
        <v/>
      </c>
      <c r="E4537" s="33" t="str">
        <f t="shared" si="1395"/>
        <v/>
      </c>
      <c r="F4537" s="23"/>
      <c r="G4537" s="23"/>
      <c r="H4537" s="29"/>
      <c r="I4537" s="204" t="str">
        <f t="shared" si="1398"/>
        <v/>
      </c>
      <c r="J4537" s="188"/>
      <c r="K4537" s="29"/>
      <c r="L4537" s="24"/>
      <c r="M4537" s="22"/>
      <c r="N4537" s="22"/>
      <c r="O4537" s="22"/>
      <c r="P4537" s="202" t="str">
        <f t="shared" si="1399"/>
        <v/>
      </c>
      <c r="Q4537" s="22"/>
      <c r="R4537" s="22"/>
      <c r="S4537" s="22"/>
      <c r="T4537" s="22"/>
      <c r="U4537" s="22"/>
      <c r="V4537" s="22"/>
      <c r="W4537" s="22"/>
      <c r="X4537" s="104"/>
      <c r="Y4537" s="195" t="str">
        <f t="shared" si="1396"/>
        <v/>
      </c>
      <c r="Z4537" s="196" t="str">
        <f t="shared" si="1397"/>
        <v/>
      </c>
      <c r="AA4537" s="22"/>
      <c r="AB4537" s="197" t="str">
        <f t="shared" si="1402"/>
        <v/>
      </c>
      <c r="AC4537" s="198" t="str">
        <f t="shared" si="1403"/>
        <v/>
      </c>
      <c r="AD4537" s="162"/>
      <c r="AE4537" s="199" t="str">
        <f t="shared" si="1404"/>
        <v/>
      </c>
      <c r="AF4537" s="199" t="str">
        <f>IF(AND(COUNTIFS($J$18:J4537,J4537)=1,AE4537=1),1,"")</f>
        <v/>
      </c>
      <c r="AG4537" s="199" t="str">
        <f>IF(C4537="","",IF(AND(COUNTIFS($J$18:J4537,J4537)=1,C4537&lt;&gt;""),1,""))</f>
        <v/>
      </c>
      <c r="AH4537" s="199" t="str">
        <f>IF(G4537="","",IF(AND(COUNTIFS($J$18:J4537,J4537)=1,G4537&lt;&gt;""),1,""))</f>
        <v/>
      </c>
      <c r="AI4537" s="200">
        <f t="shared" si="1405"/>
        <v>0</v>
      </c>
      <c r="AJ4537" s="200">
        <f t="shared" si="1406"/>
        <v>0</v>
      </c>
      <c r="AK4537" s="201" t="str">
        <f t="shared" si="1407"/>
        <v/>
      </c>
      <c r="AL4537" s="24"/>
      <c r="AM4537" s="24"/>
      <c r="AN4537" s="24"/>
      <c r="AO4537" s="24"/>
      <c r="AP4537" s="165" t="str">
        <f t="shared" si="1408"/>
        <v/>
      </c>
      <c r="AQ4537" s="203" t="str">
        <f t="shared" si="1409"/>
        <v/>
      </c>
      <c r="AR4537" s="206">
        <f t="shared" si="1410"/>
        <v>0</v>
      </c>
      <c r="AS4537" s="22" t="str">
        <f t="shared" si="1411"/>
        <v/>
      </c>
      <c r="AT4537" s="24" t="str">
        <f t="shared" si="1412"/>
        <v/>
      </c>
      <c r="AU4537" s="22" t="s">
        <v>3240</v>
      </c>
    </row>
    <row r="4538" spans="1:47">
      <c r="A4538" s="246" t="str">
        <f t="shared" si="1400"/>
        <v/>
      </c>
      <c r="B4538" s="23"/>
      <c r="C4538" s="23"/>
      <c r="D4538" s="202" t="str">
        <f t="shared" si="1401"/>
        <v/>
      </c>
      <c r="E4538" s="33" t="str">
        <f t="shared" si="1395"/>
        <v/>
      </c>
      <c r="F4538" s="23"/>
      <c r="G4538" s="23"/>
      <c r="H4538" s="29"/>
      <c r="I4538" s="204" t="str">
        <f t="shared" si="1398"/>
        <v/>
      </c>
      <c r="J4538" s="188"/>
      <c r="K4538" s="29"/>
      <c r="L4538" s="24"/>
      <c r="M4538" s="22"/>
      <c r="N4538" s="22"/>
      <c r="O4538" s="22"/>
      <c r="P4538" s="202" t="str">
        <f t="shared" si="1399"/>
        <v/>
      </c>
      <c r="Q4538" s="22"/>
      <c r="R4538" s="22"/>
      <c r="S4538" s="22"/>
      <c r="T4538" s="22"/>
      <c r="U4538" s="22"/>
      <c r="V4538" s="22"/>
      <c r="W4538" s="22"/>
      <c r="X4538" s="104"/>
      <c r="Y4538" s="195" t="str">
        <f t="shared" si="1396"/>
        <v/>
      </c>
      <c r="Z4538" s="196" t="str">
        <f t="shared" si="1397"/>
        <v/>
      </c>
      <c r="AA4538" s="22"/>
      <c r="AB4538" s="197" t="str">
        <f t="shared" si="1402"/>
        <v/>
      </c>
      <c r="AC4538" s="198" t="str">
        <f t="shared" si="1403"/>
        <v/>
      </c>
      <c r="AD4538" s="162"/>
      <c r="AE4538" s="199" t="str">
        <f t="shared" si="1404"/>
        <v/>
      </c>
      <c r="AF4538" s="199" t="str">
        <f>IF(AND(COUNTIFS($J$18:J4538,J4538)=1,AE4538=1),1,"")</f>
        <v/>
      </c>
      <c r="AG4538" s="199" t="str">
        <f>IF(C4538="","",IF(AND(COUNTIFS($J$18:J4538,J4538)=1,C4538&lt;&gt;""),1,""))</f>
        <v/>
      </c>
      <c r="AH4538" s="199" t="str">
        <f>IF(G4538="","",IF(AND(COUNTIFS($J$18:J4538,J4538)=1,G4538&lt;&gt;""),1,""))</f>
        <v/>
      </c>
      <c r="AI4538" s="200">
        <f t="shared" si="1405"/>
        <v>0</v>
      </c>
      <c r="AJ4538" s="200">
        <f t="shared" si="1406"/>
        <v>0</v>
      </c>
      <c r="AK4538" s="201" t="str">
        <f t="shared" si="1407"/>
        <v/>
      </c>
      <c r="AL4538" s="24"/>
      <c r="AM4538" s="24"/>
      <c r="AN4538" s="24"/>
      <c r="AO4538" s="24"/>
      <c r="AP4538" s="165" t="str">
        <f t="shared" si="1408"/>
        <v/>
      </c>
      <c r="AQ4538" s="203" t="str">
        <f t="shared" si="1409"/>
        <v/>
      </c>
      <c r="AR4538" s="206">
        <f t="shared" si="1410"/>
        <v>0</v>
      </c>
      <c r="AS4538" s="22" t="str">
        <f t="shared" si="1411"/>
        <v/>
      </c>
      <c r="AT4538" s="24" t="str">
        <f t="shared" si="1412"/>
        <v/>
      </c>
      <c r="AU4538" s="22" t="s">
        <v>3240</v>
      </c>
    </row>
    <row r="4539" spans="1:47">
      <c r="A4539" s="246" t="str">
        <f t="shared" si="1400"/>
        <v/>
      </c>
      <c r="B4539" s="23"/>
      <c r="C4539" s="23"/>
      <c r="D4539" s="202" t="str">
        <f t="shared" si="1401"/>
        <v/>
      </c>
      <c r="E4539" s="33" t="str">
        <f t="shared" si="1395"/>
        <v/>
      </c>
      <c r="F4539" s="23"/>
      <c r="G4539" s="23"/>
      <c r="H4539" s="29"/>
      <c r="I4539" s="204" t="str">
        <f t="shared" si="1398"/>
        <v/>
      </c>
      <c r="J4539" s="188"/>
      <c r="K4539" s="29"/>
      <c r="L4539" s="24"/>
      <c r="M4539" s="22"/>
      <c r="N4539" s="22"/>
      <c r="O4539" s="22"/>
      <c r="P4539" s="202" t="str">
        <f t="shared" si="1399"/>
        <v/>
      </c>
      <c r="Q4539" s="22"/>
      <c r="R4539" s="22"/>
      <c r="S4539" s="22"/>
      <c r="T4539" s="22"/>
      <c r="U4539" s="22"/>
      <c r="V4539" s="22"/>
      <c r="W4539" s="22"/>
      <c r="X4539" s="104"/>
      <c r="Y4539" s="195" t="str">
        <f t="shared" si="1396"/>
        <v/>
      </c>
      <c r="Z4539" s="196" t="str">
        <f t="shared" si="1397"/>
        <v/>
      </c>
      <c r="AA4539" s="22"/>
      <c r="AB4539" s="197" t="str">
        <f t="shared" si="1402"/>
        <v/>
      </c>
      <c r="AC4539" s="198" t="str">
        <f t="shared" si="1403"/>
        <v/>
      </c>
      <c r="AD4539" s="162"/>
      <c r="AE4539" s="199" t="str">
        <f t="shared" si="1404"/>
        <v/>
      </c>
      <c r="AF4539" s="199" t="str">
        <f>IF(AND(COUNTIFS($J$18:J4539,J4539)=1,AE4539=1),1,"")</f>
        <v/>
      </c>
      <c r="AG4539" s="199" t="str">
        <f>IF(C4539="","",IF(AND(COUNTIFS($J$18:J4539,J4539)=1,C4539&lt;&gt;""),1,""))</f>
        <v/>
      </c>
      <c r="AH4539" s="199" t="str">
        <f>IF(G4539="","",IF(AND(COUNTIFS($J$18:J4539,J4539)=1,G4539&lt;&gt;""),1,""))</f>
        <v/>
      </c>
      <c r="AI4539" s="200">
        <f t="shared" si="1405"/>
        <v>0</v>
      </c>
      <c r="AJ4539" s="200">
        <f t="shared" si="1406"/>
        <v>0</v>
      </c>
      <c r="AK4539" s="201" t="str">
        <f t="shared" si="1407"/>
        <v/>
      </c>
      <c r="AL4539" s="24"/>
      <c r="AM4539" s="24"/>
      <c r="AN4539" s="24"/>
      <c r="AO4539" s="24"/>
      <c r="AP4539" s="165" t="str">
        <f t="shared" si="1408"/>
        <v/>
      </c>
      <c r="AQ4539" s="203" t="str">
        <f t="shared" si="1409"/>
        <v/>
      </c>
      <c r="AR4539" s="206">
        <f t="shared" si="1410"/>
        <v>0</v>
      </c>
      <c r="AS4539" s="22" t="str">
        <f t="shared" si="1411"/>
        <v/>
      </c>
      <c r="AT4539" s="24" t="str">
        <f t="shared" si="1412"/>
        <v/>
      </c>
      <c r="AU4539" s="22" t="s">
        <v>3240</v>
      </c>
    </row>
    <row r="4540" spans="1:47">
      <c r="A4540" s="246" t="str">
        <f t="shared" si="1400"/>
        <v/>
      </c>
      <c r="B4540" s="23"/>
      <c r="C4540" s="23"/>
      <c r="D4540" s="202" t="str">
        <f t="shared" si="1401"/>
        <v/>
      </c>
      <c r="E4540" s="33" t="str">
        <f t="shared" si="1395"/>
        <v/>
      </c>
      <c r="F4540" s="23"/>
      <c r="G4540" s="23"/>
      <c r="H4540" s="29"/>
      <c r="I4540" s="204" t="str">
        <f t="shared" si="1398"/>
        <v/>
      </c>
      <c r="J4540" s="188"/>
      <c r="K4540" s="29"/>
      <c r="L4540" s="24"/>
      <c r="M4540" s="22"/>
      <c r="N4540" s="22"/>
      <c r="O4540" s="22"/>
      <c r="P4540" s="202" t="str">
        <f t="shared" si="1399"/>
        <v/>
      </c>
      <c r="Q4540" s="22"/>
      <c r="R4540" s="22"/>
      <c r="S4540" s="22"/>
      <c r="T4540" s="22"/>
      <c r="U4540" s="22"/>
      <c r="V4540" s="22"/>
      <c r="W4540" s="22"/>
      <c r="X4540" s="104"/>
      <c r="Y4540" s="195" t="str">
        <f t="shared" si="1396"/>
        <v/>
      </c>
      <c r="Z4540" s="196" t="str">
        <f t="shared" si="1397"/>
        <v/>
      </c>
      <c r="AA4540" s="22"/>
      <c r="AB4540" s="197" t="str">
        <f t="shared" si="1402"/>
        <v/>
      </c>
      <c r="AC4540" s="198" t="str">
        <f t="shared" si="1403"/>
        <v/>
      </c>
      <c r="AD4540" s="162"/>
      <c r="AE4540" s="199" t="str">
        <f t="shared" si="1404"/>
        <v/>
      </c>
      <c r="AF4540" s="199" t="str">
        <f>IF(AND(COUNTIFS($J$18:J4540,J4540)=1,AE4540=1),1,"")</f>
        <v/>
      </c>
      <c r="AG4540" s="199" t="str">
        <f>IF(C4540="","",IF(AND(COUNTIFS($J$18:J4540,J4540)=1,C4540&lt;&gt;""),1,""))</f>
        <v/>
      </c>
      <c r="AH4540" s="199" t="str">
        <f>IF(G4540="","",IF(AND(COUNTIFS($J$18:J4540,J4540)=1,G4540&lt;&gt;""),1,""))</f>
        <v/>
      </c>
      <c r="AI4540" s="200">
        <f t="shared" si="1405"/>
        <v>0</v>
      </c>
      <c r="AJ4540" s="200">
        <f t="shared" si="1406"/>
        <v>0</v>
      </c>
      <c r="AK4540" s="201" t="str">
        <f t="shared" si="1407"/>
        <v/>
      </c>
      <c r="AL4540" s="24"/>
      <c r="AM4540" s="24"/>
      <c r="AN4540" s="24"/>
      <c r="AO4540" s="24"/>
      <c r="AP4540" s="165" t="str">
        <f t="shared" si="1408"/>
        <v/>
      </c>
      <c r="AQ4540" s="203" t="str">
        <f t="shared" si="1409"/>
        <v/>
      </c>
      <c r="AR4540" s="206">
        <f t="shared" si="1410"/>
        <v>0</v>
      </c>
      <c r="AS4540" s="22" t="str">
        <f t="shared" si="1411"/>
        <v/>
      </c>
      <c r="AT4540" s="24" t="str">
        <f t="shared" si="1412"/>
        <v/>
      </c>
      <c r="AU4540" s="22" t="s">
        <v>3240</v>
      </c>
    </row>
    <row r="4541" spans="1:47">
      <c r="A4541" s="246" t="str">
        <f t="shared" si="1400"/>
        <v/>
      </c>
      <c r="B4541" s="23"/>
      <c r="C4541" s="23"/>
      <c r="D4541" s="202" t="str">
        <f t="shared" si="1401"/>
        <v/>
      </c>
      <c r="E4541" s="33" t="str">
        <f t="shared" si="1395"/>
        <v/>
      </c>
      <c r="F4541" s="23"/>
      <c r="G4541" s="23"/>
      <c r="H4541" s="29"/>
      <c r="I4541" s="204" t="str">
        <f t="shared" si="1398"/>
        <v/>
      </c>
      <c r="J4541" s="188"/>
      <c r="K4541" s="29"/>
      <c r="L4541" s="24"/>
      <c r="M4541" s="22"/>
      <c r="N4541" s="22"/>
      <c r="O4541" s="22"/>
      <c r="P4541" s="202" t="str">
        <f t="shared" si="1399"/>
        <v/>
      </c>
      <c r="Q4541" s="22"/>
      <c r="R4541" s="22"/>
      <c r="S4541" s="22"/>
      <c r="T4541" s="22"/>
      <c r="U4541" s="22"/>
      <c r="V4541" s="22"/>
      <c r="W4541" s="22"/>
      <c r="X4541" s="104"/>
      <c r="Y4541" s="195" t="str">
        <f t="shared" si="1396"/>
        <v/>
      </c>
      <c r="Z4541" s="196" t="str">
        <f t="shared" si="1397"/>
        <v/>
      </c>
      <c r="AA4541" s="22"/>
      <c r="AB4541" s="197" t="str">
        <f t="shared" si="1402"/>
        <v/>
      </c>
      <c r="AC4541" s="198" t="str">
        <f t="shared" si="1403"/>
        <v/>
      </c>
      <c r="AD4541" s="162"/>
      <c r="AE4541" s="199" t="str">
        <f t="shared" si="1404"/>
        <v/>
      </c>
      <c r="AF4541" s="199" t="str">
        <f>IF(AND(COUNTIFS($J$18:J4541,J4541)=1,AE4541=1),1,"")</f>
        <v/>
      </c>
      <c r="AG4541" s="199" t="str">
        <f>IF(C4541="","",IF(AND(COUNTIFS($J$18:J4541,J4541)=1,C4541&lt;&gt;""),1,""))</f>
        <v/>
      </c>
      <c r="AH4541" s="199" t="str">
        <f>IF(G4541="","",IF(AND(COUNTIFS($J$18:J4541,J4541)=1,G4541&lt;&gt;""),1,""))</f>
        <v/>
      </c>
      <c r="AI4541" s="200">
        <f t="shared" si="1405"/>
        <v>0</v>
      </c>
      <c r="AJ4541" s="200">
        <f t="shared" si="1406"/>
        <v>0</v>
      </c>
      <c r="AK4541" s="201" t="str">
        <f t="shared" si="1407"/>
        <v/>
      </c>
      <c r="AL4541" s="24"/>
      <c r="AM4541" s="24"/>
      <c r="AN4541" s="24"/>
      <c r="AO4541" s="24"/>
      <c r="AP4541" s="165" t="str">
        <f t="shared" si="1408"/>
        <v/>
      </c>
      <c r="AQ4541" s="203" t="str">
        <f t="shared" si="1409"/>
        <v/>
      </c>
      <c r="AR4541" s="206">
        <f t="shared" si="1410"/>
        <v>0</v>
      </c>
      <c r="AS4541" s="22" t="str">
        <f t="shared" si="1411"/>
        <v/>
      </c>
      <c r="AT4541" s="24" t="str">
        <f t="shared" si="1412"/>
        <v/>
      </c>
      <c r="AU4541" s="22" t="s">
        <v>3240</v>
      </c>
    </row>
    <row r="4542" spans="1:47">
      <c r="A4542" s="246" t="str">
        <f t="shared" si="1400"/>
        <v/>
      </c>
      <c r="B4542" s="23"/>
      <c r="C4542" s="23"/>
      <c r="D4542" s="202" t="str">
        <f t="shared" si="1401"/>
        <v/>
      </c>
      <c r="E4542" s="33" t="str">
        <f t="shared" si="1395"/>
        <v/>
      </c>
      <c r="F4542" s="23"/>
      <c r="G4542" s="23"/>
      <c r="H4542" s="29"/>
      <c r="I4542" s="204" t="str">
        <f t="shared" si="1398"/>
        <v/>
      </c>
      <c r="J4542" s="188"/>
      <c r="K4542" s="29"/>
      <c r="L4542" s="24"/>
      <c r="M4542" s="22"/>
      <c r="N4542" s="22"/>
      <c r="O4542" s="22"/>
      <c r="P4542" s="202" t="str">
        <f t="shared" si="1399"/>
        <v/>
      </c>
      <c r="Q4542" s="22"/>
      <c r="R4542" s="22"/>
      <c r="S4542" s="22"/>
      <c r="T4542" s="22"/>
      <c r="U4542" s="22"/>
      <c r="V4542" s="22"/>
      <c r="W4542" s="22"/>
      <c r="X4542" s="104"/>
      <c r="Y4542" s="195" t="str">
        <f t="shared" si="1396"/>
        <v/>
      </c>
      <c r="Z4542" s="196" t="str">
        <f t="shared" si="1397"/>
        <v/>
      </c>
      <c r="AA4542" s="22"/>
      <c r="AB4542" s="197" t="str">
        <f t="shared" si="1402"/>
        <v/>
      </c>
      <c r="AC4542" s="198" t="str">
        <f t="shared" si="1403"/>
        <v/>
      </c>
      <c r="AD4542" s="162"/>
      <c r="AE4542" s="199" t="str">
        <f t="shared" si="1404"/>
        <v/>
      </c>
      <c r="AF4542" s="199" t="str">
        <f>IF(AND(COUNTIFS($J$18:J4542,J4542)=1,AE4542=1),1,"")</f>
        <v/>
      </c>
      <c r="AG4542" s="199" t="str">
        <f>IF(C4542="","",IF(AND(COUNTIFS($J$18:J4542,J4542)=1,C4542&lt;&gt;""),1,""))</f>
        <v/>
      </c>
      <c r="AH4542" s="199" t="str">
        <f>IF(G4542="","",IF(AND(COUNTIFS($J$18:J4542,J4542)=1,G4542&lt;&gt;""),1,""))</f>
        <v/>
      </c>
      <c r="AI4542" s="200">
        <f t="shared" si="1405"/>
        <v>0</v>
      </c>
      <c r="AJ4542" s="200">
        <f t="shared" si="1406"/>
        <v>0</v>
      </c>
      <c r="AK4542" s="201" t="str">
        <f t="shared" si="1407"/>
        <v/>
      </c>
      <c r="AL4542" s="24"/>
      <c r="AM4542" s="24"/>
      <c r="AN4542" s="24"/>
      <c r="AO4542" s="24"/>
      <c r="AP4542" s="165" t="str">
        <f t="shared" si="1408"/>
        <v/>
      </c>
      <c r="AQ4542" s="203" t="str">
        <f t="shared" si="1409"/>
        <v/>
      </c>
      <c r="AR4542" s="206">
        <f t="shared" si="1410"/>
        <v>0</v>
      </c>
      <c r="AS4542" s="22" t="str">
        <f t="shared" si="1411"/>
        <v/>
      </c>
      <c r="AT4542" s="24" t="str">
        <f t="shared" si="1412"/>
        <v/>
      </c>
      <c r="AU4542" s="22" t="s">
        <v>3240</v>
      </c>
    </row>
    <row r="4543" spans="1:47">
      <c r="A4543" s="246" t="str">
        <f t="shared" si="1400"/>
        <v/>
      </c>
      <c r="B4543" s="23"/>
      <c r="C4543" s="23"/>
      <c r="D4543" s="202" t="str">
        <f t="shared" si="1401"/>
        <v/>
      </c>
      <c r="E4543" s="33" t="str">
        <f t="shared" si="1395"/>
        <v/>
      </c>
      <c r="F4543" s="23"/>
      <c r="G4543" s="23"/>
      <c r="H4543" s="29"/>
      <c r="I4543" s="204" t="str">
        <f t="shared" si="1398"/>
        <v/>
      </c>
      <c r="J4543" s="188"/>
      <c r="K4543" s="29"/>
      <c r="L4543" s="24"/>
      <c r="M4543" s="22"/>
      <c r="N4543" s="22"/>
      <c r="O4543" s="22"/>
      <c r="P4543" s="202" t="str">
        <f t="shared" si="1399"/>
        <v/>
      </c>
      <c r="Q4543" s="22"/>
      <c r="R4543" s="22"/>
      <c r="S4543" s="22"/>
      <c r="T4543" s="22"/>
      <c r="U4543" s="22"/>
      <c r="V4543" s="22"/>
      <c r="W4543" s="22"/>
      <c r="X4543" s="104"/>
      <c r="Y4543" s="195" t="str">
        <f t="shared" si="1396"/>
        <v/>
      </c>
      <c r="Z4543" s="196" t="str">
        <f t="shared" si="1397"/>
        <v/>
      </c>
      <c r="AA4543" s="22"/>
      <c r="AB4543" s="197" t="str">
        <f t="shared" si="1402"/>
        <v/>
      </c>
      <c r="AC4543" s="198" t="str">
        <f t="shared" si="1403"/>
        <v/>
      </c>
      <c r="AD4543" s="162"/>
      <c r="AE4543" s="199" t="str">
        <f t="shared" si="1404"/>
        <v/>
      </c>
      <c r="AF4543" s="199" t="str">
        <f>IF(AND(COUNTIFS($J$18:J4543,J4543)=1,AE4543=1),1,"")</f>
        <v/>
      </c>
      <c r="AG4543" s="199" t="str">
        <f>IF(C4543="","",IF(AND(COUNTIFS($J$18:J4543,J4543)=1,C4543&lt;&gt;""),1,""))</f>
        <v/>
      </c>
      <c r="AH4543" s="199" t="str">
        <f>IF(G4543="","",IF(AND(COUNTIFS($J$18:J4543,J4543)=1,G4543&lt;&gt;""),1,""))</f>
        <v/>
      </c>
      <c r="AI4543" s="200">
        <f t="shared" si="1405"/>
        <v>0</v>
      </c>
      <c r="AJ4543" s="200">
        <f t="shared" si="1406"/>
        <v>0</v>
      </c>
      <c r="AK4543" s="201" t="str">
        <f t="shared" si="1407"/>
        <v/>
      </c>
      <c r="AL4543" s="24"/>
      <c r="AM4543" s="24"/>
      <c r="AN4543" s="24"/>
      <c r="AO4543" s="24"/>
      <c r="AP4543" s="165" t="str">
        <f t="shared" si="1408"/>
        <v/>
      </c>
      <c r="AQ4543" s="203" t="str">
        <f t="shared" si="1409"/>
        <v/>
      </c>
      <c r="AR4543" s="206">
        <f t="shared" si="1410"/>
        <v>0</v>
      </c>
      <c r="AS4543" s="22" t="str">
        <f t="shared" si="1411"/>
        <v/>
      </c>
      <c r="AT4543" s="24" t="str">
        <f t="shared" si="1412"/>
        <v/>
      </c>
      <c r="AU4543" s="22" t="s">
        <v>3240</v>
      </c>
    </row>
    <row r="4544" spans="1:47">
      <c r="A4544" s="246" t="str">
        <f t="shared" si="1400"/>
        <v/>
      </c>
      <c r="B4544" s="23"/>
      <c r="C4544" s="23"/>
      <c r="D4544" s="202" t="str">
        <f t="shared" si="1401"/>
        <v/>
      </c>
      <c r="E4544" s="33" t="str">
        <f t="shared" si="1395"/>
        <v/>
      </c>
      <c r="F4544" s="23"/>
      <c r="G4544" s="23"/>
      <c r="H4544" s="29"/>
      <c r="I4544" s="204" t="str">
        <f t="shared" si="1398"/>
        <v/>
      </c>
      <c r="J4544" s="188"/>
      <c r="K4544" s="29"/>
      <c r="L4544" s="24"/>
      <c r="M4544" s="22"/>
      <c r="N4544" s="22"/>
      <c r="O4544" s="22"/>
      <c r="P4544" s="202" t="str">
        <f t="shared" si="1399"/>
        <v/>
      </c>
      <c r="Q4544" s="22"/>
      <c r="R4544" s="22"/>
      <c r="S4544" s="22"/>
      <c r="T4544" s="22"/>
      <c r="U4544" s="22"/>
      <c r="V4544" s="22"/>
      <c r="W4544" s="22"/>
      <c r="X4544" s="104"/>
      <c r="Y4544" s="195" t="str">
        <f t="shared" si="1396"/>
        <v/>
      </c>
      <c r="Z4544" s="196" t="str">
        <f t="shared" si="1397"/>
        <v/>
      </c>
      <c r="AA4544" s="22"/>
      <c r="AB4544" s="197" t="str">
        <f t="shared" si="1402"/>
        <v/>
      </c>
      <c r="AC4544" s="198" t="str">
        <f t="shared" si="1403"/>
        <v/>
      </c>
      <c r="AD4544" s="162"/>
      <c r="AE4544" s="199" t="str">
        <f t="shared" si="1404"/>
        <v/>
      </c>
      <c r="AF4544" s="199" t="str">
        <f>IF(AND(COUNTIFS($J$18:J4544,J4544)=1,AE4544=1),1,"")</f>
        <v/>
      </c>
      <c r="AG4544" s="199" t="str">
        <f>IF(C4544="","",IF(AND(COUNTIFS($J$18:J4544,J4544)=1,C4544&lt;&gt;""),1,""))</f>
        <v/>
      </c>
      <c r="AH4544" s="199" t="str">
        <f>IF(G4544="","",IF(AND(COUNTIFS($J$18:J4544,J4544)=1,G4544&lt;&gt;""),1,""))</f>
        <v/>
      </c>
      <c r="AI4544" s="200">
        <f t="shared" si="1405"/>
        <v>0</v>
      </c>
      <c r="AJ4544" s="200">
        <f t="shared" si="1406"/>
        <v>0</v>
      </c>
      <c r="AK4544" s="201" t="str">
        <f t="shared" si="1407"/>
        <v/>
      </c>
      <c r="AL4544" s="24"/>
      <c r="AM4544" s="24"/>
      <c r="AN4544" s="24"/>
      <c r="AO4544" s="24"/>
      <c r="AP4544" s="165" t="str">
        <f t="shared" si="1408"/>
        <v/>
      </c>
      <c r="AQ4544" s="203" t="str">
        <f t="shared" si="1409"/>
        <v/>
      </c>
      <c r="AR4544" s="206">
        <f t="shared" si="1410"/>
        <v>0</v>
      </c>
      <c r="AS4544" s="22" t="str">
        <f t="shared" si="1411"/>
        <v/>
      </c>
      <c r="AT4544" s="24" t="str">
        <f t="shared" si="1412"/>
        <v/>
      </c>
      <c r="AU4544" s="22" t="s">
        <v>3240</v>
      </c>
    </row>
    <row r="4545" spans="1:47">
      <c r="A4545" s="246" t="str">
        <f t="shared" si="1400"/>
        <v/>
      </c>
      <c r="B4545" s="23"/>
      <c r="C4545" s="23"/>
      <c r="D4545" s="202" t="str">
        <f t="shared" si="1401"/>
        <v/>
      </c>
      <c r="E4545" s="33" t="str">
        <f t="shared" si="1395"/>
        <v/>
      </c>
      <c r="F4545" s="23"/>
      <c r="G4545" s="23"/>
      <c r="H4545" s="29"/>
      <c r="I4545" s="204" t="str">
        <f t="shared" si="1398"/>
        <v/>
      </c>
      <c r="J4545" s="188"/>
      <c r="K4545" s="29"/>
      <c r="L4545" s="24"/>
      <c r="M4545" s="22"/>
      <c r="N4545" s="22"/>
      <c r="O4545" s="22"/>
      <c r="P4545" s="202" t="str">
        <f t="shared" si="1399"/>
        <v/>
      </c>
      <c r="Q4545" s="22"/>
      <c r="R4545" s="22"/>
      <c r="S4545" s="22"/>
      <c r="T4545" s="22"/>
      <c r="U4545" s="22"/>
      <c r="V4545" s="22"/>
      <c r="W4545" s="22"/>
      <c r="X4545" s="104"/>
      <c r="Y4545" s="195" t="str">
        <f t="shared" si="1396"/>
        <v/>
      </c>
      <c r="Z4545" s="196" t="str">
        <f t="shared" si="1397"/>
        <v/>
      </c>
      <c r="AA4545" s="22"/>
      <c r="AB4545" s="197" t="str">
        <f t="shared" si="1402"/>
        <v/>
      </c>
      <c r="AC4545" s="198" t="str">
        <f t="shared" si="1403"/>
        <v/>
      </c>
      <c r="AD4545" s="162"/>
      <c r="AE4545" s="199" t="str">
        <f t="shared" si="1404"/>
        <v/>
      </c>
      <c r="AF4545" s="199" t="str">
        <f>IF(AND(COUNTIFS($J$18:J4545,J4545)=1,AE4545=1),1,"")</f>
        <v/>
      </c>
      <c r="AG4545" s="199" t="str">
        <f>IF(C4545="","",IF(AND(COUNTIFS($J$18:J4545,J4545)=1,C4545&lt;&gt;""),1,""))</f>
        <v/>
      </c>
      <c r="AH4545" s="199" t="str">
        <f>IF(G4545="","",IF(AND(COUNTIFS($J$18:J4545,J4545)=1,G4545&lt;&gt;""),1,""))</f>
        <v/>
      </c>
      <c r="AI4545" s="200">
        <f t="shared" si="1405"/>
        <v>0</v>
      </c>
      <c r="AJ4545" s="200">
        <f t="shared" si="1406"/>
        <v>0</v>
      </c>
      <c r="AK4545" s="201" t="str">
        <f t="shared" si="1407"/>
        <v/>
      </c>
      <c r="AL4545" s="24"/>
      <c r="AM4545" s="24"/>
      <c r="AN4545" s="24"/>
      <c r="AO4545" s="24"/>
      <c r="AP4545" s="165" t="str">
        <f t="shared" si="1408"/>
        <v/>
      </c>
      <c r="AQ4545" s="203" t="str">
        <f t="shared" si="1409"/>
        <v/>
      </c>
      <c r="AR4545" s="206">
        <f t="shared" si="1410"/>
        <v>0</v>
      </c>
      <c r="AS4545" s="22" t="str">
        <f t="shared" si="1411"/>
        <v/>
      </c>
      <c r="AT4545" s="24" t="str">
        <f t="shared" si="1412"/>
        <v/>
      </c>
      <c r="AU4545" s="22" t="s">
        <v>3240</v>
      </c>
    </row>
    <row r="4546" spans="1:47">
      <c r="A4546" s="246" t="str">
        <f t="shared" si="1400"/>
        <v/>
      </c>
      <c r="B4546" s="23"/>
      <c r="C4546" s="23"/>
      <c r="D4546" s="202" t="str">
        <f t="shared" si="1401"/>
        <v/>
      </c>
      <c r="E4546" s="33" t="str">
        <f t="shared" si="1395"/>
        <v/>
      </c>
      <c r="F4546" s="23"/>
      <c r="G4546" s="23"/>
      <c r="H4546" s="29"/>
      <c r="I4546" s="204" t="str">
        <f t="shared" si="1398"/>
        <v/>
      </c>
      <c r="J4546" s="188"/>
      <c r="K4546" s="29"/>
      <c r="L4546" s="24"/>
      <c r="M4546" s="22"/>
      <c r="N4546" s="22"/>
      <c r="O4546" s="22"/>
      <c r="P4546" s="202" t="str">
        <f t="shared" si="1399"/>
        <v/>
      </c>
      <c r="Q4546" s="22"/>
      <c r="R4546" s="22"/>
      <c r="S4546" s="22"/>
      <c r="T4546" s="22"/>
      <c r="U4546" s="22"/>
      <c r="V4546" s="22"/>
      <c r="W4546" s="22"/>
      <c r="X4546" s="104"/>
      <c r="Y4546" s="195" t="str">
        <f t="shared" si="1396"/>
        <v/>
      </c>
      <c r="Z4546" s="196" t="str">
        <f t="shared" si="1397"/>
        <v/>
      </c>
      <c r="AA4546" s="22"/>
      <c r="AB4546" s="197" t="str">
        <f t="shared" si="1402"/>
        <v/>
      </c>
      <c r="AC4546" s="198" t="str">
        <f t="shared" si="1403"/>
        <v/>
      </c>
      <c r="AD4546" s="162"/>
      <c r="AE4546" s="199" t="str">
        <f t="shared" si="1404"/>
        <v/>
      </c>
      <c r="AF4546" s="199" t="str">
        <f>IF(AND(COUNTIFS($J$18:J4546,J4546)=1,AE4546=1),1,"")</f>
        <v/>
      </c>
      <c r="AG4546" s="199" t="str">
        <f>IF(C4546="","",IF(AND(COUNTIFS($J$18:J4546,J4546)=1,C4546&lt;&gt;""),1,""))</f>
        <v/>
      </c>
      <c r="AH4546" s="199" t="str">
        <f>IF(G4546="","",IF(AND(COUNTIFS($J$18:J4546,J4546)=1,G4546&lt;&gt;""),1,""))</f>
        <v/>
      </c>
      <c r="AI4546" s="200">
        <f t="shared" si="1405"/>
        <v>0</v>
      </c>
      <c r="AJ4546" s="200">
        <f t="shared" si="1406"/>
        <v>0</v>
      </c>
      <c r="AK4546" s="201" t="str">
        <f t="shared" si="1407"/>
        <v/>
      </c>
      <c r="AL4546" s="24"/>
      <c r="AM4546" s="24"/>
      <c r="AN4546" s="24"/>
      <c r="AO4546" s="24"/>
      <c r="AP4546" s="165" t="str">
        <f t="shared" si="1408"/>
        <v/>
      </c>
      <c r="AQ4546" s="203" t="str">
        <f t="shared" si="1409"/>
        <v/>
      </c>
      <c r="AR4546" s="206">
        <f t="shared" si="1410"/>
        <v>0</v>
      </c>
      <c r="AS4546" s="22" t="str">
        <f t="shared" si="1411"/>
        <v/>
      </c>
      <c r="AT4546" s="24" t="str">
        <f t="shared" si="1412"/>
        <v/>
      </c>
      <c r="AU4546" s="22" t="s">
        <v>3240</v>
      </c>
    </row>
    <row r="4547" spans="1:47">
      <c r="A4547" s="246" t="str">
        <f t="shared" si="1400"/>
        <v/>
      </c>
      <c r="B4547" s="23"/>
      <c r="C4547" s="23"/>
      <c r="D4547" s="202" t="str">
        <f t="shared" si="1401"/>
        <v/>
      </c>
      <c r="E4547" s="33" t="str">
        <f t="shared" si="1395"/>
        <v/>
      </c>
      <c r="F4547" s="23"/>
      <c r="G4547" s="23"/>
      <c r="H4547" s="29"/>
      <c r="I4547" s="204" t="str">
        <f t="shared" si="1398"/>
        <v/>
      </c>
      <c r="J4547" s="188"/>
      <c r="K4547" s="29"/>
      <c r="L4547" s="24"/>
      <c r="M4547" s="22"/>
      <c r="N4547" s="22"/>
      <c r="O4547" s="22"/>
      <c r="P4547" s="202" t="str">
        <f t="shared" si="1399"/>
        <v/>
      </c>
      <c r="Q4547" s="22"/>
      <c r="R4547" s="22"/>
      <c r="S4547" s="22"/>
      <c r="T4547" s="22"/>
      <c r="U4547" s="22"/>
      <c r="V4547" s="22"/>
      <c r="W4547" s="22"/>
      <c r="X4547" s="104"/>
      <c r="Y4547" s="195" t="str">
        <f t="shared" si="1396"/>
        <v/>
      </c>
      <c r="Z4547" s="196" t="str">
        <f t="shared" si="1397"/>
        <v/>
      </c>
      <c r="AA4547" s="22"/>
      <c r="AB4547" s="197" t="str">
        <f t="shared" si="1402"/>
        <v/>
      </c>
      <c r="AC4547" s="198" t="str">
        <f t="shared" si="1403"/>
        <v/>
      </c>
      <c r="AD4547" s="162"/>
      <c r="AE4547" s="199" t="str">
        <f t="shared" si="1404"/>
        <v/>
      </c>
      <c r="AF4547" s="199" t="str">
        <f>IF(AND(COUNTIFS($J$18:J4547,J4547)=1,AE4547=1),1,"")</f>
        <v/>
      </c>
      <c r="AG4547" s="199" t="str">
        <f>IF(C4547="","",IF(AND(COUNTIFS($J$18:J4547,J4547)=1,C4547&lt;&gt;""),1,""))</f>
        <v/>
      </c>
      <c r="AH4547" s="199" t="str">
        <f>IF(G4547="","",IF(AND(COUNTIFS($J$18:J4547,J4547)=1,G4547&lt;&gt;""),1,""))</f>
        <v/>
      </c>
      <c r="AI4547" s="200">
        <f t="shared" si="1405"/>
        <v>0</v>
      </c>
      <c r="AJ4547" s="200">
        <f t="shared" si="1406"/>
        <v>0</v>
      </c>
      <c r="AK4547" s="201" t="str">
        <f t="shared" si="1407"/>
        <v/>
      </c>
      <c r="AL4547" s="24"/>
      <c r="AM4547" s="24"/>
      <c r="AN4547" s="24"/>
      <c r="AO4547" s="24"/>
      <c r="AP4547" s="165" t="str">
        <f t="shared" si="1408"/>
        <v/>
      </c>
      <c r="AQ4547" s="203" t="str">
        <f t="shared" si="1409"/>
        <v/>
      </c>
      <c r="AR4547" s="206">
        <f t="shared" si="1410"/>
        <v>0</v>
      </c>
      <c r="AS4547" s="22" t="str">
        <f t="shared" si="1411"/>
        <v/>
      </c>
      <c r="AT4547" s="24" t="str">
        <f t="shared" si="1412"/>
        <v/>
      </c>
      <c r="AU4547" s="22" t="s">
        <v>3240</v>
      </c>
    </row>
    <row r="4548" spans="1:47">
      <c r="A4548" s="246" t="str">
        <f t="shared" si="1400"/>
        <v/>
      </c>
      <c r="B4548" s="23"/>
      <c r="C4548" s="23"/>
      <c r="D4548" s="202" t="str">
        <f t="shared" si="1401"/>
        <v/>
      </c>
      <c r="E4548" s="33" t="str">
        <f t="shared" si="1395"/>
        <v/>
      </c>
      <c r="F4548" s="23"/>
      <c r="G4548" s="23"/>
      <c r="H4548" s="29"/>
      <c r="I4548" s="204" t="str">
        <f t="shared" si="1398"/>
        <v/>
      </c>
      <c r="J4548" s="188"/>
      <c r="K4548" s="29"/>
      <c r="L4548" s="24"/>
      <c r="M4548" s="22"/>
      <c r="N4548" s="22"/>
      <c r="O4548" s="22"/>
      <c r="P4548" s="202" t="str">
        <f t="shared" si="1399"/>
        <v/>
      </c>
      <c r="Q4548" s="22"/>
      <c r="R4548" s="22"/>
      <c r="S4548" s="22"/>
      <c r="T4548" s="22"/>
      <c r="U4548" s="22"/>
      <c r="V4548" s="22"/>
      <c r="W4548" s="22"/>
      <c r="X4548" s="104"/>
      <c r="Y4548" s="195" t="str">
        <f t="shared" si="1396"/>
        <v/>
      </c>
      <c r="Z4548" s="196" t="str">
        <f t="shared" si="1397"/>
        <v/>
      </c>
      <c r="AA4548" s="22"/>
      <c r="AB4548" s="197" t="str">
        <f t="shared" si="1402"/>
        <v/>
      </c>
      <c r="AC4548" s="198" t="str">
        <f t="shared" si="1403"/>
        <v/>
      </c>
      <c r="AD4548" s="162"/>
      <c r="AE4548" s="199" t="str">
        <f t="shared" si="1404"/>
        <v/>
      </c>
      <c r="AF4548" s="199" t="str">
        <f>IF(AND(COUNTIFS($J$18:J4548,J4548)=1,AE4548=1),1,"")</f>
        <v/>
      </c>
      <c r="AG4548" s="199" t="str">
        <f>IF(C4548="","",IF(AND(COUNTIFS($J$18:J4548,J4548)=1,C4548&lt;&gt;""),1,""))</f>
        <v/>
      </c>
      <c r="AH4548" s="199" t="str">
        <f>IF(G4548="","",IF(AND(COUNTIFS($J$18:J4548,J4548)=1,G4548&lt;&gt;""),1,""))</f>
        <v/>
      </c>
      <c r="AI4548" s="200">
        <f t="shared" si="1405"/>
        <v>0</v>
      </c>
      <c r="AJ4548" s="200">
        <f t="shared" si="1406"/>
        <v>0</v>
      </c>
      <c r="AK4548" s="201" t="str">
        <f t="shared" si="1407"/>
        <v/>
      </c>
      <c r="AL4548" s="24"/>
      <c r="AM4548" s="24"/>
      <c r="AN4548" s="24"/>
      <c r="AO4548" s="24"/>
      <c r="AP4548" s="165" t="str">
        <f t="shared" si="1408"/>
        <v/>
      </c>
      <c r="AQ4548" s="203" t="str">
        <f t="shared" si="1409"/>
        <v/>
      </c>
      <c r="AR4548" s="206">
        <f t="shared" si="1410"/>
        <v>0</v>
      </c>
      <c r="AS4548" s="22" t="str">
        <f t="shared" si="1411"/>
        <v/>
      </c>
      <c r="AT4548" s="24" t="str">
        <f t="shared" si="1412"/>
        <v/>
      </c>
      <c r="AU4548" s="22" t="s">
        <v>3240</v>
      </c>
    </row>
    <row r="4549" spans="1:47">
      <c r="A4549" s="246" t="str">
        <f t="shared" si="1400"/>
        <v/>
      </c>
      <c r="B4549" s="23"/>
      <c r="C4549" s="23"/>
      <c r="D4549" s="202" t="str">
        <f t="shared" si="1401"/>
        <v/>
      </c>
      <c r="E4549" s="33" t="str">
        <f t="shared" si="1395"/>
        <v/>
      </c>
      <c r="F4549" s="23"/>
      <c r="G4549" s="23"/>
      <c r="H4549" s="29"/>
      <c r="I4549" s="204" t="str">
        <f t="shared" si="1398"/>
        <v/>
      </c>
      <c r="J4549" s="188"/>
      <c r="K4549" s="29"/>
      <c r="L4549" s="24"/>
      <c r="M4549" s="22"/>
      <c r="N4549" s="22"/>
      <c r="O4549" s="22"/>
      <c r="P4549" s="202" t="str">
        <f t="shared" si="1399"/>
        <v/>
      </c>
      <c r="Q4549" s="22"/>
      <c r="R4549" s="22"/>
      <c r="S4549" s="22"/>
      <c r="T4549" s="22"/>
      <c r="U4549" s="22"/>
      <c r="V4549" s="22"/>
      <c r="W4549" s="22"/>
      <c r="X4549" s="104"/>
      <c r="Y4549" s="195" t="str">
        <f t="shared" si="1396"/>
        <v/>
      </c>
      <c r="Z4549" s="196" t="str">
        <f t="shared" si="1397"/>
        <v/>
      </c>
      <c r="AA4549" s="22"/>
      <c r="AB4549" s="197" t="str">
        <f t="shared" si="1402"/>
        <v/>
      </c>
      <c r="AC4549" s="198" t="str">
        <f t="shared" si="1403"/>
        <v/>
      </c>
      <c r="AD4549" s="162"/>
      <c r="AE4549" s="199" t="str">
        <f t="shared" si="1404"/>
        <v/>
      </c>
      <c r="AF4549" s="199" t="str">
        <f>IF(AND(COUNTIFS($J$18:J4549,J4549)=1,AE4549=1),1,"")</f>
        <v/>
      </c>
      <c r="AG4549" s="199" t="str">
        <f>IF(C4549="","",IF(AND(COUNTIFS($J$18:J4549,J4549)=1,C4549&lt;&gt;""),1,""))</f>
        <v/>
      </c>
      <c r="AH4549" s="199" t="str">
        <f>IF(G4549="","",IF(AND(COUNTIFS($J$18:J4549,J4549)=1,G4549&lt;&gt;""),1,""))</f>
        <v/>
      </c>
      <c r="AI4549" s="200">
        <f t="shared" si="1405"/>
        <v>0</v>
      </c>
      <c r="AJ4549" s="200">
        <f t="shared" si="1406"/>
        <v>0</v>
      </c>
      <c r="AK4549" s="201" t="str">
        <f t="shared" si="1407"/>
        <v/>
      </c>
      <c r="AL4549" s="24"/>
      <c r="AM4549" s="24"/>
      <c r="AN4549" s="24"/>
      <c r="AO4549" s="24"/>
      <c r="AP4549" s="165" t="str">
        <f t="shared" si="1408"/>
        <v/>
      </c>
      <c r="AQ4549" s="203" t="str">
        <f t="shared" si="1409"/>
        <v/>
      </c>
      <c r="AR4549" s="206">
        <f t="shared" si="1410"/>
        <v>0</v>
      </c>
      <c r="AS4549" s="22" t="str">
        <f t="shared" si="1411"/>
        <v/>
      </c>
      <c r="AT4549" s="24" t="str">
        <f t="shared" si="1412"/>
        <v/>
      </c>
      <c r="AU4549" s="22" t="s">
        <v>3240</v>
      </c>
    </row>
    <row r="4550" spans="1:47">
      <c r="A4550" s="246" t="str">
        <f t="shared" si="1400"/>
        <v/>
      </c>
      <c r="B4550" s="23"/>
      <c r="C4550" s="23"/>
      <c r="D4550" s="202" t="str">
        <f t="shared" si="1401"/>
        <v/>
      </c>
      <c r="E4550" s="33" t="str">
        <f t="shared" si="1395"/>
        <v/>
      </c>
      <c r="F4550" s="23"/>
      <c r="G4550" s="23"/>
      <c r="H4550" s="29"/>
      <c r="I4550" s="204" t="str">
        <f t="shared" si="1398"/>
        <v/>
      </c>
      <c r="J4550" s="188"/>
      <c r="K4550" s="29"/>
      <c r="L4550" s="24"/>
      <c r="M4550" s="22"/>
      <c r="N4550" s="22"/>
      <c r="O4550" s="22"/>
      <c r="P4550" s="202" t="str">
        <f t="shared" si="1399"/>
        <v/>
      </c>
      <c r="Q4550" s="22"/>
      <c r="R4550" s="22"/>
      <c r="S4550" s="22"/>
      <c r="T4550" s="22"/>
      <c r="U4550" s="22"/>
      <c r="V4550" s="22"/>
      <c r="W4550" s="22"/>
      <c r="X4550" s="104"/>
      <c r="Y4550" s="195" t="str">
        <f t="shared" si="1396"/>
        <v/>
      </c>
      <c r="Z4550" s="196" t="str">
        <f t="shared" si="1397"/>
        <v/>
      </c>
      <c r="AA4550" s="22"/>
      <c r="AB4550" s="197" t="str">
        <f t="shared" si="1402"/>
        <v/>
      </c>
      <c r="AC4550" s="198" t="str">
        <f t="shared" si="1403"/>
        <v/>
      </c>
      <c r="AD4550" s="162"/>
      <c r="AE4550" s="199" t="str">
        <f t="shared" si="1404"/>
        <v/>
      </c>
      <c r="AF4550" s="199" t="str">
        <f>IF(AND(COUNTIFS($J$18:J4550,J4550)=1,AE4550=1),1,"")</f>
        <v/>
      </c>
      <c r="AG4550" s="199" t="str">
        <f>IF(C4550="","",IF(AND(COUNTIFS($J$18:J4550,J4550)=1,C4550&lt;&gt;""),1,""))</f>
        <v/>
      </c>
      <c r="AH4550" s="199" t="str">
        <f>IF(G4550="","",IF(AND(COUNTIFS($J$18:J4550,J4550)=1,G4550&lt;&gt;""),1,""))</f>
        <v/>
      </c>
      <c r="AI4550" s="200">
        <f t="shared" si="1405"/>
        <v>0</v>
      </c>
      <c r="AJ4550" s="200">
        <f t="shared" si="1406"/>
        <v>0</v>
      </c>
      <c r="AK4550" s="201" t="str">
        <f t="shared" si="1407"/>
        <v/>
      </c>
      <c r="AL4550" s="24"/>
      <c r="AM4550" s="24"/>
      <c r="AN4550" s="24"/>
      <c r="AO4550" s="24"/>
      <c r="AP4550" s="165" t="str">
        <f t="shared" si="1408"/>
        <v/>
      </c>
      <c r="AQ4550" s="203" t="str">
        <f t="shared" si="1409"/>
        <v/>
      </c>
      <c r="AR4550" s="206">
        <f t="shared" si="1410"/>
        <v>0</v>
      </c>
      <c r="AS4550" s="22" t="str">
        <f t="shared" si="1411"/>
        <v/>
      </c>
      <c r="AT4550" s="24" t="str">
        <f t="shared" si="1412"/>
        <v/>
      </c>
      <c r="AU4550" s="22" t="s">
        <v>3240</v>
      </c>
    </row>
    <row r="4551" spans="1:47">
      <c r="A4551" s="246" t="str">
        <f t="shared" si="1400"/>
        <v/>
      </c>
      <c r="B4551" s="23"/>
      <c r="C4551" s="23"/>
      <c r="D4551" s="202" t="str">
        <f t="shared" si="1401"/>
        <v/>
      </c>
      <c r="E4551" s="33" t="str">
        <f t="shared" si="1395"/>
        <v/>
      </c>
      <c r="F4551" s="23"/>
      <c r="G4551" s="23"/>
      <c r="H4551" s="29"/>
      <c r="I4551" s="204" t="str">
        <f t="shared" si="1398"/>
        <v/>
      </c>
      <c r="J4551" s="188"/>
      <c r="K4551" s="29"/>
      <c r="L4551" s="24"/>
      <c r="M4551" s="22"/>
      <c r="N4551" s="22"/>
      <c r="O4551" s="22"/>
      <c r="P4551" s="202" t="str">
        <f t="shared" si="1399"/>
        <v/>
      </c>
      <c r="Q4551" s="22"/>
      <c r="R4551" s="22"/>
      <c r="S4551" s="22"/>
      <c r="T4551" s="22"/>
      <c r="U4551" s="22"/>
      <c r="V4551" s="22"/>
      <c r="W4551" s="22"/>
      <c r="X4551" s="104"/>
      <c r="Y4551" s="195" t="str">
        <f t="shared" si="1396"/>
        <v/>
      </c>
      <c r="Z4551" s="196" t="str">
        <f t="shared" si="1397"/>
        <v/>
      </c>
      <c r="AA4551" s="22"/>
      <c r="AB4551" s="197" t="str">
        <f t="shared" si="1402"/>
        <v/>
      </c>
      <c r="AC4551" s="198" t="str">
        <f t="shared" si="1403"/>
        <v/>
      </c>
      <c r="AD4551" s="162"/>
      <c r="AE4551" s="199" t="str">
        <f t="shared" si="1404"/>
        <v/>
      </c>
      <c r="AF4551" s="199" t="str">
        <f>IF(AND(COUNTIFS($J$18:J4551,J4551)=1,AE4551=1),1,"")</f>
        <v/>
      </c>
      <c r="AG4551" s="199" t="str">
        <f>IF(C4551="","",IF(AND(COUNTIFS($J$18:J4551,J4551)=1,C4551&lt;&gt;""),1,""))</f>
        <v/>
      </c>
      <c r="AH4551" s="199" t="str">
        <f>IF(G4551="","",IF(AND(COUNTIFS($J$18:J4551,J4551)=1,G4551&lt;&gt;""),1,""))</f>
        <v/>
      </c>
      <c r="AI4551" s="200">
        <f t="shared" si="1405"/>
        <v>0</v>
      </c>
      <c r="AJ4551" s="200">
        <f t="shared" si="1406"/>
        <v>0</v>
      </c>
      <c r="AK4551" s="201" t="str">
        <f t="shared" si="1407"/>
        <v/>
      </c>
      <c r="AL4551" s="24"/>
      <c r="AM4551" s="24"/>
      <c r="AN4551" s="24"/>
      <c r="AO4551" s="24"/>
      <c r="AP4551" s="165" t="str">
        <f t="shared" si="1408"/>
        <v/>
      </c>
      <c r="AQ4551" s="203" t="str">
        <f t="shared" si="1409"/>
        <v/>
      </c>
      <c r="AR4551" s="206">
        <f t="shared" si="1410"/>
        <v>0</v>
      </c>
      <c r="AS4551" s="22" t="str">
        <f t="shared" si="1411"/>
        <v/>
      </c>
      <c r="AT4551" s="24" t="str">
        <f t="shared" si="1412"/>
        <v/>
      </c>
      <c r="AU4551" s="22" t="s">
        <v>3240</v>
      </c>
    </row>
    <row r="4552" spans="1:47">
      <c r="A4552" s="246" t="str">
        <f t="shared" si="1400"/>
        <v/>
      </c>
      <c r="B4552" s="23"/>
      <c r="C4552" s="23"/>
      <c r="D4552" s="202" t="str">
        <f t="shared" si="1401"/>
        <v/>
      </c>
      <c r="E4552" s="33" t="str">
        <f t="shared" si="1395"/>
        <v/>
      </c>
      <c r="F4552" s="23"/>
      <c r="G4552" s="23"/>
      <c r="H4552" s="29"/>
      <c r="I4552" s="204" t="str">
        <f t="shared" si="1398"/>
        <v/>
      </c>
      <c r="J4552" s="188"/>
      <c r="K4552" s="29"/>
      <c r="L4552" s="24"/>
      <c r="M4552" s="22"/>
      <c r="N4552" s="22"/>
      <c r="O4552" s="22"/>
      <c r="P4552" s="202" t="str">
        <f t="shared" si="1399"/>
        <v/>
      </c>
      <c r="Q4552" s="22"/>
      <c r="R4552" s="22"/>
      <c r="S4552" s="22"/>
      <c r="T4552" s="22"/>
      <c r="U4552" s="22"/>
      <c r="V4552" s="22"/>
      <c r="W4552" s="22"/>
      <c r="X4552" s="104"/>
      <c r="Y4552" s="195" t="str">
        <f t="shared" si="1396"/>
        <v/>
      </c>
      <c r="Z4552" s="196" t="str">
        <f t="shared" si="1397"/>
        <v/>
      </c>
      <c r="AA4552" s="22"/>
      <c r="AB4552" s="197" t="str">
        <f t="shared" si="1402"/>
        <v/>
      </c>
      <c r="AC4552" s="198" t="str">
        <f t="shared" si="1403"/>
        <v/>
      </c>
      <c r="AD4552" s="162"/>
      <c r="AE4552" s="199" t="str">
        <f t="shared" si="1404"/>
        <v/>
      </c>
      <c r="AF4552" s="199" t="str">
        <f>IF(AND(COUNTIFS($J$18:J4552,J4552)=1,AE4552=1),1,"")</f>
        <v/>
      </c>
      <c r="AG4552" s="199" t="str">
        <f>IF(C4552="","",IF(AND(COUNTIFS($J$18:J4552,J4552)=1,C4552&lt;&gt;""),1,""))</f>
        <v/>
      </c>
      <c r="AH4552" s="199" t="str">
        <f>IF(G4552="","",IF(AND(COUNTIFS($J$18:J4552,J4552)=1,G4552&lt;&gt;""),1,""))</f>
        <v/>
      </c>
      <c r="AI4552" s="200">
        <f t="shared" si="1405"/>
        <v>0</v>
      </c>
      <c r="AJ4552" s="200">
        <f t="shared" si="1406"/>
        <v>0</v>
      </c>
      <c r="AK4552" s="201" t="str">
        <f t="shared" si="1407"/>
        <v/>
      </c>
      <c r="AL4552" s="24"/>
      <c r="AM4552" s="24"/>
      <c r="AN4552" s="24"/>
      <c r="AO4552" s="24"/>
      <c r="AP4552" s="165" t="str">
        <f t="shared" si="1408"/>
        <v/>
      </c>
      <c r="AQ4552" s="203" t="str">
        <f t="shared" si="1409"/>
        <v/>
      </c>
      <c r="AR4552" s="206">
        <f t="shared" si="1410"/>
        <v>0</v>
      </c>
      <c r="AS4552" s="22" t="str">
        <f t="shared" si="1411"/>
        <v/>
      </c>
      <c r="AT4552" s="24" t="str">
        <f t="shared" si="1412"/>
        <v/>
      </c>
      <c r="AU4552" s="22" t="s">
        <v>3240</v>
      </c>
    </row>
    <row r="4553" spans="1:47">
      <c r="A4553" s="246" t="str">
        <f t="shared" si="1400"/>
        <v/>
      </c>
      <c r="B4553" s="23"/>
      <c r="C4553" s="23"/>
      <c r="D4553" s="202" t="str">
        <f t="shared" si="1401"/>
        <v/>
      </c>
      <c r="E4553" s="33" t="str">
        <f t="shared" si="1395"/>
        <v/>
      </c>
      <c r="F4553" s="23"/>
      <c r="G4553" s="23"/>
      <c r="H4553" s="29"/>
      <c r="I4553" s="204" t="str">
        <f t="shared" si="1398"/>
        <v/>
      </c>
      <c r="J4553" s="188"/>
      <c r="K4553" s="29"/>
      <c r="L4553" s="24"/>
      <c r="M4553" s="22"/>
      <c r="N4553" s="22"/>
      <c r="O4553" s="22"/>
      <c r="P4553" s="202" t="str">
        <f t="shared" si="1399"/>
        <v/>
      </c>
      <c r="Q4553" s="22"/>
      <c r="R4553" s="22"/>
      <c r="S4553" s="22"/>
      <c r="T4553" s="22"/>
      <c r="U4553" s="22"/>
      <c r="V4553" s="22"/>
      <c r="W4553" s="22"/>
      <c r="X4553" s="104"/>
      <c r="Y4553" s="195" t="str">
        <f t="shared" si="1396"/>
        <v/>
      </c>
      <c r="Z4553" s="196" t="str">
        <f t="shared" si="1397"/>
        <v/>
      </c>
      <c r="AA4553" s="22"/>
      <c r="AB4553" s="197" t="str">
        <f t="shared" si="1402"/>
        <v/>
      </c>
      <c r="AC4553" s="198" t="str">
        <f t="shared" si="1403"/>
        <v/>
      </c>
      <c r="AD4553" s="162"/>
      <c r="AE4553" s="199" t="str">
        <f t="shared" si="1404"/>
        <v/>
      </c>
      <c r="AF4553" s="199" t="str">
        <f>IF(AND(COUNTIFS($J$18:J4553,J4553)=1,AE4553=1),1,"")</f>
        <v/>
      </c>
      <c r="AG4553" s="199" t="str">
        <f>IF(C4553="","",IF(AND(COUNTIFS($J$18:J4553,J4553)=1,C4553&lt;&gt;""),1,""))</f>
        <v/>
      </c>
      <c r="AH4553" s="199" t="str">
        <f>IF(G4553="","",IF(AND(COUNTIFS($J$18:J4553,J4553)=1,G4553&lt;&gt;""),1,""))</f>
        <v/>
      </c>
      <c r="AI4553" s="200">
        <f t="shared" si="1405"/>
        <v>0</v>
      </c>
      <c r="AJ4553" s="200">
        <f t="shared" si="1406"/>
        <v>0</v>
      </c>
      <c r="AK4553" s="201" t="str">
        <f t="shared" si="1407"/>
        <v/>
      </c>
      <c r="AL4553" s="24"/>
      <c r="AM4553" s="24"/>
      <c r="AN4553" s="24"/>
      <c r="AO4553" s="24"/>
      <c r="AP4553" s="165" t="str">
        <f t="shared" si="1408"/>
        <v/>
      </c>
      <c r="AQ4553" s="203" t="str">
        <f t="shared" si="1409"/>
        <v/>
      </c>
      <c r="AR4553" s="206">
        <f t="shared" si="1410"/>
        <v>0</v>
      </c>
      <c r="AS4553" s="22" t="str">
        <f t="shared" si="1411"/>
        <v/>
      </c>
      <c r="AT4553" s="24" t="str">
        <f t="shared" si="1412"/>
        <v/>
      </c>
      <c r="AU4553" s="22" t="s">
        <v>3240</v>
      </c>
    </row>
    <row r="4554" spans="1:47">
      <c r="A4554" s="246" t="str">
        <f t="shared" si="1400"/>
        <v/>
      </c>
      <c r="B4554" s="23"/>
      <c r="C4554" s="23"/>
      <c r="D4554" s="202" t="str">
        <f t="shared" si="1401"/>
        <v/>
      </c>
      <c r="E4554" s="33" t="str">
        <f t="shared" si="1395"/>
        <v/>
      </c>
      <c r="F4554" s="23"/>
      <c r="G4554" s="23"/>
      <c r="H4554" s="29"/>
      <c r="I4554" s="204" t="str">
        <f t="shared" si="1398"/>
        <v/>
      </c>
      <c r="J4554" s="188"/>
      <c r="K4554" s="29"/>
      <c r="L4554" s="24"/>
      <c r="M4554" s="22"/>
      <c r="N4554" s="22"/>
      <c r="O4554" s="22"/>
      <c r="P4554" s="202" t="str">
        <f t="shared" si="1399"/>
        <v/>
      </c>
      <c r="Q4554" s="22"/>
      <c r="R4554" s="22"/>
      <c r="S4554" s="22"/>
      <c r="T4554" s="22"/>
      <c r="U4554" s="22"/>
      <c r="V4554" s="22"/>
      <c r="W4554" s="22"/>
      <c r="X4554" s="104"/>
      <c r="Y4554" s="195" t="str">
        <f t="shared" si="1396"/>
        <v/>
      </c>
      <c r="Z4554" s="196" t="str">
        <f t="shared" si="1397"/>
        <v/>
      </c>
      <c r="AA4554" s="22"/>
      <c r="AB4554" s="197" t="str">
        <f t="shared" si="1402"/>
        <v/>
      </c>
      <c r="AC4554" s="198" t="str">
        <f t="shared" si="1403"/>
        <v/>
      </c>
      <c r="AD4554" s="162"/>
      <c r="AE4554" s="199" t="str">
        <f t="shared" si="1404"/>
        <v/>
      </c>
      <c r="AF4554" s="199" t="str">
        <f>IF(AND(COUNTIFS($J$18:J4554,J4554)=1,AE4554=1),1,"")</f>
        <v/>
      </c>
      <c r="AG4554" s="199" t="str">
        <f>IF(C4554="","",IF(AND(COUNTIFS($J$18:J4554,J4554)=1,C4554&lt;&gt;""),1,""))</f>
        <v/>
      </c>
      <c r="AH4554" s="199" t="str">
        <f>IF(G4554="","",IF(AND(COUNTIFS($J$18:J4554,J4554)=1,G4554&lt;&gt;""),1,""))</f>
        <v/>
      </c>
      <c r="AI4554" s="200">
        <f t="shared" si="1405"/>
        <v>0</v>
      </c>
      <c r="AJ4554" s="200">
        <f t="shared" si="1406"/>
        <v>0</v>
      </c>
      <c r="AK4554" s="201" t="str">
        <f t="shared" si="1407"/>
        <v/>
      </c>
      <c r="AL4554" s="24"/>
      <c r="AM4554" s="24"/>
      <c r="AN4554" s="24"/>
      <c r="AO4554" s="24"/>
      <c r="AP4554" s="165" t="str">
        <f t="shared" si="1408"/>
        <v/>
      </c>
      <c r="AQ4554" s="203" t="str">
        <f t="shared" si="1409"/>
        <v/>
      </c>
      <c r="AR4554" s="206">
        <f t="shared" si="1410"/>
        <v>0</v>
      </c>
      <c r="AS4554" s="22" t="str">
        <f t="shared" si="1411"/>
        <v/>
      </c>
      <c r="AT4554" s="24" t="str">
        <f t="shared" si="1412"/>
        <v/>
      </c>
      <c r="AU4554" s="22" t="s">
        <v>3240</v>
      </c>
    </row>
    <row r="4555" spans="1:47">
      <c r="A4555" s="246" t="str">
        <f t="shared" si="1400"/>
        <v/>
      </c>
      <c r="B4555" s="23"/>
      <c r="C4555" s="23"/>
      <c r="D4555" s="202" t="str">
        <f t="shared" si="1401"/>
        <v/>
      </c>
      <c r="E4555" s="33" t="str">
        <f t="shared" si="1395"/>
        <v/>
      </c>
      <c r="F4555" s="23"/>
      <c r="G4555" s="23"/>
      <c r="H4555" s="29"/>
      <c r="I4555" s="204" t="str">
        <f t="shared" si="1398"/>
        <v/>
      </c>
      <c r="J4555" s="188"/>
      <c r="K4555" s="29"/>
      <c r="L4555" s="24"/>
      <c r="M4555" s="22"/>
      <c r="N4555" s="22"/>
      <c r="O4555" s="22"/>
      <c r="P4555" s="202" t="str">
        <f t="shared" si="1399"/>
        <v/>
      </c>
      <c r="Q4555" s="22"/>
      <c r="R4555" s="22"/>
      <c r="S4555" s="22"/>
      <c r="T4555" s="22"/>
      <c r="U4555" s="22"/>
      <c r="V4555" s="22"/>
      <c r="W4555" s="22"/>
      <c r="X4555" s="104"/>
      <c r="Y4555" s="195" t="str">
        <f t="shared" si="1396"/>
        <v/>
      </c>
      <c r="Z4555" s="196" t="str">
        <f t="shared" si="1397"/>
        <v/>
      </c>
      <c r="AA4555" s="22"/>
      <c r="AB4555" s="197" t="str">
        <f t="shared" si="1402"/>
        <v/>
      </c>
      <c r="AC4555" s="198" t="str">
        <f t="shared" si="1403"/>
        <v/>
      </c>
      <c r="AD4555" s="162"/>
      <c r="AE4555" s="199" t="str">
        <f t="shared" si="1404"/>
        <v/>
      </c>
      <c r="AF4555" s="199" t="str">
        <f>IF(AND(COUNTIFS($J$18:J4555,J4555)=1,AE4555=1),1,"")</f>
        <v/>
      </c>
      <c r="AG4555" s="199" t="str">
        <f>IF(C4555="","",IF(AND(COUNTIFS($J$18:J4555,J4555)=1,C4555&lt;&gt;""),1,""))</f>
        <v/>
      </c>
      <c r="AH4555" s="199" t="str">
        <f>IF(G4555="","",IF(AND(COUNTIFS($J$18:J4555,J4555)=1,G4555&lt;&gt;""),1,""))</f>
        <v/>
      </c>
      <c r="AI4555" s="200">
        <f t="shared" si="1405"/>
        <v>0</v>
      </c>
      <c r="AJ4555" s="200">
        <f t="shared" si="1406"/>
        <v>0</v>
      </c>
      <c r="AK4555" s="201" t="str">
        <f t="shared" si="1407"/>
        <v/>
      </c>
      <c r="AL4555" s="24"/>
      <c r="AM4555" s="24"/>
      <c r="AN4555" s="24"/>
      <c r="AO4555" s="24"/>
      <c r="AP4555" s="165" t="str">
        <f t="shared" si="1408"/>
        <v/>
      </c>
      <c r="AQ4555" s="203" t="str">
        <f t="shared" si="1409"/>
        <v/>
      </c>
      <c r="AR4555" s="206">
        <f t="shared" si="1410"/>
        <v>0</v>
      </c>
      <c r="AS4555" s="22" t="str">
        <f t="shared" si="1411"/>
        <v/>
      </c>
      <c r="AT4555" s="24" t="str">
        <f t="shared" si="1412"/>
        <v/>
      </c>
      <c r="AU4555" s="22" t="s">
        <v>3240</v>
      </c>
    </row>
    <row r="4556" spans="1:47">
      <c r="A4556" s="246" t="str">
        <f t="shared" si="1400"/>
        <v/>
      </c>
      <c r="B4556" s="23"/>
      <c r="C4556" s="23"/>
      <c r="D4556" s="202" t="str">
        <f t="shared" si="1401"/>
        <v/>
      </c>
      <c r="E4556" s="33" t="str">
        <f t="shared" si="1395"/>
        <v/>
      </c>
      <c r="F4556" s="23"/>
      <c r="G4556" s="23"/>
      <c r="H4556" s="29"/>
      <c r="I4556" s="204" t="str">
        <f t="shared" si="1398"/>
        <v/>
      </c>
      <c r="J4556" s="188"/>
      <c r="K4556" s="29"/>
      <c r="L4556" s="24"/>
      <c r="M4556" s="22"/>
      <c r="N4556" s="22"/>
      <c r="O4556" s="22"/>
      <c r="P4556" s="202" t="str">
        <f t="shared" si="1399"/>
        <v/>
      </c>
      <c r="Q4556" s="22"/>
      <c r="R4556" s="22"/>
      <c r="S4556" s="22"/>
      <c r="T4556" s="22"/>
      <c r="U4556" s="22"/>
      <c r="V4556" s="22"/>
      <c r="W4556" s="22"/>
      <c r="X4556" s="104"/>
      <c r="Y4556" s="195" t="str">
        <f t="shared" si="1396"/>
        <v/>
      </c>
      <c r="Z4556" s="196" t="str">
        <f t="shared" si="1397"/>
        <v/>
      </c>
      <c r="AA4556" s="22"/>
      <c r="AB4556" s="197" t="str">
        <f t="shared" si="1402"/>
        <v/>
      </c>
      <c r="AC4556" s="198" t="str">
        <f t="shared" si="1403"/>
        <v/>
      </c>
      <c r="AD4556" s="162"/>
      <c r="AE4556" s="199" t="str">
        <f t="shared" si="1404"/>
        <v/>
      </c>
      <c r="AF4556" s="199" t="str">
        <f>IF(AND(COUNTIFS($J$18:J4556,J4556)=1,AE4556=1),1,"")</f>
        <v/>
      </c>
      <c r="AG4556" s="199" t="str">
        <f>IF(C4556="","",IF(AND(COUNTIFS($J$18:J4556,J4556)=1,C4556&lt;&gt;""),1,""))</f>
        <v/>
      </c>
      <c r="AH4556" s="199" t="str">
        <f>IF(G4556="","",IF(AND(COUNTIFS($J$18:J4556,J4556)=1,G4556&lt;&gt;""),1,""))</f>
        <v/>
      </c>
      <c r="AI4556" s="200">
        <f t="shared" si="1405"/>
        <v>0</v>
      </c>
      <c r="AJ4556" s="200">
        <f t="shared" si="1406"/>
        <v>0</v>
      </c>
      <c r="AK4556" s="201" t="str">
        <f t="shared" si="1407"/>
        <v/>
      </c>
      <c r="AL4556" s="24"/>
      <c r="AM4556" s="24"/>
      <c r="AN4556" s="24"/>
      <c r="AO4556" s="24"/>
      <c r="AP4556" s="165" t="str">
        <f t="shared" si="1408"/>
        <v/>
      </c>
      <c r="AQ4556" s="203" t="str">
        <f t="shared" si="1409"/>
        <v/>
      </c>
      <c r="AR4556" s="206">
        <f t="shared" si="1410"/>
        <v>0</v>
      </c>
      <c r="AS4556" s="22" t="str">
        <f t="shared" si="1411"/>
        <v/>
      </c>
      <c r="AT4556" s="24" t="str">
        <f t="shared" si="1412"/>
        <v/>
      </c>
      <c r="AU4556" s="22" t="s">
        <v>3240</v>
      </c>
    </row>
    <row r="4557" spans="1:47">
      <c r="A4557" s="246" t="str">
        <f t="shared" si="1400"/>
        <v/>
      </c>
      <c r="B4557" s="23"/>
      <c r="C4557" s="23"/>
      <c r="D4557" s="202" t="str">
        <f t="shared" si="1401"/>
        <v/>
      </c>
      <c r="E4557" s="33" t="str">
        <f t="shared" si="1395"/>
        <v/>
      </c>
      <c r="F4557" s="23"/>
      <c r="G4557" s="23"/>
      <c r="H4557" s="29"/>
      <c r="I4557" s="204" t="str">
        <f t="shared" si="1398"/>
        <v/>
      </c>
      <c r="J4557" s="188"/>
      <c r="K4557" s="29"/>
      <c r="L4557" s="24"/>
      <c r="M4557" s="22"/>
      <c r="N4557" s="22"/>
      <c r="O4557" s="22"/>
      <c r="P4557" s="202" t="str">
        <f t="shared" si="1399"/>
        <v/>
      </c>
      <c r="Q4557" s="22"/>
      <c r="R4557" s="22"/>
      <c r="S4557" s="22"/>
      <c r="T4557" s="22"/>
      <c r="U4557" s="22"/>
      <c r="V4557" s="22"/>
      <c r="W4557" s="22"/>
      <c r="X4557" s="104"/>
      <c r="Y4557" s="195" t="str">
        <f t="shared" si="1396"/>
        <v/>
      </c>
      <c r="Z4557" s="196" t="str">
        <f t="shared" si="1397"/>
        <v/>
      </c>
      <c r="AA4557" s="22"/>
      <c r="AB4557" s="197" t="str">
        <f t="shared" si="1402"/>
        <v/>
      </c>
      <c r="AC4557" s="198" t="str">
        <f t="shared" si="1403"/>
        <v/>
      </c>
      <c r="AD4557" s="162"/>
      <c r="AE4557" s="199" t="str">
        <f t="shared" si="1404"/>
        <v/>
      </c>
      <c r="AF4557" s="199" t="str">
        <f>IF(AND(COUNTIFS($J$18:J4557,J4557)=1,AE4557=1),1,"")</f>
        <v/>
      </c>
      <c r="AG4557" s="199" t="str">
        <f>IF(C4557="","",IF(AND(COUNTIFS($J$18:J4557,J4557)=1,C4557&lt;&gt;""),1,""))</f>
        <v/>
      </c>
      <c r="AH4557" s="199" t="str">
        <f>IF(G4557="","",IF(AND(COUNTIFS($J$18:J4557,J4557)=1,G4557&lt;&gt;""),1,""))</f>
        <v/>
      </c>
      <c r="AI4557" s="200">
        <f t="shared" si="1405"/>
        <v>0</v>
      </c>
      <c r="AJ4557" s="200">
        <f t="shared" si="1406"/>
        <v>0</v>
      </c>
      <c r="AK4557" s="201" t="str">
        <f t="shared" si="1407"/>
        <v/>
      </c>
      <c r="AL4557" s="24"/>
      <c r="AM4557" s="24"/>
      <c r="AN4557" s="24"/>
      <c r="AO4557" s="24"/>
      <c r="AP4557" s="165" t="str">
        <f t="shared" si="1408"/>
        <v/>
      </c>
      <c r="AQ4557" s="203" t="str">
        <f t="shared" si="1409"/>
        <v/>
      </c>
      <c r="AR4557" s="206">
        <f t="shared" si="1410"/>
        <v>0</v>
      </c>
      <c r="AS4557" s="22" t="str">
        <f t="shared" si="1411"/>
        <v/>
      </c>
      <c r="AT4557" s="24" t="str">
        <f t="shared" si="1412"/>
        <v/>
      </c>
      <c r="AU4557" s="22" t="s">
        <v>3240</v>
      </c>
    </row>
    <row r="4558" spans="1:47">
      <c r="A4558" s="246" t="str">
        <f t="shared" si="1400"/>
        <v/>
      </c>
      <c r="B4558" s="23"/>
      <c r="C4558" s="23"/>
      <c r="D4558" s="202" t="str">
        <f t="shared" si="1401"/>
        <v/>
      </c>
      <c r="E4558" s="33" t="str">
        <f t="shared" si="1395"/>
        <v/>
      </c>
      <c r="F4558" s="23"/>
      <c r="G4558" s="23"/>
      <c r="H4558" s="29"/>
      <c r="I4558" s="204" t="str">
        <f t="shared" si="1398"/>
        <v/>
      </c>
      <c r="J4558" s="188"/>
      <c r="K4558" s="29"/>
      <c r="L4558" s="24"/>
      <c r="M4558" s="22"/>
      <c r="N4558" s="22"/>
      <c r="O4558" s="22"/>
      <c r="P4558" s="202" t="str">
        <f t="shared" si="1399"/>
        <v/>
      </c>
      <c r="Q4558" s="22"/>
      <c r="R4558" s="22"/>
      <c r="S4558" s="22"/>
      <c r="T4558" s="22"/>
      <c r="U4558" s="22"/>
      <c r="V4558" s="22"/>
      <c r="W4558" s="22"/>
      <c r="X4558" s="104"/>
      <c r="Y4558" s="195" t="str">
        <f t="shared" si="1396"/>
        <v/>
      </c>
      <c r="Z4558" s="196" t="str">
        <f t="shared" si="1397"/>
        <v/>
      </c>
      <c r="AA4558" s="22"/>
      <c r="AB4558" s="197" t="str">
        <f t="shared" si="1402"/>
        <v/>
      </c>
      <c r="AC4558" s="198" t="str">
        <f t="shared" si="1403"/>
        <v/>
      </c>
      <c r="AD4558" s="162"/>
      <c r="AE4558" s="199" t="str">
        <f t="shared" si="1404"/>
        <v/>
      </c>
      <c r="AF4558" s="199" t="str">
        <f>IF(AND(COUNTIFS($J$18:J4558,J4558)=1,AE4558=1),1,"")</f>
        <v/>
      </c>
      <c r="AG4558" s="199" t="str">
        <f>IF(C4558="","",IF(AND(COUNTIFS($J$18:J4558,J4558)=1,C4558&lt;&gt;""),1,""))</f>
        <v/>
      </c>
      <c r="AH4558" s="199" t="str">
        <f>IF(G4558="","",IF(AND(COUNTIFS($J$18:J4558,J4558)=1,G4558&lt;&gt;""),1,""))</f>
        <v/>
      </c>
      <c r="AI4558" s="200">
        <f t="shared" si="1405"/>
        <v>0</v>
      </c>
      <c r="AJ4558" s="200">
        <f t="shared" si="1406"/>
        <v>0</v>
      </c>
      <c r="AK4558" s="201" t="str">
        <f t="shared" si="1407"/>
        <v/>
      </c>
      <c r="AL4558" s="24"/>
      <c r="AM4558" s="24"/>
      <c r="AN4558" s="24"/>
      <c r="AO4558" s="24"/>
      <c r="AP4558" s="165" t="str">
        <f t="shared" si="1408"/>
        <v/>
      </c>
      <c r="AQ4558" s="203" t="str">
        <f t="shared" si="1409"/>
        <v/>
      </c>
      <c r="AR4558" s="206">
        <f t="shared" si="1410"/>
        <v>0</v>
      </c>
      <c r="AS4558" s="22" t="str">
        <f t="shared" si="1411"/>
        <v/>
      </c>
      <c r="AT4558" s="24" t="str">
        <f t="shared" si="1412"/>
        <v/>
      </c>
      <c r="AU4558" s="22" t="s">
        <v>3240</v>
      </c>
    </row>
    <row r="4559" spans="1:47">
      <c r="A4559" s="246" t="str">
        <f t="shared" si="1400"/>
        <v/>
      </c>
      <c r="B4559" s="23"/>
      <c r="C4559" s="23"/>
      <c r="D4559" s="202" t="str">
        <f t="shared" si="1401"/>
        <v/>
      </c>
      <c r="E4559" s="33" t="str">
        <f t="shared" si="1395"/>
        <v/>
      </c>
      <c r="F4559" s="23"/>
      <c r="G4559" s="23"/>
      <c r="H4559" s="29"/>
      <c r="I4559" s="204" t="str">
        <f t="shared" si="1398"/>
        <v/>
      </c>
      <c r="J4559" s="188"/>
      <c r="K4559" s="29"/>
      <c r="L4559" s="24"/>
      <c r="M4559" s="22"/>
      <c r="N4559" s="22"/>
      <c r="O4559" s="22"/>
      <c r="P4559" s="202" t="str">
        <f t="shared" si="1399"/>
        <v/>
      </c>
      <c r="Q4559" s="22"/>
      <c r="R4559" s="22"/>
      <c r="S4559" s="22"/>
      <c r="T4559" s="22"/>
      <c r="U4559" s="22"/>
      <c r="V4559" s="22"/>
      <c r="W4559" s="22"/>
      <c r="X4559" s="104"/>
      <c r="Y4559" s="195" t="str">
        <f t="shared" si="1396"/>
        <v/>
      </c>
      <c r="Z4559" s="196" t="str">
        <f t="shared" si="1397"/>
        <v/>
      </c>
      <c r="AA4559" s="22"/>
      <c r="AB4559" s="197" t="str">
        <f t="shared" si="1402"/>
        <v/>
      </c>
      <c r="AC4559" s="198" t="str">
        <f t="shared" si="1403"/>
        <v/>
      </c>
      <c r="AD4559" s="162"/>
      <c r="AE4559" s="199" t="str">
        <f t="shared" si="1404"/>
        <v/>
      </c>
      <c r="AF4559" s="199" t="str">
        <f>IF(AND(COUNTIFS($J$18:J4559,J4559)=1,AE4559=1),1,"")</f>
        <v/>
      </c>
      <c r="AG4559" s="199" t="str">
        <f>IF(C4559="","",IF(AND(COUNTIFS($J$18:J4559,J4559)=1,C4559&lt;&gt;""),1,""))</f>
        <v/>
      </c>
      <c r="AH4559" s="199" t="str">
        <f>IF(G4559="","",IF(AND(COUNTIFS($J$18:J4559,J4559)=1,G4559&lt;&gt;""),1,""))</f>
        <v/>
      </c>
      <c r="AI4559" s="200">
        <f t="shared" si="1405"/>
        <v>0</v>
      </c>
      <c r="AJ4559" s="200">
        <f t="shared" si="1406"/>
        <v>0</v>
      </c>
      <c r="AK4559" s="201" t="str">
        <f t="shared" si="1407"/>
        <v/>
      </c>
      <c r="AL4559" s="24"/>
      <c r="AM4559" s="24"/>
      <c r="AN4559" s="24"/>
      <c r="AO4559" s="24"/>
      <c r="AP4559" s="165" t="str">
        <f t="shared" si="1408"/>
        <v/>
      </c>
      <c r="AQ4559" s="203" t="str">
        <f t="shared" si="1409"/>
        <v/>
      </c>
      <c r="AR4559" s="206">
        <f t="shared" si="1410"/>
        <v>0</v>
      </c>
      <c r="AS4559" s="22" t="str">
        <f t="shared" si="1411"/>
        <v/>
      </c>
      <c r="AT4559" s="24" t="str">
        <f t="shared" si="1412"/>
        <v/>
      </c>
      <c r="AU4559" s="22" t="s">
        <v>3240</v>
      </c>
    </row>
    <row r="4560" spans="1:47">
      <c r="A4560" s="246" t="str">
        <f t="shared" si="1400"/>
        <v/>
      </c>
      <c r="B4560" s="23"/>
      <c r="C4560" s="23"/>
      <c r="D4560" s="202" t="str">
        <f t="shared" si="1401"/>
        <v/>
      </c>
      <c r="E4560" s="33" t="str">
        <f t="shared" si="1395"/>
        <v/>
      </c>
      <c r="F4560" s="23"/>
      <c r="G4560" s="23"/>
      <c r="H4560" s="29"/>
      <c r="I4560" s="204" t="str">
        <f t="shared" si="1398"/>
        <v/>
      </c>
      <c r="J4560" s="188"/>
      <c r="K4560" s="29"/>
      <c r="L4560" s="24"/>
      <c r="M4560" s="22"/>
      <c r="N4560" s="22"/>
      <c r="O4560" s="22"/>
      <c r="P4560" s="202" t="str">
        <f t="shared" si="1399"/>
        <v/>
      </c>
      <c r="Q4560" s="22"/>
      <c r="R4560" s="22"/>
      <c r="S4560" s="22"/>
      <c r="T4560" s="22"/>
      <c r="U4560" s="22"/>
      <c r="V4560" s="22"/>
      <c r="W4560" s="22"/>
      <c r="X4560" s="104"/>
      <c r="Y4560" s="195" t="str">
        <f t="shared" si="1396"/>
        <v/>
      </c>
      <c r="Z4560" s="196" t="str">
        <f t="shared" si="1397"/>
        <v/>
      </c>
      <c r="AA4560" s="22"/>
      <c r="AB4560" s="197" t="str">
        <f t="shared" si="1402"/>
        <v/>
      </c>
      <c r="AC4560" s="198" t="str">
        <f t="shared" si="1403"/>
        <v/>
      </c>
      <c r="AD4560" s="162"/>
      <c r="AE4560" s="199" t="str">
        <f t="shared" si="1404"/>
        <v/>
      </c>
      <c r="AF4560" s="199" t="str">
        <f>IF(AND(COUNTIFS($J$18:J4560,J4560)=1,AE4560=1),1,"")</f>
        <v/>
      </c>
      <c r="AG4560" s="199" t="str">
        <f>IF(C4560="","",IF(AND(COUNTIFS($J$18:J4560,J4560)=1,C4560&lt;&gt;""),1,""))</f>
        <v/>
      </c>
      <c r="AH4560" s="199" t="str">
        <f>IF(G4560="","",IF(AND(COUNTIFS($J$18:J4560,J4560)=1,G4560&lt;&gt;""),1,""))</f>
        <v/>
      </c>
      <c r="AI4560" s="200">
        <f t="shared" si="1405"/>
        <v>0</v>
      </c>
      <c r="AJ4560" s="200">
        <f t="shared" si="1406"/>
        <v>0</v>
      </c>
      <c r="AK4560" s="201" t="str">
        <f t="shared" si="1407"/>
        <v/>
      </c>
      <c r="AL4560" s="24"/>
      <c r="AM4560" s="24"/>
      <c r="AN4560" s="24"/>
      <c r="AO4560" s="24"/>
      <c r="AP4560" s="165" t="str">
        <f t="shared" si="1408"/>
        <v/>
      </c>
      <c r="AQ4560" s="203" t="str">
        <f t="shared" si="1409"/>
        <v/>
      </c>
      <c r="AR4560" s="206">
        <f t="shared" si="1410"/>
        <v>0</v>
      </c>
      <c r="AS4560" s="22" t="str">
        <f t="shared" si="1411"/>
        <v/>
      </c>
      <c r="AT4560" s="24" t="str">
        <f t="shared" si="1412"/>
        <v/>
      </c>
      <c r="AU4560" s="22" t="s">
        <v>3240</v>
      </c>
    </row>
    <row r="4561" spans="1:47">
      <c r="A4561" s="246" t="str">
        <f t="shared" si="1400"/>
        <v/>
      </c>
      <c r="B4561" s="23"/>
      <c r="C4561" s="23"/>
      <c r="D4561" s="202" t="str">
        <f t="shared" si="1401"/>
        <v/>
      </c>
      <c r="E4561" s="33" t="str">
        <f t="shared" si="1395"/>
        <v/>
      </c>
      <c r="F4561" s="23"/>
      <c r="G4561" s="23"/>
      <c r="H4561" s="29"/>
      <c r="I4561" s="204" t="str">
        <f t="shared" si="1398"/>
        <v/>
      </c>
      <c r="J4561" s="188"/>
      <c r="K4561" s="29"/>
      <c r="L4561" s="24"/>
      <c r="M4561" s="22"/>
      <c r="N4561" s="22"/>
      <c r="O4561" s="22"/>
      <c r="P4561" s="202" t="str">
        <f t="shared" si="1399"/>
        <v/>
      </c>
      <c r="Q4561" s="22"/>
      <c r="R4561" s="22"/>
      <c r="S4561" s="22"/>
      <c r="T4561" s="22"/>
      <c r="U4561" s="22"/>
      <c r="V4561" s="22"/>
      <c r="W4561" s="22"/>
      <c r="X4561" s="104"/>
      <c r="Y4561" s="195" t="str">
        <f t="shared" si="1396"/>
        <v/>
      </c>
      <c r="Z4561" s="196" t="str">
        <f t="shared" si="1397"/>
        <v/>
      </c>
      <c r="AA4561" s="22"/>
      <c r="AB4561" s="197" t="str">
        <f t="shared" si="1402"/>
        <v/>
      </c>
      <c r="AC4561" s="198" t="str">
        <f t="shared" si="1403"/>
        <v/>
      </c>
      <c r="AD4561" s="162"/>
      <c r="AE4561" s="199" t="str">
        <f t="shared" si="1404"/>
        <v/>
      </c>
      <c r="AF4561" s="199" t="str">
        <f>IF(AND(COUNTIFS($J$18:J4561,J4561)=1,AE4561=1),1,"")</f>
        <v/>
      </c>
      <c r="AG4561" s="199" t="str">
        <f>IF(C4561="","",IF(AND(COUNTIFS($J$18:J4561,J4561)=1,C4561&lt;&gt;""),1,""))</f>
        <v/>
      </c>
      <c r="AH4561" s="199" t="str">
        <f>IF(G4561="","",IF(AND(COUNTIFS($J$18:J4561,J4561)=1,G4561&lt;&gt;""),1,""))</f>
        <v/>
      </c>
      <c r="AI4561" s="200">
        <f t="shared" si="1405"/>
        <v>0</v>
      </c>
      <c r="AJ4561" s="200">
        <f t="shared" si="1406"/>
        <v>0</v>
      </c>
      <c r="AK4561" s="201" t="str">
        <f t="shared" si="1407"/>
        <v/>
      </c>
      <c r="AL4561" s="24"/>
      <c r="AM4561" s="24"/>
      <c r="AN4561" s="24"/>
      <c r="AO4561" s="24"/>
      <c r="AP4561" s="165" t="str">
        <f t="shared" si="1408"/>
        <v/>
      </c>
      <c r="AQ4561" s="203" t="str">
        <f t="shared" si="1409"/>
        <v/>
      </c>
      <c r="AR4561" s="206">
        <f t="shared" si="1410"/>
        <v>0</v>
      </c>
      <c r="AS4561" s="22" t="str">
        <f t="shared" si="1411"/>
        <v/>
      </c>
      <c r="AT4561" s="24" t="str">
        <f t="shared" si="1412"/>
        <v/>
      </c>
      <c r="AU4561" s="22" t="s">
        <v>3240</v>
      </c>
    </row>
    <row r="4562" spans="1:47">
      <c r="A4562" s="246" t="str">
        <f t="shared" si="1400"/>
        <v/>
      </c>
      <c r="B4562" s="23"/>
      <c r="C4562" s="23"/>
      <c r="D4562" s="202" t="str">
        <f t="shared" si="1401"/>
        <v/>
      </c>
      <c r="E4562" s="33" t="str">
        <f t="shared" si="1395"/>
        <v/>
      </c>
      <c r="F4562" s="23"/>
      <c r="G4562" s="23"/>
      <c r="H4562" s="29"/>
      <c r="I4562" s="204" t="str">
        <f t="shared" si="1398"/>
        <v/>
      </c>
      <c r="J4562" s="188"/>
      <c r="K4562" s="29"/>
      <c r="L4562" s="24"/>
      <c r="M4562" s="22"/>
      <c r="N4562" s="22"/>
      <c r="O4562" s="22"/>
      <c r="P4562" s="202" t="str">
        <f t="shared" si="1399"/>
        <v/>
      </c>
      <c r="Q4562" s="22"/>
      <c r="R4562" s="22"/>
      <c r="S4562" s="22"/>
      <c r="T4562" s="22"/>
      <c r="U4562" s="22"/>
      <c r="V4562" s="22"/>
      <c r="W4562" s="22"/>
      <c r="X4562" s="104"/>
      <c r="Y4562" s="195" t="str">
        <f t="shared" si="1396"/>
        <v/>
      </c>
      <c r="Z4562" s="196" t="str">
        <f t="shared" si="1397"/>
        <v/>
      </c>
      <c r="AA4562" s="22"/>
      <c r="AB4562" s="197" t="str">
        <f t="shared" si="1402"/>
        <v/>
      </c>
      <c r="AC4562" s="198" t="str">
        <f t="shared" si="1403"/>
        <v/>
      </c>
      <c r="AD4562" s="162"/>
      <c r="AE4562" s="199" t="str">
        <f t="shared" si="1404"/>
        <v/>
      </c>
      <c r="AF4562" s="199" t="str">
        <f>IF(AND(COUNTIFS($J$18:J4562,J4562)=1,AE4562=1),1,"")</f>
        <v/>
      </c>
      <c r="AG4562" s="199" t="str">
        <f>IF(C4562="","",IF(AND(COUNTIFS($J$18:J4562,J4562)=1,C4562&lt;&gt;""),1,""))</f>
        <v/>
      </c>
      <c r="AH4562" s="199" t="str">
        <f>IF(G4562="","",IF(AND(COUNTIFS($J$18:J4562,J4562)=1,G4562&lt;&gt;""),1,""))</f>
        <v/>
      </c>
      <c r="AI4562" s="200">
        <f t="shared" si="1405"/>
        <v>0</v>
      </c>
      <c r="AJ4562" s="200">
        <f t="shared" si="1406"/>
        <v>0</v>
      </c>
      <c r="AK4562" s="201" t="str">
        <f t="shared" si="1407"/>
        <v/>
      </c>
      <c r="AL4562" s="24"/>
      <c r="AM4562" s="24"/>
      <c r="AN4562" s="24"/>
      <c r="AO4562" s="24"/>
      <c r="AP4562" s="165" t="str">
        <f t="shared" si="1408"/>
        <v/>
      </c>
      <c r="AQ4562" s="203" t="str">
        <f t="shared" si="1409"/>
        <v/>
      </c>
      <c r="AR4562" s="206">
        <f t="shared" si="1410"/>
        <v>0</v>
      </c>
      <c r="AS4562" s="22" t="str">
        <f t="shared" si="1411"/>
        <v/>
      </c>
      <c r="AT4562" s="24" t="str">
        <f t="shared" si="1412"/>
        <v/>
      </c>
      <c r="AU4562" s="22" t="s">
        <v>3240</v>
      </c>
    </row>
    <row r="4563" spans="1:47">
      <c r="A4563" s="246" t="str">
        <f t="shared" si="1400"/>
        <v/>
      </c>
      <c r="B4563" s="23"/>
      <c r="C4563" s="23"/>
      <c r="D4563" s="202" t="str">
        <f t="shared" si="1401"/>
        <v/>
      </c>
      <c r="E4563" s="33" t="str">
        <f t="shared" si="1395"/>
        <v/>
      </c>
      <c r="F4563" s="23"/>
      <c r="G4563" s="23"/>
      <c r="H4563" s="29"/>
      <c r="I4563" s="204" t="str">
        <f t="shared" si="1398"/>
        <v/>
      </c>
      <c r="J4563" s="188"/>
      <c r="K4563" s="29"/>
      <c r="L4563" s="24"/>
      <c r="M4563" s="22"/>
      <c r="N4563" s="22"/>
      <c r="O4563" s="22"/>
      <c r="P4563" s="202" t="str">
        <f t="shared" si="1399"/>
        <v/>
      </c>
      <c r="Q4563" s="22"/>
      <c r="R4563" s="22"/>
      <c r="S4563" s="22"/>
      <c r="T4563" s="22"/>
      <c r="U4563" s="22"/>
      <c r="V4563" s="22"/>
      <c r="W4563" s="22"/>
      <c r="X4563" s="104"/>
      <c r="Y4563" s="195" t="str">
        <f t="shared" si="1396"/>
        <v/>
      </c>
      <c r="Z4563" s="196" t="str">
        <f t="shared" si="1397"/>
        <v/>
      </c>
      <c r="AA4563" s="22"/>
      <c r="AB4563" s="197" t="str">
        <f t="shared" si="1402"/>
        <v/>
      </c>
      <c r="AC4563" s="198" t="str">
        <f t="shared" si="1403"/>
        <v/>
      </c>
      <c r="AD4563" s="162"/>
      <c r="AE4563" s="199" t="str">
        <f t="shared" si="1404"/>
        <v/>
      </c>
      <c r="AF4563" s="199" t="str">
        <f>IF(AND(COUNTIFS($J$18:J4563,J4563)=1,AE4563=1),1,"")</f>
        <v/>
      </c>
      <c r="AG4563" s="199" t="str">
        <f>IF(C4563="","",IF(AND(COUNTIFS($J$18:J4563,J4563)=1,C4563&lt;&gt;""),1,""))</f>
        <v/>
      </c>
      <c r="AH4563" s="199" t="str">
        <f>IF(G4563="","",IF(AND(COUNTIFS($J$18:J4563,J4563)=1,G4563&lt;&gt;""),1,""))</f>
        <v/>
      </c>
      <c r="AI4563" s="200">
        <f t="shared" si="1405"/>
        <v>0</v>
      </c>
      <c r="AJ4563" s="200">
        <f t="shared" si="1406"/>
        <v>0</v>
      </c>
      <c r="AK4563" s="201" t="str">
        <f t="shared" si="1407"/>
        <v/>
      </c>
      <c r="AL4563" s="24"/>
      <c r="AM4563" s="24"/>
      <c r="AN4563" s="24"/>
      <c r="AO4563" s="24"/>
      <c r="AP4563" s="165" t="str">
        <f t="shared" si="1408"/>
        <v/>
      </c>
      <c r="AQ4563" s="203" t="str">
        <f t="shared" si="1409"/>
        <v/>
      </c>
      <c r="AR4563" s="206">
        <f t="shared" si="1410"/>
        <v>0</v>
      </c>
      <c r="AS4563" s="22" t="str">
        <f t="shared" si="1411"/>
        <v/>
      </c>
      <c r="AT4563" s="24" t="str">
        <f t="shared" si="1412"/>
        <v/>
      </c>
      <c r="AU4563" s="22" t="s">
        <v>3240</v>
      </c>
    </row>
    <row r="4564" spans="1:47">
      <c r="A4564" s="246" t="str">
        <f t="shared" si="1400"/>
        <v/>
      </c>
      <c r="B4564" s="23"/>
      <c r="C4564" s="23"/>
      <c r="D4564" s="202" t="str">
        <f t="shared" si="1401"/>
        <v/>
      </c>
      <c r="E4564" s="33" t="str">
        <f t="shared" si="1395"/>
        <v/>
      </c>
      <c r="F4564" s="23"/>
      <c r="G4564" s="23"/>
      <c r="H4564" s="29"/>
      <c r="I4564" s="204" t="str">
        <f t="shared" si="1398"/>
        <v/>
      </c>
      <c r="J4564" s="188"/>
      <c r="K4564" s="29"/>
      <c r="L4564" s="24"/>
      <c r="M4564" s="22"/>
      <c r="N4564" s="22"/>
      <c r="O4564" s="22"/>
      <c r="P4564" s="202" t="str">
        <f t="shared" si="1399"/>
        <v/>
      </c>
      <c r="Q4564" s="22"/>
      <c r="R4564" s="22"/>
      <c r="S4564" s="22"/>
      <c r="T4564" s="22"/>
      <c r="U4564" s="22"/>
      <c r="V4564" s="22"/>
      <c r="W4564" s="22"/>
      <c r="X4564" s="104"/>
      <c r="Y4564" s="195" t="str">
        <f t="shared" si="1396"/>
        <v/>
      </c>
      <c r="Z4564" s="196" t="str">
        <f t="shared" si="1397"/>
        <v/>
      </c>
      <c r="AA4564" s="22"/>
      <c r="AB4564" s="197" t="str">
        <f t="shared" si="1402"/>
        <v/>
      </c>
      <c r="AC4564" s="198" t="str">
        <f t="shared" si="1403"/>
        <v/>
      </c>
      <c r="AD4564" s="162"/>
      <c r="AE4564" s="199" t="str">
        <f t="shared" si="1404"/>
        <v/>
      </c>
      <c r="AF4564" s="199" t="str">
        <f>IF(AND(COUNTIFS($J$18:J4564,J4564)=1,AE4564=1),1,"")</f>
        <v/>
      </c>
      <c r="AG4564" s="199" t="str">
        <f>IF(C4564="","",IF(AND(COUNTIFS($J$18:J4564,J4564)=1,C4564&lt;&gt;""),1,""))</f>
        <v/>
      </c>
      <c r="AH4564" s="199" t="str">
        <f>IF(G4564="","",IF(AND(COUNTIFS($J$18:J4564,J4564)=1,G4564&lt;&gt;""),1,""))</f>
        <v/>
      </c>
      <c r="AI4564" s="200">
        <f t="shared" si="1405"/>
        <v>0</v>
      </c>
      <c r="AJ4564" s="200">
        <f t="shared" si="1406"/>
        <v>0</v>
      </c>
      <c r="AK4564" s="201" t="str">
        <f t="shared" si="1407"/>
        <v/>
      </c>
      <c r="AL4564" s="24"/>
      <c r="AM4564" s="24"/>
      <c r="AN4564" s="24"/>
      <c r="AO4564" s="24"/>
      <c r="AP4564" s="165" t="str">
        <f t="shared" si="1408"/>
        <v/>
      </c>
      <c r="AQ4564" s="203" t="str">
        <f t="shared" si="1409"/>
        <v/>
      </c>
      <c r="AR4564" s="206">
        <f t="shared" si="1410"/>
        <v>0</v>
      </c>
      <c r="AS4564" s="22" t="str">
        <f t="shared" si="1411"/>
        <v/>
      </c>
      <c r="AT4564" s="24" t="str">
        <f t="shared" si="1412"/>
        <v/>
      </c>
      <c r="AU4564" s="22" t="s">
        <v>3240</v>
      </c>
    </row>
    <row r="4565" spans="1:47">
      <c r="A4565" s="246" t="str">
        <f t="shared" si="1400"/>
        <v/>
      </c>
      <c r="B4565" s="23"/>
      <c r="C4565" s="23"/>
      <c r="D4565" s="202" t="str">
        <f t="shared" si="1401"/>
        <v/>
      </c>
      <c r="E4565" s="33" t="str">
        <f t="shared" si="1395"/>
        <v/>
      </c>
      <c r="F4565" s="23"/>
      <c r="G4565" s="23"/>
      <c r="H4565" s="29"/>
      <c r="I4565" s="204" t="str">
        <f t="shared" si="1398"/>
        <v/>
      </c>
      <c r="J4565" s="188"/>
      <c r="K4565" s="29"/>
      <c r="L4565" s="24"/>
      <c r="M4565" s="22"/>
      <c r="N4565" s="22"/>
      <c r="O4565" s="22"/>
      <c r="P4565" s="202" t="str">
        <f t="shared" si="1399"/>
        <v/>
      </c>
      <c r="Q4565" s="22"/>
      <c r="R4565" s="22"/>
      <c r="S4565" s="22"/>
      <c r="T4565" s="22"/>
      <c r="U4565" s="22"/>
      <c r="V4565" s="22"/>
      <c r="W4565" s="22"/>
      <c r="X4565" s="104"/>
      <c r="Y4565" s="195" t="str">
        <f t="shared" si="1396"/>
        <v/>
      </c>
      <c r="Z4565" s="196" t="str">
        <f t="shared" si="1397"/>
        <v/>
      </c>
      <c r="AA4565" s="22"/>
      <c r="AB4565" s="197" t="str">
        <f t="shared" si="1402"/>
        <v/>
      </c>
      <c r="AC4565" s="198" t="str">
        <f t="shared" si="1403"/>
        <v/>
      </c>
      <c r="AD4565" s="162"/>
      <c r="AE4565" s="199" t="str">
        <f t="shared" si="1404"/>
        <v/>
      </c>
      <c r="AF4565" s="199" t="str">
        <f>IF(AND(COUNTIFS($J$18:J4565,J4565)=1,AE4565=1),1,"")</f>
        <v/>
      </c>
      <c r="AG4565" s="199" t="str">
        <f>IF(C4565="","",IF(AND(COUNTIFS($J$18:J4565,J4565)=1,C4565&lt;&gt;""),1,""))</f>
        <v/>
      </c>
      <c r="AH4565" s="199" t="str">
        <f>IF(G4565="","",IF(AND(COUNTIFS($J$18:J4565,J4565)=1,G4565&lt;&gt;""),1,""))</f>
        <v/>
      </c>
      <c r="AI4565" s="200">
        <f t="shared" si="1405"/>
        <v>0</v>
      </c>
      <c r="AJ4565" s="200">
        <f t="shared" si="1406"/>
        <v>0</v>
      </c>
      <c r="AK4565" s="201" t="str">
        <f t="shared" si="1407"/>
        <v/>
      </c>
      <c r="AL4565" s="24"/>
      <c r="AM4565" s="24"/>
      <c r="AN4565" s="24"/>
      <c r="AO4565" s="24"/>
      <c r="AP4565" s="165" t="str">
        <f t="shared" si="1408"/>
        <v/>
      </c>
      <c r="AQ4565" s="203" t="str">
        <f t="shared" si="1409"/>
        <v/>
      </c>
      <c r="AR4565" s="206">
        <f t="shared" si="1410"/>
        <v>0</v>
      </c>
      <c r="AS4565" s="22" t="str">
        <f t="shared" si="1411"/>
        <v/>
      </c>
      <c r="AT4565" s="24" t="str">
        <f t="shared" si="1412"/>
        <v/>
      </c>
      <c r="AU4565" s="22" t="s">
        <v>3240</v>
      </c>
    </row>
    <row r="4566" spans="1:47">
      <c r="A4566" s="246" t="str">
        <f t="shared" si="1400"/>
        <v/>
      </c>
      <c r="B4566" s="23"/>
      <c r="C4566" s="23"/>
      <c r="D4566" s="202" t="str">
        <f t="shared" si="1401"/>
        <v/>
      </c>
      <c r="E4566" s="33" t="str">
        <f t="shared" si="1395"/>
        <v/>
      </c>
      <c r="F4566" s="23"/>
      <c r="G4566" s="23"/>
      <c r="H4566" s="29"/>
      <c r="I4566" s="204" t="str">
        <f t="shared" si="1398"/>
        <v/>
      </c>
      <c r="J4566" s="188"/>
      <c r="K4566" s="29"/>
      <c r="L4566" s="24"/>
      <c r="M4566" s="22"/>
      <c r="N4566" s="22"/>
      <c r="O4566" s="22"/>
      <c r="P4566" s="202" t="str">
        <f t="shared" si="1399"/>
        <v/>
      </c>
      <c r="Q4566" s="22"/>
      <c r="R4566" s="22"/>
      <c r="S4566" s="22"/>
      <c r="T4566" s="22"/>
      <c r="U4566" s="22"/>
      <c r="V4566" s="22"/>
      <c r="W4566" s="22"/>
      <c r="X4566" s="104"/>
      <c r="Y4566" s="195" t="str">
        <f t="shared" si="1396"/>
        <v/>
      </c>
      <c r="Z4566" s="196" t="str">
        <f t="shared" si="1397"/>
        <v/>
      </c>
      <c r="AA4566" s="22"/>
      <c r="AB4566" s="197" t="str">
        <f t="shared" si="1402"/>
        <v/>
      </c>
      <c r="AC4566" s="198" t="str">
        <f t="shared" si="1403"/>
        <v/>
      </c>
      <c r="AD4566" s="162"/>
      <c r="AE4566" s="199" t="str">
        <f t="shared" si="1404"/>
        <v/>
      </c>
      <c r="AF4566" s="199" t="str">
        <f>IF(AND(COUNTIFS($J$18:J4566,J4566)=1,AE4566=1),1,"")</f>
        <v/>
      </c>
      <c r="AG4566" s="199" t="str">
        <f>IF(C4566="","",IF(AND(COUNTIFS($J$18:J4566,J4566)=1,C4566&lt;&gt;""),1,""))</f>
        <v/>
      </c>
      <c r="AH4566" s="199" t="str">
        <f>IF(G4566="","",IF(AND(COUNTIFS($J$18:J4566,J4566)=1,G4566&lt;&gt;""),1,""))</f>
        <v/>
      </c>
      <c r="AI4566" s="200">
        <f t="shared" si="1405"/>
        <v>0</v>
      </c>
      <c r="AJ4566" s="200">
        <f t="shared" si="1406"/>
        <v>0</v>
      </c>
      <c r="AK4566" s="201" t="str">
        <f t="shared" si="1407"/>
        <v/>
      </c>
      <c r="AL4566" s="24"/>
      <c r="AM4566" s="24"/>
      <c r="AN4566" s="24"/>
      <c r="AO4566" s="24"/>
      <c r="AP4566" s="165" t="str">
        <f t="shared" si="1408"/>
        <v/>
      </c>
      <c r="AQ4566" s="203" t="str">
        <f t="shared" si="1409"/>
        <v/>
      </c>
      <c r="AR4566" s="206">
        <f t="shared" si="1410"/>
        <v>0</v>
      </c>
      <c r="AS4566" s="22" t="str">
        <f t="shared" si="1411"/>
        <v/>
      </c>
      <c r="AT4566" s="24" t="str">
        <f t="shared" si="1412"/>
        <v/>
      </c>
      <c r="AU4566" s="22" t="s">
        <v>3240</v>
      </c>
    </row>
    <row r="4567" spans="1:47">
      <c r="A4567" s="246" t="str">
        <f t="shared" si="1400"/>
        <v/>
      </c>
      <c r="B4567" s="23"/>
      <c r="C4567" s="23"/>
      <c r="D4567" s="202" t="str">
        <f t="shared" si="1401"/>
        <v/>
      </c>
      <c r="E4567" s="33" t="str">
        <f t="shared" si="1395"/>
        <v/>
      </c>
      <c r="F4567" s="23"/>
      <c r="G4567" s="23"/>
      <c r="H4567" s="29"/>
      <c r="I4567" s="204" t="str">
        <f t="shared" si="1398"/>
        <v/>
      </c>
      <c r="J4567" s="188"/>
      <c r="K4567" s="29"/>
      <c r="L4567" s="24"/>
      <c r="M4567" s="22"/>
      <c r="N4567" s="22"/>
      <c r="O4567" s="22"/>
      <c r="P4567" s="202" t="str">
        <f t="shared" si="1399"/>
        <v/>
      </c>
      <c r="Q4567" s="22"/>
      <c r="R4567" s="22"/>
      <c r="S4567" s="22"/>
      <c r="T4567" s="22"/>
      <c r="U4567" s="22"/>
      <c r="V4567" s="22"/>
      <c r="W4567" s="22"/>
      <c r="X4567" s="104"/>
      <c r="Y4567" s="195" t="str">
        <f t="shared" si="1396"/>
        <v/>
      </c>
      <c r="Z4567" s="196" t="str">
        <f t="shared" si="1397"/>
        <v/>
      </c>
      <c r="AA4567" s="22"/>
      <c r="AB4567" s="197" t="str">
        <f t="shared" si="1402"/>
        <v/>
      </c>
      <c r="AC4567" s="198" t="str">
        <f t="shared" si="1403"/>
        <v/>
      </c>
      <c r="AD4567" s="162"/>
      <c r="AE4567" s="199" t="str">
        <f t="shared" si="1404"/>
        <v/>
      </c>
      <c r="AF4567" s="199" t="str">
        <f>IF(AND(COUNTIFS($J$18:J4567,J4567)=1,AE4567=1),1,"")</f>
        <v/>
      </c>
      <c r="AG4567" s="199" t="str">
        <f>IF(C4567="","",IF(AND(COUNTIFS($J$18:J4567,J4567)=1,C4567&lt;&gt;""),1,""))</f>
        <v/>
      </c>
      <c r="AH4567" s="199" t="str">
        <f>IF(G4567="","",IF(AND(COUNTIFS($J$18:J4567,J4567)=1,G4567&lt;&gt;""),1,""))</f>
        <v/>
      </c>
      <c r="AI4567" s="200">
        <f t="shared" si="1405"/>
        <v>0</v>
      </c>
      <c r="AJ4567" s="200">
        <f t="shared" si="1406"/>
        <v>0</v>
      </c>
      <c r="AK4567" s="201" t="str">
        <f t="shared" si="1407"/>
        <v/>
      </c>
      <c r="AL4567" s="24"/>
      <c r="AM4567" s="24"/>
      <c r="AN4567" s="24"/>
      <c r="AO4567" s="24"/>
      <c r="AP4567" s="165" t="str">
        <f t="shared" si="1408"/>
        <v/>
      </c>
      <c r="AQ4567" s="203" t="str">
        <f t="shared" si="1409"/>
        <v/>
      </c>
      <c r="AR4567" s="206">
        <f t="shared" si="1410"/>
        <v>0</v>
      </c>
      <c r="AS4567" s="22" t="str">
        <f t="shared" si="1411"/>
        <v/>
      </c>
      <c r="AT4567" s="24" t="str">
        <f t="shared" si="1412"/>
        <v/>
      </c>
      <c r="AU4567" s="22" t="s">
        <v>3240</v>
      </c>
    </row>
    <row r="4568" spans="1:47">
      <c r="A4568" s="246" t="str">
        <f t="shared" si="1400"/>
        <v/>
      </c>
      <c r="B4568" s="23"/>
      <c r="C4568" s="23"/>
      <c r="D4568" s="202" t="str">
        <f t="shared" si="1401"/>
        <v/>
      </c>
      <c r="E4568" s="33" t="str">
        <f t="shared" ref="E4568:E4631" si="1413">IF(G4568="Cancel","Cancel",IF(G4568="TBA","TBA",IFERROR(IF(I4568="Q4","FY "&amp;RIGHT(F4568,2)-1&amp;"/"&amp;RIGHT(F4568,2),"FY "&amp;RIGHT(F4568,2)&amp;"/"&amp;RIGHT(F4568,2)+1),"")))</f>
        <v/>
      </c>
      <c r="F4568" s="23"/>
      <c r="G4568" s="23"/>
      <c r="H4568" s="29"/>
      <c r="I4568" s="204" t="str">
        <f t="shared" si="1398"/>
        <v/>
      </c>
      <c r="J4568" s="188"/>
      <c r="K4568" s="29"/>
      <c r="L4568" s="24"/>
      <c r="M4568" s="22"/>
      <c r="N4568" s="22"/>
      <c r="O4568" s="22"/>
      <c r="P4568" s="202" t="str">
        <f t="shared" si="1399"/>
        <v/>
      </c>
      <c r="Q4568" s="22"/>
      <c r="R4568" s="22"/>
      <c r="S4568" s="22"/>
      <c r="T4568" s="22"/>
      <c r="U4568" s="22"/>
      <c r="V4568" s="22"/>
      <c r="W4568" s="22"/>
      <c r="X4568" s="104"/>
      <c r="Y4568" s="195" t="str">
        <f t="shared" si="1396"/>
        <v/>
      </c>
      <c r="Z4568" s="196" t="str">
        <f t="shared" si="1397"/>
        <v/>
      </c>
      <c r="AA4568" s="22"/>
      <c r="AB4568" s="197" t="str">
        <f t="shared" si="1402"/>
        <v/>
      </c>
      <c r="AC4568" s="198" t="str">
        <f t="shared" si="1403"/>
        <v/>
      </c>
      <c r="AD4568" s="162"/>
      <c r="AE4568" s="199" t="str">
        <f t="shared" si="1404"/>
        <v/>
      </c>
      <c r="AF4568" s="199" t="str">
        <f>IF(AND(COUNTIFS($J$18:J4568,J4568)=1,AE4568=1),1,"")</f>
        <v/>
      </c>
      <c r="AG4568" s="199" t="str">
        <f>IF(C4568="","",IF(AND(COUNTIFS($J$18:J4568,J4568)=1,C4568&lt;&gt;""),1,""))</f>
        <v/>
      </c>
      <c r="AH4568" s="199" t="str">
        <f>IF(G4568="","",IF(AND(COUNTIFS($J$18:J4568,J4568)=1,G4568&lt;&gt;""),1,""))</f>
        <v/>
      </c>
      <c r="AI4568" s="200">
        <f t="shared" si="1405"/>
        <v>0</v>
      </c>
      <c r="AJ4568" s="200">
        <f t="shared" si="1406"/>
        <v>0</v>
      </c>
      <c r="AK4568" s="201" t="str">
        <f t="shared" si="1407"/>
        <v/>
      </c>
      <c r="AL4568" s="24"/>
      <c r="AM4568" s="24"/>
      <c r="AN4568" s="24"/>
      <c r="AO4568" s="24"/>
      <c r="AP4568" s="165" t="str">
        <f t="shared" si="1408"/>
        <v/>
      </c>
      <c r="AQ4568" s="203" t="str">
        <f t="shared" si="1409"/>
        <v/>
      </c>
      <c r="AR4568" s="206">
        <f t="shared" si="1410"/>
        <v>0</v>
      </c>
      <c r="AS4568" s="22" t="str">
        <f t="shared" si="1411"/>
        <v/>
      </c>
      <c r="AT4568" s="24" t="str">
        <f t="shared" si="1412"/>
        <v/>
      </c>
      <c r="AU4568" s="22" t="s">
        <v>3240</v>
      </c>
    </row>
    <row r="4569" spans="1:47">
      <c r="A4569" s="246" t="str">
        <f t="shared" si="1400"/>
        <v/>
      </c>
      <c r="B4569" s="23"/>
      <c r="C4569" s="23"/>
      <c r="D4569" s="202" t="str">
        <f t="shared" si="1401"/>
        <v/>
      </c>
      <c r="E4569" s="33" t="str">
        <f t="shared" si="1413"/>
        <v/>
      </c>
      <c r="F4569" s="23"/>
      <c r="G4569" s="23"/>
      <c r="H4569" s="29"/>
      <c r="I4569" s="204" t="str">
        <f t="shared" si="1398"/>
        <v/>
      </c>
      <c r="J4569" s="188"/>
      <c r="K4569" s="29"/>
      <c r="L4569" s="24"/>
      <c r="M4569" s="22"/>
      <c r="N4569" s="22"/>
      <c r="O4569" s="22"/>
      <c r="P4569" s="202" t="str">
        <f t="shared" si="1399"/>
        <v/>
      </c>
      <c r="Q4569" s="22"/>
      <c r="R4569" s="22"/>
      <c r="S4569" s="22"/>
      <c r="T4569" s="22"/>
      <c r="U4569" s="22"/>
      <c r="V4569" s="22"/>
      <c r="W4569" s="22"/>
      <c r="X4569" s="104"/>
      <c r="Y4569" s="195" t="str">
        <f t="shared" si="1396"/>
        <v/>
      </c>
      <c r="Z4569" s="196" t="str">
        <f t="shared" si="1397"/>
        <v/>
      </c>
      <c r="AA4569" s="22"/>
      <c r="AB4569" s="197" t="str">
        <f t="shared" si="1402"/>
        <v/>
      </c>
      <c r="AC4569" s="198" t="str">
        <f t="shared" si="1403"/>
        <v/>
      </c>
      <c r="AD4569" s="162"/>
      <c r="AE4569" s="199" t="str">
        <f t="shared" si="1404"/>
        <v/>
      </c>
      <c r="AF4569" s="199" t="str">
        <f>IF(AND(COUNTIFS($J$18:J4569,J4569)=1,AE4569=1),1,"")</f>
        <v/>
      </c>
      <c r="AG4569" s="199" t="str">
        <f>IF(C4569="","",IF(AND(COUNTIFS($J$18:J4569,J4569)=1,C4569&lt;&gt;""),1,""))</f>
        <v/>
      </c>
      <c r="AH4569" s="199" t="str">
        <f>IF(G4569="","",IF(AND(COUNTIFS($J$18:J4569,J4569)=1,G4569&lt;&gt;""),1,""))</f>
        <v/>
      </c>
      <c r="AI4569" s="200">
        <f t="shared" si="1405"/>
        <v>0</v>
      </c>
      <c r="AJ4569" s="200">
        <f t="shared" si="1406"/>
        <v>0</v>
      </c>
      <c r="AK4569" s="201" t="str">
        <f t="shared" si="1407"/>
        <v/>
      </c>
      <c r="AL4569" s="24"/>
      <c r="AM4569" s="24"/>
      <c r="AN4569" s="24"/>
      <c r="AO4569" s="24"/>
      <c r="AP4569" s="165" t="str">
        <f t="shared" si="1408"/>
        <v/>
      </c>
      <c r="AQ4569" s="203" t="str">
        <f t="shared" si="1409"/>
        <v/>
      </c>
      <c r="AR4569" s="206">
        <f t="shared" si="1410"/>
        <v>0</v>
      </c>
      <c r="AS4569" s="22" t="str">
        <f t="shared" si="1411"/>
        <v/>
      </c>
      <c r="AT4569" s="24" t="str">
        <f t="shared" si="1412"/>
        <v/>
      </c>
      <c r="AU4569" s="22" t="s">
        <v>3240</v>
      </c>
    </row>
    <row r="4570" spans="1:47">
      <c r="A4570" s="246" t="str">
        <f t="shared" si="1400"/>
        <v/>
      </c>
      <c r="B4570" s="23"/>
      <c r="C4570" s="23"/>
      <c r="D4570" s="202" t="str">
        <f t="shared" si="1401"/>
        <v/>
      </c>
      <c r="E4570" s="33" t="str">
        <f t="shared" si="1413"/>
        <v/>
      </c>
      <c r="F4570" s="23"/>
      <c r="G4570" s="23"/>
      <c r="H4570" s="29"/>
      <c r="I4570" s="204" t="str">
        <f t="shared" si="1398"/>
        <v/>
      </c>
      <c r="J4570" s="188"/>
      <c r="K4570" s="29"/>
      <c r="L4570" s="24"/>
      <c r="M4570" s="22"/>
      <c r="N4570" s="22"/>
      <c r="O4570" s="22"/>
      <c r="P4570" s="202" t="str">
        <f t="shared" si="1399"/>
        <v/>
      </c>
      <c r="Q4570" s="22"/>
      <c r="R4570" s="22"/>
      <c r="S4570" s="22"/>
      <c r="T4570" s="22"/>
      <c r="U4570" s="22"/>
      <c r="V4570" s="22"/>
      <c r="W4570" s="22"/>
      <c r="X4570" s="104"/>
      <c r="Y4570" s="195" t="str">
        <f t="shared" si="1396"/>
        <v/>
      </c>
      <c r="Z4570" s="196" t="str">
        <f t="shared" si="1397"/>
        <v/>
      </c>
      <c r="AA4570" s="22"/>
      <c r="AB4570" s="197" t="str">
        <f t="shared" si="1402"/>
        <v/>
      </c>
      <c r="AC4570" s="198" t="str">
        <f t="shared" si="1403"/>
        <v/>
      </c>
      <c r="AD4570" s="162"/>
      <c r="AE4570" s="199" t="str">
        <f t="shared" si="1404"/>
        <v/>
      </c>
      <c r="AF4570" s="199" t="str">
        <f>IF(AND(COUNTIFS($J$18:J4570,J4570)=1,AE4570=1),1,"")</f>
        <v/>
      </c>
      <c r="AG4570" s="199" t="str">
        <f>IF(C4570="","",IF(AND(COUNTIFS($J$18:J4570,J4570)=1,C4570&lt;&gt;""),1,""))</f>
        <v/>
      </c>
      <c r="AH4570" s="199" t="str">
        <f>IF(G4570="","",IF(AND(COUNTIFS($J$18:J4570,J4570)=1,G4570&lt;&gt;""),1,""))</f>
        <v/>
      </c>
      <c r="AI4570" s="200">
        <f t="shared" si="1405"/>
        <v>0</v>
      </c>
      <c r="AJ4570" s="200">
        <f t="shared" si="1406"/>
        <v>0</v>
      </c>
      <c r="AK4570" s="201" t="str">
        <f t="shared" si="1407"/>
        <v/>
      </c>
      <c r="AL4570" s="24"/>
      <c r="AM4570" s="24"/>
      <c r="AN4570" s="24"/>
      <c r="AO4570" s="24"/>
      <c r="AP4570" s="165" t="str">
        <f t="shared" si="1408"/>
        <v/>
      </c>
      <c r="AQ4570" s="203" t="str">
        <f t="shared" si="1409"/>
        <v/>
      </c>
      <c r="AR4570" s="206">
        <f t="shared" si="1410"/>
        <v>0</v>
      </c>
      <c r="AS4570" s="22" t="str">
        <f t="shared" si="1411"/>
        <v/>
      </c>
      <c r="AT4570" s="24" t="str">
        <f t="shared" si="1412"/>
        <v/>
      </c>
      <c r="AU4570" s="22" t="s">
        <v>3240</v>
      </c>
    </row>
    <row r="4571" spans="1:47">
      <c r="A4571" s="246" t="str">
        <f t="shared" si="1400"/>
        <v/>
      </c>
      <c r="B4571" s="23"/>
      <c r="C4571" s="23"/>
      <c r="D4571" s="202" t="str">
        <f t="shared" si="1401"/>
        <v/>
      </c>
      <c r="E4571" s="33" t="str">
        <f t="shared" si="1413"/>
        <v/>
      </c>
      <c r="F4571" s="23"/>
      <c r="G4571" s="23"/>
      <c r="H4571" s="29"/>
      <c r="I4571" s="204" t="str">
        <f t="shared" si="1398"/>
        <v/>
      </c>
      <c r="J4571" s="188"/>
      <c r="K4571" s="29"/>
      <c r="L4571" s="24"/>
      <c r="M4571" s="22"/>
      <c r="N4571" s="22"/>
      <c r="O4571" s="22"/>
      <c r="P4571" s="202" t="str">
        <f t="shared" si="1399"/>
        <v/>
      </c>
      <c r="Q4571" s="22"/>
      <c r="R4571" s="22"/>
      <c r="S4571" s="22"/>
      <c r="T4571" s="22"/>
      <c r="U4571" s="22"/>
      <c r="V4571" s="22"/>
      <c r="W4571" s="22"/>
      <c r="X4571" s="104"/>
      <c r="Y4571" s="195" t="str">
        <f t="shared" ref="Y4571:Y4634" si="1414">IF(W4571="","",IF(W4571="RMB","1.13", "1"))</f>
        <v/>
      </c>
      <c r="Z4571" s="196" t="str">
        <f t="shared" ref="Z4571:Z4634" si="1415">IF(X4571="","",X4571*MAX(O4571,N4571))</f>
        <v/>
      </c>
      <c r="AA4571" s="22"/>
      <c r="AB4571" s="197" t="str">
        <f t="shared" si="1402"/>
        <v/>
      </c>
      <c r="AC4571" s="198" t="str">
        <f t="shared" si="1403"/>
        <v/>
      </c>
      <c r="AD4571" s="162"/>
      <c r="AE4571" s="199" t="str">
        <f t="shared" si="1404"/>
        <v/>
      </c>
      <c r="AF4571" s="199" t="str">
        <f>IF(AND(COUNTIFS($J$18:J4571,J4571)=1,AE4571=1),1,"")</f>
        <v/>
      </c>
      <c r="AG4571" s="199" t="str">
        <f>IF(C4571="","",IF(AND(COUNTIFS($J$18:J4571,J4571)=1,C4571&lt;&gt;""),1,""))</f>
        <v/>
      </c>
      <c r="AH4571" s="199" t="str">
        <f>IF(G4571="","",IF(AND(COUNTIFS($J$18:J4571,J4571)=1,G4571&lt;&gt;""),1,""))</f>
        <v/>
      </c>
      <c r="AI4571" s="200">
        <f t="shared" si="1405"/>
        <v>0</v>
      </c>
      <c r="AJ4571" s="200">
        <f t="shared" si="1406"/>
        <v>0</v>
      </c>
      <c r="AK4571" s="201" t="str">
        <f t="shared" si="1407"/>
        <v/>
      </c>
      <c r="AL4571" s="24"/>
      <c r="AM4571" s="24"/>
      <c r="AN4571" s="24"/>
      <c r="AO4571" s="24"/>
      <c r="AP4571" s="165" t="str">
        <f t="shared" si="1408"/>
        <v/>
      </c>
      <c r="AQ4571" s="203" t="str">
        <f t="shared" si="1409"/>
        <v/>
      </c>
      <c r="AR4571" s="206">
        <f t="shared" si="1410"/>
        <v>0</v>
      </c>
      <c r="AS4571" s="22" t="str">
        <f t="shared" si="1411"/>
        <v/>
      </c>
      <c r="AT4571" s="24" t="str">
        <f t="shared" si="1412"/>
        <v/>
      </c>
      <c r="AU4571" s="22" t="s">
        <v>3240</v>
      </c>
    </row>
    <row r="4572" spans="1:47">
      <c r="A4572" s="246" t="str">
        <f t="shared" si="1400"/>
        <v/>
      </c>
      <c r="B4572" s="23"/>
      <c r="C4572" s="23"/>
      <c r="D4572" s="202" t="str">
        <f t="shared" si="1401"/>
        <v/>
      </c>
      <c r="E4572" s="33" t="str">
        <f t="shared" si="1413"/>
        <v/>
      </c>
      <c r="F4572" s="23"/>
      <c r="G4572" s="23"/>
      <c r="H4572" s="29"/>
      <c r="I4572" s="204" t="str">
        <f t="shared" si="1398"/>
        <v/>
      </c>
      <c r="J4572" s="188"/>
      <c r="K4572" s="29"/>
      <c r="L4572" s="24"/>
      <c r="M4572" s="22"/>
      <c r="N4572" s="22"/>
      <c r="O4572" s="22"/>
      <c r="P4572" s="202" t="str">
        <f t="shared" si="1399"/>
        <v/>
      </c>
      <c r="Q4572" s="22"/>
      <c r="R4572" s="22"/>
      <c r="S4572" s="22"/>
      <c r="T4572" s="22"/>
      <c r="U4572" s="22"/>
      <c r="V4572" s="22"/>
      <c r="W4572" s="22"/>
      <c r="X4572" s="104"/>
      <c r="Y4572" s="195" t="str">
        <f t="shared" si="1414"/>
        <v/>
      </c>
      <c r="Z4572" s="196" t="str">
        <f t="shared" si="1415"/>
        <v/>
      </c>
      <c r="AA4572" s="22"/>
      <c r="AB4572" s="197" t="str">
        <f t="shared" si="1402"/>
        <v/>
      </c>
      <c r="AC4572" s="198" t="str">
        <f t="shared" si="1403"/>
        <v/>
      </c>
      <c r="AD4572" s="162"/>
      <c r="AE4572" s="199" t="str">
        <f t="shared" si="1404"/>
        <v/>
      </c>
      <c r="AF4572" s="199" t="str">
        <f>IF(AND(COUNTIFS($J$18:J4572,J4572)=1,AE4572=1),1,"")</f>
        <v/>
      </c>
      <c r="AG4572" s="199" t="str">
        <f>IF(C4572="","",IF(AND(COUNTIFS($J$18:J4572,J4572)=1,C4572&lt;&gt;""),1,""))</f>
        <v/>
      </c>
      <c r="AH4572" s="199" t="str">
        <f>IF(G4572="","",IF(AND(COUNTIFS($J$18:J4572,J4572)=1,G4572&lt;&gt;""),1,""))</f>
        <v/>
      </c>
      <c r="AI4572" s="200">
        <f t="shared" si="1405"/>
        <v>0</v>
      </c>
      <c r="AJ4572" s="200">
        <f t="shared" si="1406"/>
        <v>0</v>
      </c>
      <c r="AK4572" s="201" t="str">
        <f t="shared" si="1407"/>
        <v/>
      </c>
      <c r="AL4572" s="24"/>
      <c r="AM4572" s="24"/>
      <c r="AN4572" s="24"/>
      <c r="AO4572" s="24"/>
      <c r="AP4572" s="165" t="str">
        <f t="shared" si="1408"/>
        <v/>
      </c>
      <c r="AQ4572" s="203" t="str">
        <f t="shared" si="1409"/>
        <v/>
      </c>
      <c r="AR4572" s="206">
        <f t="shared" si="1410"/>
        <v>0</v>
      </c>
      <c r="AS4572" s="22" t="str">
        <f t="shared" si="1411"/>
        <v/>
      </c>
      <c r="AT4572" s="24" t="str">
        <f t="shared" si="1412"/>
        <v/>
      </c>
      <c r="AU4572" s="22" t="s">
        <v>3240</v>
      </c>
    </row>
    <row r="4573" spans="1:47">
      <c r="A4573" s="246" t="str">
        <f t="shared" si="1400"/>
        <v/>
      </c>
      <c r="B4573" s="23"/>
      <c r="C4573" s="23"/>
      <c r="D4573" s="202" t="str">
        <f t="shared" si="1401"/>
        <v/>
      </c>
      <c r="E4573" s="33" t="str">
        <f t="shared" si="1413"/>
        <v/>
      </c>
      <c r="F4573" s="23"/>
      <c r="G4573" s="23"/>
      <c r="H4573" s="29"/>
      <c r="I4573" s="204" t="str">
        <f t="shared" si="1398"/>
        <v/>
      </c>
      <c r="J4573" s="188"/>
      <c r="K4573" s="29"/>
      <c r="L4573" s="24"/>
      <c r="M4573" s="22"/>
      <c r="N4573" s="22"/>
      <c r="O4573" s="22"/>
      <c r="P4573" s="202" t="str">
        <f t="shared" si="1399"/>
        <v/>
      </c>
      <c r="Q4573" s="22"/>
      <c r="R4573" s="22"/>
      <c r="S4573" s="22"/>
      <c r="T4573" s="22"/>
      <c r="U4573" s="22"/>
      <c r="V4573" s="22"/>
      <c r="W4573" s="22"/>
      <c r="X4573" s="104"/>
      <c r="Y4573" s="195" t="str">
        <f t="shared" si="1414"/>
        <v/>
      </c>
      <c r="Z4573" s="196" t="str">
        <f t="shared" si="1415"/>
        <v/>
      </c>
      <c r="AA4573" s="22"/>
      <c r="AB4573" s="197" t="str">
        <f t="shared" si="1402"/>
        <v/>
      </c>
      <c r="AC4573" s="198" t="str">
        <f t="shared" si="1403"/>
        <v/>
      </c>
      <c r="AD4573" s="162"/>
      <c r="AE4573" s="199" t="str">
        <f t="shared" si="1404"/>
        <v/>
      </c>
      <c r="AF4573" s="199" t="str">
        <f>IF(AND(COUNTIFS($J$18:J4573,J4573)=1,AE4573=1),1,"")</f>
        <v/>
      </c>
      <c r="AG4573" s="199" t="str">
        <f>IF(C4573="","",IF(AND(COUNTIFS($J$18:J4573,J4573)=1,C4573&lt;&gt;""),1,""))</f>
        <v/>
      </c>
      <c r="AH4573" s="199" t="str">
        <f>IF(G4573="","",IF(AND(COUNTIFS($J$18:J4573,J4573)=1,G4573&lt;&gt;""),1,""))</f>
        <v/>
      </c>
      <c r="AI4573" s="200">
        <f t="shared" si="1405"/>
        <v>0</v>
      </c>
      <c r="AJ4573" s="200">
        <f t="shared" si="1406"/>
        <v>0</v>
      </c>
      <c r="AK4573" s="201" t="str">
        <f t="shared" si="1407"/>
        <v/>
      </c>
      <c r="AL4573" s="24"/>
      <c r="AM4573" s="24"/>
      <c r="AN4573" s="24"/>
      <c r="AO4573" s="24"/>
      <c r="AP4573" s="165" t="str">
        <f t="shared" si="1408"/>
        <v/>
      </c>
      <c r="AQ4573" s="203" t="str">
        <f t="shared" si="1409"/>
        <v/>
      </c>
      <c r="AR4573" s="206">
        <f t="shared" si="1410"/>
        <v>0</v>
      </c>
      <c r="AS4573" s="22" t="str">
        <f t="shared" si="1411"/>
        <v/>
      </c>
      <c r="AT4573" s="24" t="str">
        <f t="shared" si="1412"/>
        <v/>
      </c>
      <c r="AU4573" s="22" t="s">
        <v>3240</v>
      </c>
    </row>
    <row r="4574" spans="1:47">
      <c r="A4574" s="246" t="str">
        <f t="shared" si="1400"/>
        <v/>
      </c>
      <c r="B4574" s="23"/>
      <c r="C4574" s="23"/>
      <c r="D4574" s="202" t="str">
        <f t="shared" si="1401"/>
        <v/>
      </c>
      <c r="E4574" s="33" t="str">
        <f t="shared" si="1413"/>
        <v/>
      </c>
      <c r="F4574" s="23"/>
      <c r="G4574" s="23"/>
      <c r="H4574" s="29"/>
      <c r="I4574" s="204" t="str">
        <f t="shared" si="1398"/>
        <v/>
      </c>
      <c r="J4574" s="188"/>
      <c r="K4574" s="29"/>
      <c r="L4574" s="24"/>
      <c r="M4574" s="22"/>
      <c r="N4574" s="22"/>
      <c r="O4574" s="22"/>
      <c r="P4574" s="202" t="str">
        <f t="shared" si="1399"/>
        <v/>
      </c>
      <c r="Q4574" s="22"/>
      <c r="R4574" s="22"/>
      <c r="S4574" s="22"/>
      <c r="T4574" s="22"/>
      <c r="U4574" s="22"/>
      <c r="V4574" s="22"/>
      <c r="W4574" s="22"/>
      <c r="X4574" s="104"/>
      <c r="Y4574" s="195" t="str">
        <f t="shared" si="1414"/>
        <v/>
      </c>
      <c r="Z4574" s="196" t="str">
        <f t="shared" si="1415"/>
        <v/>
      </c>
      <c r="AA4574" s="22"/>
      <c r="AB4574" s="197" t="str">
        <f t="shared" si="1402"/>
        <v/>
      </c>
      <c r="AC4574" s="198" t="str">
        <f t="shared" si="1403"/>
        <v/>
      </c>
      <c r="AD4574" s="162"/>
      <c r="AE4574" s="199" t="str">
        <f t="shared" si="1404"/>
        <v/>
      </c>
      <c r="AF4574" s="199" t="str">
        <f>IF(AND(COUNTIFS($J$18:J4574,J4574)=1,AE4574=1),1,"")</f>
        <v/>
      </c>
      <c r="AG4574" s="199" t="str">
        <f>IF(C4574="","",IF(AND(COUNTIFS($J$18:J4574,J4574)=1,C4574&lt;&gt;""),1,""))</f>
        <v/>
      </c>
      <c r="AH4574" s="199" t="str">
        <f>IF(G4574="","",IF(AND(COUNTIFS($J$18:J4574,J4574)=1,G4574&lt;&gt;""),1,""))</f>
        <v/>
      </c>
      <c r="AI4574" s="200">
        <f t="shared" si="1405"/>
        <v>0</v>
      </c>
      <c r="AJ4574" s="200">
        <f t="shared" si="1406"/>
        <v>0</v>
      </c>
      <c r="AK4574" s="201" t="str">
        <f t="shared" si="1407"/>
        <v/>
      </c>
      <c r="AL4574" s="24"/>
      <c r="AM4574" s="24"/>
      <c r="AN4574" s="24"/>
      <c r="AO4574" s="24"/>
      <c r="AP4574" s="165" t="str">
        <f t="shared" si="1408"/>
        <v/>
      </c>
      <c r="AQ4574" s="203" t="str">
        <f t="shared" si="1409"/>
        <v/>
      </c>
      <c r="AR4574" s="206">
        <f t="shared" si="1410"/>
        <v>0</v>
      </c>
      <c r="AS4574" s="22" t="str">
        <f t="shared" si="1411"/>
        <v/>
      </c>
      <c r="AT4574" s="24" t="str">
        <f t="shared" si="1412"/>
        <v/>
      </c>
      <c r="AU4574" s="22" t="s">
        <v>3240</v>
      </c>
    </row>
    <row r="4575" spans="1:47">
      <c r="A4575" s="246" t="str">
        <f t="shared" si="1400"/>
        <v/>
      </c>
      <c r="B4575" s="23"/>
      <c r="C4575" s="23"/>
      <c r="D4575" s="202" t="str">
        <f t="shared" si="1401"/>
        <v/>
      </c>
      <c r="E4575" s="33" t="str">
        <f t="shared" si="1413"/>
        <v/>
      </c>
      <c r="F4575" s="23"/>
      <c r="G4575" s="23"/>
      <c r="H4575" s="29"/>
      <c r="I4575" s="204" t="str">
        <f t="shared" si="1398"/>
        <v/>
      </c>
      <c r="J4575" s="188"/>
      <c r="K4575" s="29"/>
      <c r="L4575" s="24"/>
      <c r="M4575" s="22"/>
      <c r="N4575" s="22"/>
      <c r="O4575" s="22"/>
      <c r="P4575" s="202" t="str">
        <f t="shared" si="1399"/>
        <v/>
      </c>
      <c r="Q4575" s="22"/>
      <c r="R4575" s="22"/>
      <c r="S4575" s="22"/>
      <c r="T4575" s="22"/>
      <c r="U4575" s="22"/>
      <c r="V4575" s="22"/>
      <c r="W4575" s="22"/>
      <c r="X4575" s="104"/>
      <c r="Y4575" s="195" t="str">
        <f t="shared" si="1414"/>
        <v/>
      </c>
      <c r="Z4575" s="196" t="str">
        <f t="shared" si="1415"/>
        <v/>
      </c>
      <c r="AA4575" s="22"/>
      <c r="AB4575" s="197" t="str">
        <f t="shared" si="1402"/>
        <v/>
      </c>
      <c r="AC4575" s="198" t="str">
        <f t="shared" si="1403"/>
        <v/>
      </c>
      <c r="AD4575" s="162"/>
      <c r="AE4575" s="199" t="str">
        <f t="shared" si="1404"/>
        <v/>
      </c>
      <c r="AF4575" s="199" t="str">
        <f>IF(AND(COUNTIFS($J$18:J4575,J4575)=1,AE4575=1),1,"")</f>
        <v/>
      </c>
      <c r="AG4575" s="199" t="str">
        <f>IF(C4575="","",IF(AND(COUNTIFS($J$18:J4575,J4575)=1,C4575&lt;&gt;""),1,""))</f>
        <v/>
      </c>
      <c r="AH4575" s="199" t="str">
        <f>IF(G4575="","",IF(AND(COUNTIFS($J$18:J4575,J4575)=1,G4575&lt;&gt;""),1,""))</f>
        <v/>
      </c>
      <c r="AI4575" s="200">
        <f t="shared" si="1405"/>
        <v>0</v>
      </c>
      <c r="AJ4575" s="200">
        <f t="shared" si="1406"/>
        <v>0</v>
      </c>
      <c r="AK4575" s="201" t="str">
        <f t="shared" si="1407"/>
        <v/>
      </c>
      <c r="AL4575" s="24"/>
      <c r="AM4575" s="24"/>
      <c r="AN4575" s="24"/>
      <c r="AO4575" s="24"/>
      <c r="AP4575" s="165" t="str">
        <f t="shared" si="1408"/>
        <v/>
      </c>
      <c r="AQ4575" s="203" t="str">
        <f t="shared" si="1409"/>
        <v/>
      </c>
      <c r="AR4575" s="206">
        <f t="shared" si="1410"/>
        <v>0</v>
      </c>
      <c r="AS4575" s="22" t="str">
        <f t="shared" si="1411"/>
        <v/>
      </c>
      <c r="AT4575" s="24" t="str">
        <f t="shared" si="1412"/>
        <v/>
      </c>
      <c r="AU4575" s="22" t="s">
        <v>3240</v>
      </c>
    </row>
    <row r="4576" spans="1:47">
      <c r="A4576" s="246" t="str">
        <f t="shared" si="1400"/>
        <v/>
      </c>
      <c r="B4576" s="23"/>
      <c r="C4576" s="23"/>
      <c r="D4576" s="202" t="str">
        <f t="shared" si="1401"/>
        <v/>
      </c>
      <c r="E4576" s="33" t="str">
        <f t="shared" si="1413"/>
        <v/>
      </c>
      <c r="F4576" s="23"/>
      <c r="G4576" s="23"/>
      <c r="H4576" s="29"/>
      <c r="I4576" s="204" t="str">
        <f t="shared" ref="I4576:I4639" si="1416">IFERROR(IF(F4576="","",IF(F4576="TBA","TBA",IF(F4576="Cancel","Cancel",IF(AND(G4576&gt;=10,G4576&lt;=12),"Q3",IF(AND(G4576&gt;=1,G4576&lt;=3),"Q4",IF(AND(G4576&gt;=7,G4576&lt;=9),"Q2",IF(AND(G4576&gt;=4,G4576&lt;=6),"Q1"))))))),"")</f>
        <v/>
      </c>
      <c r="J4576" s="188"/>
      <c r="K4576" s="29"/>
      <c r="L4576" s="24"/>
      <c r="M4576" s="22"/>
      <c r="N4576" s="22"/>
      <c r="O4576" s="22"/>
      <c r="P4576" s="202" t="str">
        <f t="shared" si="1399"/>
        <v/>
      </c>
      <c r="Q4576" s="22"/>
      <c r="R4576" s="22"/>
      <c r="S4576" s="22"/>
      <c r="T4576" s="22"/>
      <c r="U4576" s="22"/>
      <c r="V4576" s="22"/>
      <c r="W4576" s="22"/>
      <c r="X4576" s="104"/>
      <c r="Y4576" s="195" t="str">
        <f t="shared" si="1414"/>
        <v/>
      </c>
      <c r="Z4576" s="196" t="str">
        <f t="shared" si="1415"/>
        <v/>
      </c>
      <c r="AA4576" s="22"/>
      <c r="AB4576" s="197" t="str">
        <f t="shared" si="1402"/>
        <v/>
      </c>
      <c r="AC4576" s="198" t="str">
        <f t="shared" si="1403"/>
        <v/>
      </c>
      <c r="AD4576" s="162"/>
      <c r="AE4576" s="199" t="str">
        <f t="shared" si="1404"/>
        <v/>
      </c>
      <c r="AF4576" s="199" t="str">
        <f>IF(AND(COUNTIFS($J$18:J4576,J4576)=1,AE4576=1),1,"")</f>
        <v/>
      </c>
      <c r="AG4576" s="199" t="str">
        <f>IF(C4576="","",IF(AND(COUNTIFS($J$18:J4576,J4576)=1,C4576&lt;&gt;""),1,""))</f>
        <v/>
      </c>
      <c r="AH4576" s="199" t="str">
        <f>IF(G4576="","",IF(AND(COUNTIFS($J$18:J4576,J4576)=1,G4576&lt;&gt;""),1,""))</f>
        <v/>
      </c>
      <c r="AI4576" s="200">
        <f t="shared" si="1405"/>
        <v>0</v>
      </c>
      <c r="AJ4576" s="200">
        <f t="shared" si="1406"/>
        <v>0</v>
      </c>
      <c r="AK4576" s="201" t="str">
        <f t="shared" si="1407"/>
        <v/>
      </c>
      <c r="AL4576" s="24"/>
      <c r="AM4576" s="24"/>
      <c r="AN4576" s="24"/>
      <c r="AO4576" s="24"/>
      <c r="AP4576" s="165" t="str">
        <f t="shared" si="1408"/>
        <v/>
      </c>
      <c r="AQ4576" s="203" t="str">
        <f t="shared" si="1409"/>
        <v/>
      </c>
      <c r="AR4576" s="206">
        <f t="shared" si="1410"/>
        <v>0</v>
      </c>
      <c r="AS4576" s="22" t="str">
        <f t="shared" si="1411"/>
        <v/>
      </c>
      <c r="AT4576" s="24" t="str">
        <f t="shared" si="1412"/>
        <v/>
      </c>
      <c r="AU4576" s="22" t="s">
        <v>3240</v>
      </c>
    </row>
    <row r="4577" spans="1:47">
      <c r="A4577" s="246" t="str">
        <f t="shared" si="1400"/>
        <v/>
      </c>
      <c r="B4577" s="23"/>
      <c r="C4577" s="23"/>
      <c r="D4577" s="202" t="str">
        <f t="shared" si="1401"/>
        <v/>
      </c>
      <c r="E4577" s="33" t="str">
        <f t="shared" si="1413"/>
        <v/>
      </c>
      <c r="F4577" s="23"/>
      <c r="G4577" s="23"/>
      <c r="H4577" s="29"/>
      <c r="I4577" s="204" t="str">
        <f t="shared" si="1416"/>
        <v/>
      </c>
      <c r="J4577" s="188"/>
      <c r="K4577" s="29"/>
      <c r="L4577" s="24"/>
      <c r="M4577" s="22"/>
      <c r="N4577" s="22"/>
      <c r="O4577" s="22"/>
      <c r="P4577" s="202" t="str">
        <f t="shared" ref="P4577:P4640" si="1417">IF(M4577="","",IF(AND(N4577&gt;0,L4577&lt;&gt;""),"MAIN UNIT",IF(AND(O4577&gt;0,L4577&lt;&gt;""),"SERVICE/ PARTS","C66 SERVICE/OTHERS")))</f>
        <v/>
      </c>
      <c r="Q4577" s="22"/>
      <c r="R4577" s="22"/>
      <c r="S4577" s="22"/>
      <c r="T4577" s="22"/>
      <c r="U4577" s="22"/>
      <c r="V4577" s="22"/>
      <c r="W4577" s="22"/>
      <c r="X4577" s="104"/>
      <c r="Y4577" s="195" t="str">
        <f t="shared" si="1414"/>
        <v/>
      </c>
      <c r="Z4577" s="196" t="str">
        <f t="shared" si="1415"/>
        <v/>
      </c>
      <c r="AA4577" s="22"/>
      <c r="AB4577" s="197" t="str">
        <f t="shared" si="1402"/>
        <v/>
      </c>
      <c r="AC4577" s="198" t="str">
        <f t="shared" si="1403"/>
        <v/>
      </c>
      <c r="AD4577" s="162"/>
      <c r="AE4577" s="199" t="str">
        <f t="shared" si="1404"/>
        <v/>
      </c>
      <c r="AF4577" s="199" t="str">
        <f>IF(AND(COUNTIFS($J$18:J4577,J4577)=1,AE4577=1),1,"")</f>
        <v/>
      </c>
      <c r="AG4577" s="199" t="str">
        <f>IF(C4577="","",IF(AND(COUNTIFS($J$18:J4577,J4577)=1,C4577&lt;&gt;""),1,""))</f>
        <v/>
      </c>
      <c r="AH4577" s="199" t="str">
        <f>IF(G4577="","",IF(AND(COUNTIFS($J$18:J4577,J4577)=1,G4577&lt;&gt;""),1,""))</f>
        <v/>
      </c>
      <c r="AI4577" s="200">
        <f t="shared" si="1405"/>
        <v>0</v>
      </c>
      <c r="AJ4577" s="200">
        <f t="shared" si="1406"/>
        <v>0</v>
      </c>
      <c r="AK4577" s="201" t="str">
        <f t="shared" si="1407"/>
        <v/>
      </c>
      <c r="AL4577" s="24"/>
      <c r="AM4577" s="24"/>
      <c r="AN4577" s="24"/>
      <c r="AO4577" s="24"/>
      <c r="AP4577" s="165" t="str">
        <f t="shared" si="1408"/>
        <v/>
      </c>
      <c r="AQ4577" s="203" t="str">
        <f t="shared" si="1409"/>
        <v/>
      </c>
      <c r="AR4577" s="206">
        <f t="shared" si="1410"/>
        <v>0</v>
      </c>
      <c r="AS4577" s="22" t="str">
        <f t="shared" si="1411"/>
        <v/>
      </c>
      <c r="AT4577" s="24" t="str">
        <f t="shared" si="1412"/>
        <v/>
      </c>
      <c r="AU4577" s="22" t="s">
        <v>3240</v>
      </c>
    </row>
    <row r="4578" spans="1:47">
      <c r="A4578" s="246" t="str">
        <f t="shared" ref="A4578:A4641" si="1418">IF(C4578="cancel","cancel",IFERROR(IF(D4578="Q4","FY "&amp;RIGHT(B4578,2)-1&amp;"/"&amp;RIGHT(B4578,2),"FY "&amp;RIGHT(B4578,2)&amp;"/"&amp;RIGHT(B4578,2)+1),""))</f>
        <v/>
      </c>
      <c r="B4578" s="23"/>
      <c r="C4578" s="23"/>
      <c r="D4578" s="202" t="str">
        <f t="shared" ref="D4578:D4641" si="1419">IF(B4578="","",IF(AND(C4578&gt;=10,C4578&lt;=12),"Q3",IF(AND(C4578&gt;=1,C4578&lt;=3),"Q4",IF(AND(C4578&gt;=7,C4578&lt;=9),"Q2",IF(AND(C4578&gt;=4,C4578&lt;=6),"Q1")))))</f>
        <v/>
      </c>
      <c r="E4578" s="33" t="str">
        <f t="shared" si="1413"/>
        <v/>
      </c>
      <c r="F4578" s="23"/>
      <c r="G4578" s="23"/>
      <c r="H4578" s="29"/>
      <c r="I4578" s="204" t="str">
        <f t="shared" si="1416"/>
        <v/>
      </c>
      <c r="J4578" s="188"/>
      <c r="K4578" s="29"/>
      <c r="L4578" s="24"/>
      <c r="M4578" s="22"/>
      <c r="N4578" s="22"/>
      <c r="O4578" s="22"/>
      <c r="P4578" s="202" t="str">
        <f t="shared" si="1417"/>
        <v/>
      </c>
      <c r="Q4578" s="22"/>
      <c r="R4578" s="22"/>
      <c r="S4578" s="22"/>
      <c r="T4578" s="22"/>
      <c r="U4578" s="22"/>
      <c r="V4578" s="22"/>
      <c r="W4578" s="22"/>
      <c r="X4578" s="104"/>
      <c r="Y4578" s="195" t="str">
        <f t="shared" si="1414"/>
        <v/>
      </c>
      <c r="Z4578" s="196" t="str">
        <f t="shared" si="1415"/>
        <v/>
      </c>
      <c r="AA4578" s="22"/>
      <c r="AB4578" s="197" t="str">
        <f t="shared" ref="AB4578:AB4641" si="1420">IF(AND(R4578&lt;&gt;"C66",R4578&lt;&gt;""),Z4578/Y4578*AA4578,"")</f>
        <v/>
      </c>
      <c r="AC4578" s="198" t="str">
        <f t="shared" ref="AC4578:AC4641" si="1421">IF(R4578&lt;&gt;"",AB4578*AD4578,"")</f>
        <v/>
      </c>
      <c r="AD4578" s="162"/>
      <c r="AE4578" s="199" t="str">
        <f t="shared" ref="AE4578:AE4641" si="1422">IF(Q4578="","",IF(Q4578="Yes",1,0))</f>
        <v/>
      </c>
      <c r="AF4578" s="199" t="str">
        <f>IF(AND(COUNTIFS($J$18:J4578,J4578)=1,AE4578=1),1,"")</f>
        <v/>
      </c>
      <c r="AG4578" s="199" t="str">
        <f>IF(C4578="","",IF(AND(COUNTIFS($J$18:J4578,J4578)=1,C4578&lt;&gt;""),1,""))</f>
        <v/>
      </c>
      <c r="AH4578" s="199" t="str">
        <f>IF(G4578="","",IF(AND(COUNTIFS($J$18:J4578,J4578)=1,G4578&lt;&gt;""),1,""))</f>
        <v/>
      </c>
      <c r="AI4578" s="200">
        <f t="shared" ref="AI4578:AI4641" si="1423">IF(P4578="C66 SERVICE","",SUMIFS(AB:AB,F:F,F4578,G:G,G4578,E:E,E4578))</f>
        <v>0</v>
      </c>
      <c r="AJ4578" s="200">
        <f t="shared" ref="AJ4578:AJ4641" si="1424">IF(P4578="C66 SERVICE","",SUMIFS(AC:AC,F:F,F4578,G:G,G4578,E:E,E4578))</f>
        <v>0</v>
      </c>
      <c r="AK4578" s="201" t="str">
        <f t="shared" ref="AK4578:AK4641" si="1425">IF(AJ4578&gt;0,AJ4578/AI4578,"")</f>
        <v/>
      </c>
      <c r="AL4578" s="24"/>
      <c r="AM4578" s="24"/>
      <c r="AN4578" s="24"/>
      <c r="AO4578" s="24"/>
      <c r="AP4578" s="165" t="str">
        <f t="shared" ref="AP4578:AP4641" si="1426">IF(F4578="","",F4578&amp;G4578)</f>
        <v/>
      </c>
      <c r="AQ4578" s="203" t="str">
        <f t="shared" ref="AQ4578:AQ4641" si="1427">IF(W4578="","",F4578&amp;G4578&amp;W4578)</f>
        <v/>
      </c>
      <c r="AR4578" s="206">
        <f t="shared" ref="AR4578:AR4641" si="1428">IFERROR(IF(AND(M4578="YAMAHA", R4578="C28"), "YAMAHA_Non_Mounter", IF(AND(M4578="YAMAHA", R4578="C49"), "YAMAHA_Mounter", M4578)),"")</f>
        <v>0</v>
      </c>
      <c r="AS4578" s="22" t="str">
        <f t="shared" ref="AS4578:AS4641" si="1429">IFERROR(IF(OR(G4578="TBA", G4578=""), "", DATEDIF(DATE(B4578, C4578, 1), DATE(F4578, G4578, 1), "M")),"")</f>
        <v/>
      </c>
      <c r="AT4578" s="24" t="str">
        <f t="shared" ref="AT4578:AT4641" si="1430">IF(ISNUMBER(AS4578), IF(AS4578&gt;=0, IF(AS4578&lt;=3, "0-3 months", IF(AS4578&lt;=6, "4-6 months", "&gt; 6 months"))), "")</f>
        <v/>
      </c>
      <c r="AU4578" s="22" t="s">
        <v>3240</v>
      </c>
    </row>
    <row r="4579" spans="1:47">
      <c r="A4579" s="246" t="str">
        <f t="shared" si="1418"/>
        <v/>
      </c>
      <c r="B4579" s="23"/>
      <c r="C4579" s="23"/>
      <c r="D4579" s="202" t="str">
        <f t="shared" si="1419"/>
        <v/>
      </c>
      <c r="E4579" s="33" t="str">
        <f t="shared" si="1413"/>
        <v/>
      </c>
      <c r="F4579" s="23"/>
      <c r="G4579" s="23"/>
      <c r="H4579" s="29"/>
      <c r="I4579" s="204" t="str">
        <f t="shared" si="1416"/>
        <v/>
      </c>
      <c r="J4579" s="188"/>
      <c r="K4579" s="29"/>
      <c r="L4579" s="24"/>
      <c r="M4579" s="22"/>
      <c r="N4579" s="22"/>
      <c r="O4579" s="22"/>
      <c r="P4579" s="202" t="str">
        <f t="shared" si="1417"/>
        <v/>
      </c>
      <c r="Q4579" s="22"/>
      <c r="R4579" s="22"/>
      <c r="S4579" s="22"/>
      <c r="T4579" s="22"/>
      <c r="U4579" s="22"/>
      <c r="V4579" s="22"/>
      <c r="W4579" s="22"/>
      <c r="X4579" s="104"/>
      <c r="Y4579" s="195" t="str">
        <f t="shared" si="1414"/>
        <v/>
      </c>
      <c r="Z4579" s="196" t="str">
        <f t="shared" si="1415"/>
        <v/>
      </c>
      <c r="AA4579" s="22"/>
      <c r="AB4579" s="197" t="str">
        <f t="shared" si="1420"/>
        <v/>
      </c>
      <c r="AC4579" s="198" t="str">
        <f t="shared" si="1421"/>
        <v/>
      </c>
      <c r="AD4579" s="162"/>
      <c r="AE4579" s="199" t="str">
        <f t="shared" si="1422"/>
        <v/>
      </c>
      <c r="AF4579" s="199" t="str">
        <f>IF(AND(COUNTIFS($J$18:J4579,J4579)=1,AE4579=1),1,"")</f>
        <v/>
      </c>
      <c r="AG4579" s="199" t="str">
        <f>IF(C4579="","",IF(AND(COUNTIFS($J$18:J4579,J4579)=1,C4579&lt;&gt;""),1,""))</f>
        <v/>
      </c>
      <c r="AH4579" s="199" t="str">
        <f>IF(G4579="","",IF(AND(COUNTIFS($J$18:J4579,J4579)=1,G4579&lt;&gt;""),1,""))</f>
        <v/>
      </c>
      <c r="AI4579" s="200">
        <f t="shared" si="1423"/>
        <v>0</v>
      </c>
      <c r="AJ4579" s="200">
        <f t="shared" si="1424"/>
        <v>0</v>
      </c>
      <c r="AK4579" s="201" t="str">
        <f t="shared" si="1425"/>
        <v/>
      </c>
      <c r="AL4579" s="24"/>
      <c r="AM4579" s="24"/>
      <c r="AN4579" s="24"/>
      <c r="AO4579" s="24"/>
      <c r="AP4579" s="165" t="str">
        <f t="shared" si="1426"/>
        <v/>
      </c>
      <c r="AQ4579" s="203" t="str">
        <f t="shared" si="1427"/>
        <v/>
      </c>
      <c r="AR4579" s="206">
        <f t="shared" si="1428"/>
        <v>0</v>
      </c>
      <c r="AS4579" s="22" t="str">
        <f t="shared" si="1429"/>
        <v/>
      </c>
      <c r="AT4579" s="24" t="str">
        <f t="shared" si="1430"/>
        <v/>
      </c>
      <c r="AU4579" s="22" t="s">
        <v>3240</v>
      </c>
    </row>
    <row r="4580" spans="1:47">
      <c r="A4580" s="246" t="str">
        <f t="shared" si="1418"/>
        <v/>
      </c>
      <c r="B4580" s="23"/>
      <c r="C4580" s="23"/>
      <c r="D4580" s="202" t="str">
        <f t="shared" si="1419"/>
        <v/>
      </c>
      <c r="E4580" s="33" t="str">
        <f t="shared" si="1413"/>
        <v/>
      </c>
      <c r="F4580" s="23"/>
      <c r="G4580" s="23"/>
      <c r="H4580" s="29"/>
      <c r="I4580" s="204" t="str">
        <f t="shared" si="1416"/>
        <v/>
      </c>
      <c r="J4580" s="188"/>
      <c r="K4580" s="29"/>
      <c r="L4580" s="24"/>
      <c r="M4580" s="22"/>
      <c r="N4580" s="22"/>
      <c r="O4580" s="22"/>
      <c r="P4580" s="202" t="str">
        <f t="shared" si="1417"/>
        <v/>
      </c>
      <c r="Q4580" s="22"/>
      <c r="R4580" s="22"/>
      <c r="S4580" s="22"/>
      <c r="T4580" s="22"/>
      <c r="U4580" s="22"/>
      <c r="V4580" s="22"/>
      <c r="W4580" s="22"/>
      <c r="X4580" s="104"/>
      <c r="Y4580" s="195" t="str">
        <f t="shared" si="1414"/>
        <v/>
      </c>
      <c r="Z4580" s="196" t="str">
        <f t="shared" si="1415"/>
        <v/>
      </c>
      <c r="AA4580" s="22"/>
      <c r="AB4580" s="197" t="str">
        <f t="shared" si="1420"/>
        <v/>
      </c>
      <c r="AC4580" s="198" t="str">
        <f t="shared" si="1421"/>
        <v/>
      </c>
      <c r="AD4580" s="162"/>
      <c r="AE4580" s="199" t="str">
        <f t="shared" si="1422"/>
        <v/>
      </c>
      <c r="AF4580" s="199" t="str">
        <f>IF(AND(COUNTIFS($J$18:J4580,J4580)=1,AE4580=1),1,"")</f>
        <v/>
      </c>
      <c r="AG4580" s="199" t="str">
        <f>IF(C4580="","",IF(AND(COUNTIFS($J$18:J4580,J4580)=1,C4580&lt;&gt;""),1,""))</f>
        <v/>
      </c>
      <c r="AH4580" s="199" t="str">
        <f>IF(G4580="","",IF(AND(COUNTIFS($J$18:J4580,J4580)=1,G4580&lt;&gt;""),1,""))</f>
        <v/>
      </c>
      <c r="AI4580" s="200">
        <f t="shared" si="1423"/>
        <v>0</v>
      </c>
      <c r="AJ4580" s="200">
        <f t="shared" si="1424"/>
        <v>0</v>
      </c>
      <c r="AK4580" s="201" t="str">
        <f t="shared" si="1425"/>
        <v/>
      </c>
      <c r="AL4580" s="24"/>
      <c r="AM4580" s="24"/>
      <c r="AN4580" s="24"/>
      <c r="AO4580" s="24"/>
      <c r="AP4580" s="165" t="str">
        <f t="shared" si="1426"/>
        <v/>
      </c>
      <c r="AQ4580" s="203" t="str">
        <f t="shared" si="1427"/>
        <v/>
      </c>
      <c r="AR4580" s="206">
        <f t="shared" si="1428"/>
        <v>0</v>
      </c>
      <c r="AS4580" s="22" t="str">
        <f t="shared" si="1429"/>
        <v/>
      </c>
      <c r="AT4580" s="24" t="str">
        <f t="shared" si="1430"/>
        <v/>
      </c>
      <c r="AU4580" s="22" t="s">
        <v>3240</v>
      </c>
    </row>
    <row r="4581" spans="1:47">
      <c r="A4581" s="246" t="str">
        <f t="shared" si="1418"/>
        <v/>
      </c>
      <c r="B4581" s="23"/>
      <c r="C4581" s="23"/>
      <c r="D4581" s="202" t="str">
        <f t="shared" si="1419"/>
        <v/>
      </c>
      <c r="E4581" s="33" t="str">
        <f t="shared" si="1413"/>
        <v/>
      </c>
      <c r="F4581" s="23"/>
      <c r="G4581" s="23"/>
      <c r="H4581" s="29"/>
      <c r="I4581" s="204" t="str">
        <f t="shared" si="1416"/>
        <v/>
      </c>
      <c r="J4581" s="188"/>
      <c r="K4581" s="29"/>
      <c r="L4581" s="24"/>
      <c r="M4581" s="22"/>
      <c r="N4581" s="22"/>
      <c r="O4581" s="22"/>
      <c r="P4581" s="202" t="str">
        <f t="shared" si="1417"/>
        <v/>
      </c>
      <c r="Q4581" s="22"/>
      <c r="R4581" s="22"/>
      <c r="S4581" s="22"/>
      <c r="T4581" s="22"/>
      <c r="U4581" s="22"/>
      <c r="V4581" s="22"/>
      <c r="W4581" s="22"/>
      <c r="X4581" s="104"/>
      <c r="Y4581" s="195" t="str">
        <f t="shared" si="1414"/>
        <v/>
      </c>
      <c r="Z4581" s="196" t="str">
        <f t="shared" si="1415"/>
        <v/>
      </c>
      <c r="AA4581" s="22"/>
      <c r="AB4581" s="197" t="str">
        <f t="shared" si="1420"/>
        <v/>
      </c>
      <c r="AC4581" s="198" t="str">
        <f t="shared" si="1421"/>
        <v/>
      </c>
      <c r="AD4581" s="162"/>
      <c r="AE4581" s="199" t="str">
        <f t="shared" si="1422"/>
        <v/>
      </c>
      <c r="AF4581" s="199" t="str">
        <f>IF(AND(COUNTIFS($J$18:J4581,J4581)=1,AE4581=1),1,"")</f>
        <v/>
      </c>
      <c r="AG4581" s="199" t="str">
        <f>IF(C4581="","",IF(AND(COUNTIFS($J$18:J4581,J4581)=1,C4581&lt;&gt;""),1,""))</f>
        <v/>
      </c>
      <c r="AH4581" s="199" t="str">
        <f>IF(G4581="","",IF(AND(COUNTIFS($J$18:J4581,J4581)=1,G4581&lt;&gt;""),1,""))</f>
        <v/>
      </c>
      <c r="AI4581" s="200">
        <f t="shared" si="1423"/>
        <v>0</v>
      </c>
      <c r="AJ4581" s="200">
        <f t="shared" si="1424"/>
        <v>0</v>
      </c>
      <c r="AK4581" s="201" t="str">
        <f t="shared" si="1425"/>
        <v/>
      </c>
      <c r="AL4581" s="24"/>
      <c r="AM4581" s="24"/>
      <c r="AN4581" s="24"/>
      <c r="AO4581" s="24"/>
      <c r="AP4581" s="165" t="str">
        <f t="shared" si="1426"/>
        <v/>
      </c>
      <c r="AQ4581" s="203" t="str">
        <f t="shared" si="1427"/>
        <v/>
      </c>
      <c r="AR4581" s="206">
        <f t="shared" si="1428"/>
        <v>0</v>
      </c>
      <c r="AS4581" s="22" t="str">
        <f t="shared" si="1429"/>
        <v/>
      </c>
      <c r="AT4581" s="24" t="str">
        <f t="shared" si="1430"/>
        <v/>
      </c>
      <c r="AU4581" s="22" t="s">
        <v>3240</v>
      </c>
    </row>
    <row r="4582" spans="1:47">
      <c r="A4582" s="246" t="str">
        <f t="shared" si="1418"/>
        <v/>
      </c>
      <c r="B4582" s="23"/>
      <c r="C4582" s="23"/>
      <c r="D4582" s="202" t="str">
        <f t="shared" si="1419"/>
        <v/>
      </c>
      <c r="E4582" s="33" t="str">
        <f t="shared" si="1413"/>
        <v/>
      </c>
      <c r="F4582" s="23"/>
      <c r="G4582" s="23"/>
      <c r="H4582" s="29"/>
      <c r="I4582" s="204" t="str">
        <f t="shared" si="1416"/>
        <v/>
      </c>
      <c r="J4582" s="188"/>
      <c r="K4582" s="29"/>
      <c r="L4582" s="24"/>
      <c r="M4582" s="22"/>
      <c r="N4582" s="22"/>
      <c r="O4582" s="22"/>
      <c r="P4582" s="202" t="str">
        <f t="shared" si="1417"/>
        <v/>
      </c>
      <c r="Q4582" s="22"/>
      <c r="R4582" s="22"/>
      <c r="S4582" s="22"/>
      <c r="T4582" s="22"/>
      <c r="U4582" s="22"/>
      <c r="V4582" s="22"/>
      <c r="W4582" s="22"/>
      <c r="X4582" s="104"/>
      <c r="Y4582" s="195" t="str">
        <f t="shared" si="1414"/>
        <v/>
      </c>
      <c r="Z4582" s="196" t="str">
        <f t="shared" si="1415"/>
        <v/>
      </c>
      <c r="AA4582" s="22"/>
      <c r="AB4582" s="197" t="str">
        <f t="shared" si="1420"/>
        <v/>
      </c>
      <c r="AC4582" s="198" t="str">
        <f t="shared" si="1421"/>
        <v/>
      </c>
      <c r="AD4582" s="162"/>
      <c r="AE4582" s="199" t="str">
        <f t="shared" si="1422"/>
        <v/>
      </c>
      <c r="AF4582" s="199" t="str">
        <f>IF(AND(COUNTIFS($J$18:J4582,J4582)=1,AE4582=1),1,"")</f>
        <v/>
      </c>
      <c r="AG4582" s="199" t="str">
        <f>IF(C4582="","",IF(AND(COUNTIFS($J$18:J4582,J4582)=1,C4582&lt;&gt;""),1,""))</f>
        <v/>
      </c>
      <c r="AH4582" s="199" t="str">
        <f>IF(G4582="","",IF(AND(COUNTIFS($J$18:J4582,J4582)=1,G4582&lt;&gt;""),1,""))</f>
        <v/>
      </c>
      <c r="AI4582" s="200">
        <f t="shared" si="1423"/>
        <v>0</v>
      </c>
      <c r="AJ4582" s="200">
        <f t="shared" si="1424"/>
        <v>0</v>
      </c>
      <c r="AK4582" s="201" t="str">
        <f t="shared" si="1425"/>
        <v/>
      </c>
      <c r="AL4582" s="24"/>
      <c r="AM4582" s="24"/>
      <c r="AN4582" s="24"/>
      <c r="AO4582" s="24"/>
      <c r="AP4582" s="165" t="str">
        <f t="shared" si="1426"/>
        <v/>
      </c>
      <c r="AQ4582" s="203" t="str">
        <f t="shared" si="1427"/>
        <v/>
      </c>
      <c r="AR4582" s="206">
        <f t="shared" si="1428"/>
        <v>0</v>
      </c>
      <c r="AS4582" s="22" t="str">
        <f t="shared" si="1429"/>
        <v/>
      </c>
      <c r="AT4582" s="24" t="str">
        <f t="shared" si="1430"/>
        <v/>
      </c>
      <c r="AU4582" s="22" t="s">
        <v>3240</v>
      </c>
    </row>
    <row r="4583" spans="1:47">
      <c r="A4583" s="246" t="str">
        <f t="shared" si="1418"/>
        <v/>
      </c>
      <c r="B4583" s="23"/>
      <c r="C4583" s="23"/>
      <c r="D4583" s="202" t="str">
        <f t="shared" si="1419"/>
        <v/>
      </c>
      <c r="E4583" s="33" t="str">
        <f t="shared" si="1413"/>
        <v/>
      </c>
      <c r="F4583" s="23"/>
      <c r="G4583" s="23"/>
      <c r="H4583" s="29"/>
      <c r="I4583" s="204" t="str">
        <f t="shared" si="1416"/>
        <v/>
      </c>
      <c r="J4583" s="188"/>
      <c r="K4583" s="29"/>
      <c r="L4583" s="24"/>
      <c r="M4583" s="22"/>
      <c r="N4583" s="22"/>
      <c r="O4583" s="22"/>
      <c r="P4583" s="202" t="str">
        <f t="shared" si="1417"/>
        <v/>
      </c>
      <c r="Q4583" s="22"/>
      <c r="R4583" s="22"/>
      <c r="S4583" s="22"/>
      <c r="T4583" s="22"/>
      <c r="U4583" s="22"/>
      <c r="V4583" s="22"/>
      <c r="W4583" s="22"/>
      <c r="X4583" s="104"/>
      <c r="Y4583" s="195" t="str">
        <f t="shared" si="1414"/>
        <v/>
      </c>
      <c r="Z4583" s="196" t="str">
        <f t="shared" si="1415"/>
        <v/>
      </c>
      <c r="AA4583" s="22"/>
      <c r="AB4583" s="197" t="str">
        <f t="shared" si="1420"/>
        <v/>
      </c>
      <c r="AC4583" s="198" t="str">
        <f t="shared" si="1421"/>
        <v/>
      </c>
      <c r="AD4583" s="162"/>
      <c r="AE4583" s="199" t="str">
        <f t="shared" si="1422"/>
        <v/>
      </c>
      <c r="AF4583" s="199" t="str">
        <f>IF(AND(COUNTIFS($J$18:J4583,J4583)=1,AE4583=1),1,"")</f>
        <v/>
      </c>
      <c r="AG4583" s="199" t="str">
        <f>IF(C4583="","",IF(AND(COUNTIFS($J$18:J4583,J4583)=1,C4583&lt;&gt;""),1,""))</f>
        <v/>
      </c>
      <c r="AH4583" s="199" t="str">
        <f>IF(G4583="","",IF(AND(COUNTIFS($J$18:J4583,J4583)=1,G4583&lt;&gt;""),1,""))</f>
        <v/>
      </c>
      <c r="AI4583" s="200">
        <f t="shared" si="1423"/>
        <v>0</v>
      </c>
      <c r="AJ4583" s="200">
        <f t="shared" si="1424"/>
        <v>0</v>
      </c>
      <c r="AK4583" s="201" t="str">
        <f t="shared" si="1425"/>
        <v/>
      </c>
      <c r="AL4583" s="24"/>
      <c r="AM4583" s="24"/>
      <c r="AN4583" s="24"/>
      <c r="AO4583" s="24"/>
      <c r="AP4583" s="165" t="str">
        <f t="shared" si="1426"/>
        <v/>
      </c>
      <c r="AQ4583" s="203" t="str">
        <f t="shared" si="1427"/>
        <v/>
      </c>
      <c r="AR4583" s="206">
        <f t="shared" si="1428"/>
        <v>0</v>
      </c>
      <c r="AS4583" s="22" t="str">
        <f t="shared" si="1429"/>
        <v/>
      </c>
      <c r="AT4583" s="24" t="str">
        <f t="shared" si="1430"/>
        <v/>
      </c>
      <c r="AU4583" s="22" t="s">
        <v>3240</v>
      </c>
    </row>
    <row r="4584" spans="1:47">
      <c r="A4584" s="246" t="str">
        <f t="shared" si="1418"/>
        <v/>
      </c>
      <c r="B4584" s="23"/>
      <c r="C4584" s="23"/>
      <c r="D4584" s="202" t="str">
        <f t="shared" si="1419"/>
        <v/>
      </c>
      <c r="E4584" s="33" t="str">
        <f t="shared" si="1413"/>
        <v/>
      </c>
      <c r="F4584" s="23"/>
      <c r="G4584" s="23"/>
      <c r="H4584" s="29"/>
      <c r="I4584" s="204" t="str">
        <f t="shared" si="1416"/>
        <v/>
      </c>
      <c r="J4584" s="188"/>
      <c r="K4584" s="29"/>
      <c r="L4584" s="24"/>
      <c r="M4584" s="22"/>
      <c r="N4584" s="22"/>
      <c r="O4584" s="22"/>
      <c r="P4584" s="202" t="str">
        <f t="shared" si="1417"/>
        <v/>
      </c>
      <c r="Q4584" s="22"/>
      <c r="R4584" s="22"/>
      <c r="S4584" s="22"/>
      <c r="T4584" s="22"/>
      <c r="U4584" s="22"/>
      <c r="V4584" s="22"/>
      <c r="W4584" s="22"/>
      <c r="X4584" s="104"/>
      <c r="Y4584" s="195" t="str">
        <f t="shared" si="1414"/>
        <v/>
      </c>
      <c r="Z4584" s="196" t="str">
        <f t="shared" si="1415"/>
        <v/>
      </c>
      <c r="AA4584" s="22"/>
      <c r="AB4584" s="197" t="str">
        <f t="shared" si="1420"/>
        <v/>
      </c>
      <c r="AC4584" s="198" t="str">
        <f t="shared" si="1421"/>
        <v/>
      </c>
      <c r="AD4584" s="162"/>
      <c r="AE4584" s="199" t="str">
        <f t="shared" si="1422"/>
        <v/>
      </c>
      <c r="AF4584" s="199" t="str">
        <f>IF(AND(COUNTIFS($J$18:J4584,J4584)=1,AE4584=1),1,"")</f>
        <v/>
      </c>
      <c r="AG4584" s="199" t="str">
        <f>IF(C4584="","",IF(AND(COUNTIFS($J$18:J4584,J4584)=1,C4584&lt;&gt;""),1,""))</f>
        <v/>
      </c>
      <c r="AH4584" s="199" t="str">
        <f>IF(G4584="","",IF(AND(COUNTIFS($J$18:J4584,J4584)=1,G4584&lt;&gt;""),1,""))</f>
        <v/>
      </c>
      <c r="AI4584" s="200">
        <f t="shared" si="1423"/>
        <v>0</v>
      </c>
      <c r="AJ4584" s="200">
        <f t="shared" si="1424"/>
        <v>0</v>
      </c>
      <c r="AK4584" s="201" t="str">
        <f t="shared" si="1425"/>
        <v/>
      </c>
      <c r="AL4584" s="24"/>
      <c r="AM4584" s="24"/>
      <c r="AN4584" s="24"/>
      <c r="AO4584" s="24"/>
      <c r="AP4584" s="165" t="str">
        <f t="shared" si="1426"/>
        <v/>
      </c>
      <c r="AQ4584" s="203" t="str">
        <f t="shared" si="1427"/>
        <v/>
      </c>
      <c r="AR4584" s="206">
        <f t="shared" si="1428"/>
        <v>0</v>
      </c>
      <c r="AS4584" s="22" t="str">
        <f t="shared" si="1429"/>
        <v/>
      </c>
      <c r="AT4584" s="24" t="str">
        <f t="shared" si="1430"/>
        <v/>
      </c>
      <c r="AU4584" s="22" t="s">
        <v>3240</v>
      </c>
    </row>
    <row r="4585" spans="1:47">
      <c r="A4585" s="246" t="str">
        <f t="shared" si="1418"/>
        <v/>
      </c>
      <c r="B4585" s="23"/>
      <c r="C4585" s="23"/>
      <c r="D4585" s="202" t="str">
        <f t="shared" si="1419"/>
        <v/>
      </c>
      <c r="E4585" s="33" t="str">
        <f t="shared" si="1413"/>
        <v/>
      </c>
      <c r="F4585" s="23"/>
      <c r="G4585" s="23"/>
      <c r="H4585" s="29"/>
      <c r="I4585" s="204" t="str">
        <f t="shared" si="1416"/>
        <v/>
      </c>
      <c r="J4585" s="188"/>
      <c r="K4585" s="29"/>
      <c r="L4585" s="24"/>
      <c r="M4585" s="22"/>
      <c r="N4585" s="22"/>
      <c r="O4585" s="22"/>
      <c r="P4585" s="202" t="str">
        <f t="shared" si="1417"/>
        <v/>
      </c>
      <c r="Q4585" s="22"/>
      <c r="R4585" s="22"/>
      <c r="S4585" s="22"/>
      <c r="T4585" s="22"/>
      <c r="U4585" s="22"/>
      <c r="V4585" s="22"/>
      <c r="W4585" s="22"/>
      <c r="X4585" s="104"/>
      <c r="Y4585" s="195" t="str">
        <f t="shared" si="1414"/>
        <v/>
      </c>
      <c r="Z4585" s="196" t="str">
        <f t="shared" si="1415"/>
        <v/>
      </c>
      <c r="AA4585" s="22"/>
      <c r="AB4585" s="197" t="str">
        <f t="shared" si="1420"/>
        <v/>
      </c>
      <c r="AC4585" s="198" t="str">
        <f t="shared" si="1421"/>
        <v/>
      </c>
      <c r="AD4585" s="162"/>
      <c r="AE4585" s="199" t="str">
        <f t="shared" si="1422"/>
        <v/>
      </c>
      <c r="AF4585" s="199" t="str">
        <f>IF(AND(COUNTIFS($J$18:J4585,J4585)=1,AE4585=1),1,"")</f>
        <v/>
      </c>
      <c r="AG4585" s="199" t="str">
        <f>IF(C4585="","",IF(AND(COUNTIFS($J$18:J4585,J4585)=1,C4585&lt;&gt;""),1,""))</f>
        <v/>
      </c>
      <c r="AH4585" s="199" t="str">
        <f>IF(G4585="","",IF(AND(COUNTIFS($J$18:J4585,J4585)=1,G4585&lt;&gt;""),1,""))</f>
        <v/>
      </c>
      <c r="AI4585" s="200">
        <f t="shared" si="1423"/>
        <v>0</v>
      </c>
      <c r="AJ4585" s="200">
        <f t="shared" si="1424"/>
        <v>0</v>
      </c>
      <c r="AK4585" s="201" t="str">
        <f t="shared" si="1425"/>
        <v/>
      </c>
      <c r="AL4585" s="24"/>
      <c r="AM4585" s="24"/>
      <c r="AN4585" s="24"/>
      <c r="AO4585" s="24"/>
      <c r="AP4585" s="165" t="str">
        <f t="shared" si="1426"/>
        <v/>
      </c>
      <c r="AQ4585" s="203" t="str">
        <f t="shared" si="1427"/>
        <v/>
      </c>
      <c r="AR4585" s="206">
        <f t="shared" si="1428"/>
        <v>0</v>
      </c>
      <c r="AS4585" s="22" t="str">
        <f t="shared" si="1429"/>
        <v/>
      </c>
      <c r="AT4585" s="24" t="str">
        <f t="shared" si="1430"/>
        <v/>
      </c>
      <c r="AU4585" s="22" t="s">
        <v>3240</v>
      </c>
    </row>
    <row r="4586" spans="1:47">
      <c r="A4586" s="246" t="str">
        <f t="shared" si="1418"/>
        <v/>
      </c>
      <c r="B4586" s="23"/>
      <c r="C4586" s="23"/>
      <c r="D4586" s="202" t="str">
        <f t="shared" si="1419"/>
        <v/>
      </c>
      <c r="E4586" s="33" t="str">
        <f t="shared" si="1413"/>
        <v/>
      </c>
      <c r="F4586" s="23"/>
      <c r="G4586" s="23"/>
      <c r="H4586" s="29"/>
      <c r="I4586" s="204" t="str">
        <f t="shared" si="1416"/>
        <v/>
      </c>
      <c r="J4586" s="188"/>
      <c r="K4586" s="29"/>
      <c r="L4586" s="24"/>
      <c r="M4586" s="22"/>
      <c r="N4586" s="22"/>
      <c r="O4586" s="22"/>
      <c r="P4586" s="202" t="str">
        <f t="shared" si="1417"/>
        <v/>
      </c>
      <c r="Q4586" s="22"/>
      <c r="R4586" s="22"/>
      <c r="S4586" s="22"/>
      <c r="T4586" s="22"/>
      <c r="U4586" s="22"/>
      <c r="V4586" s="22"/>
      <c r="W4586" s="22"/>
      <c r="X4586" s="104"/>
      <c r="Y4586" s="195" t="str">
        <f t="shared" si="1414"/>
        <v/>
      </c>
      <c r="Z4586" s="196" t="str">
        <f t="shared" si="1415"/>
        <v/>
      </c>
      <c r="AA4586" s="22"/>
      <c r="AB4586" s="197" t="str">
        <f t="shared" si="1420"/>
        <v/>
      </c>
      <c r="AC4586" s="198" t="str">
        <f t="shared" si="1421"/>
        <v/>
      </c>
      <c r="AD4586" s="162"/>
      <c r="AE4586" s="199" t="str">
        <f t="shared" si="1422"/>
        <v/>
      </c>
      <c r="AF4586" s="199" t="str">
        <f>IF(AND(COUNTIFS($J$18:J4586,J4586)=1,AE4586=1),1,"")</f>
        <v/>
      </c>
      <c r="AG4586" s="199" t="str">
        <f>IF(C4586="","",IF(AND(COUNTIFS($J$18:J4586,J4586)=1,C4586&lt;&gt;""),1,""))</f>
        <v/>
      </c>
      <c r="AH4586" s="199" t="str">
        <f>IF(G4586="","",IF(AND(COUNTIFS($J$18:J4586,J4586)=1,G4586&lt;&gt;""),1,""))</f>
        <v/>
      </c>
      <c r="AI4586" s="200">
        <f t="shared" si="1423"/>
        <v>0</v>
      </c>
      <c r="AJ4586" s="200">
        <f t="shared" si="1424"/>
        <v>0</v>
      </c>
      <c r="AK4586" s="201" t="str">
        <f t="shared" si="1425"/>
        <v/>
      </c>
      <c r="AL4586" s="24"/>
      <c r="AM4586" s="24"/>
      <c r="AN4586" s="24"/>
      <c r="AO4586" s="24"/>
      <c r="AP4586" s="165" t="str">
        <f t="shared" si="1426"/>
        <v/>
      </c>
      <c r="AQ4586" s="203" t="str">
        <f t="shared" si="1427"/>
        <v/>
      </c>
      <c r="AR4586" s="206">
        <f t="shared" si="1428"/>
        <v>0</v>
      </c>
      <c r="AS4586" s="22" t="str">
        <f t="shared" si="1429"/>
        <v/>
      </c>
      <c r="AT4586" s="24" t="str">
        <f t="shared" si="1430"/>
        <v/>
      </c>
      <c r="AU4586" s="22" t="s">
        <v>3240</v>
      </c>
    </row>
    <row r="4587" spans="1:47">
      <c r="A4587" s="246" t="str">
        <f t="shared" si="1418"/>
        <v/>
      </c>
      <c r="B4587" s="23"/>
      <c r="C4587" s="23"/>
      <c r="D4587" s="202" t="str">
        <f t="shared" si="1419"/>
        <v/>
      </c>
      <c r="E4587" s="33" t="str">
        <f t="shared" si="1413"/>
        <v/>
      </c>
      <c r="F4587" s="23"/>
      <c r="G4587" s="23"/>
      <c r="H4587" s="29"/>
      <c r="I4587" s="204" t="str">
        <f t="shared" si="1416"/>
        <v/>
      </c>
      <c r="J4587" s="188"/>
      <c r="K4587" s="29"/>
      <c r="L4587" s="24"/>
      <c r="M4587" s="22"/>
      <c r="N4587" s="22"/>
      <c r="O4587" s="22"/>
      <c r="P4587" s="202" t="str">
        <f t="shared" si="1417"/>
        <v/>
      </c>
      <c r="Q4587" s="22"/>
      <c r="R4587" s="22"/>
      <c r="S4587" s="22"/>
      <c r="T4587" s="22"/>
      <c r="U4587" s="22"/>
      <c r="V4587" s="22"/>
      <c r="W4587" s="22"/>
      <c r="X4587" s="104"/>
      <c r="Y4587" s="195" t="str">
        <f t="shared" si="1414"/>
        <v/>
      </c>
      <c r="Z4587" s="196" t="str">
        <f t="shared" si="1415"/>
        <v/>
      </c>
      <c r="AA4587" s="22"/>
      <c r="AB4587" s="197" t="str">
        <f t="shared" si="1420"/>
        <v/>
      </c>
      <c r="AC4587" s="198" t="str">
        <f t="shared" si="1421"/>
        <v/>
      </c>
      <c r="AD4587" s="162"/>
      <c r="AE4587" s="199" t="str">
        <f t="shared" si="1422"/>
        <v/>
      </c>
      <c r="AF4587" s="199" t="str">
        <f>IF(AND(COUNTIFS($J$18:J4587,J4587)=1,AE4587=1),1,"")</f>
        <v/>
      </c>
      <c r="AG4587" s="199" t="str">
        <f>IF(C4587="","",IF(AND(COUNTIFS($J$18:J4587,J4587)=1,C4587&lt;&gt;""),1,""))</f>
        <v/>
      </c>
      <c r="AH4587" s="199" t="str">
        <f>IF(G4587="","",IF(AND(COUNTIFS($J$18:J4587,J4587)=1,G4587&lt;&gt;""),1,""))</f>
        <v/>
      </c>
      <c r="AI4587" s="200">
        <f t="shared" si="1423"/>
        <v>0</v>
      </c>
      <c r="AJ4587" s="200">
        <f t="shared" si="1424"/>
        <v>0</v>
      </c>
      <c r="AK4587" s="201" t="str">
        <f t="shared" si="1425"/>
        <v/>
      </c>
      <c r="AL4587" s="24"/>
      <c r="AM4587" s="24"/>
      <c r="AN4587" s="24"/>
      <c r="AO4587" s="24"/>
      <c r="AP4587" s="165" t="str">
        <f t="shared" si="1426"/>
        <v/>
      </c>
      <c r="AQ4587" s="203" t="str">
        <f t="shared" si="1427"/>
        <v/>
      </c>
      <c r="AR4587" s="206">
        <f t="shared" si="1428"/>
        <v>0</v>
      </c>
      <c r="AS4587" s="22" t="str">
        <f t="shared" si="1429"/>
        <v/>
      </c>
      <c r="AT4587" s="24" t="str">
        <f t="shared" si="1430"/>
        <v/>
      </c>
      <c r="AU4587" s="22" t="s">
        <v>3240</v>
      </c>
    </row>
    <row r="4588" spans="1:47">
      <c r="A4588" s="246" t="str">
        <f t="shared" si="1418"/>
        <v/>
      </c>
      <c r="B4588" s="23"/>
      <c r="C4588" s="23"/>
      <c r="D4588" s="202" t="str">
        <f t="shared" si="1419"/>
        <v/>
      </c>
      <c r="E4588" s="33" t="str">
        <f t="shared" si="1413"/>
        <v/>
      </c>
      <c r="F4588" s="23"/>
      <c r="G4588" s="23"/>
      <c r="H4588" s="29"/>
      <c r="I4588" s="204" t="str">
        <f t="shared" si="1416"/>
        <v/>
      </c>
      <c r="J4588" s="188"/>
      <c r="K4588" s="29"/>
      <c r="L4588" s="24"/>
      <c r="M4588" s="22"/>
      <c r="N4588" s="22"/>
      <c r="O4588" s="22"/>
      <c r="P4588" s="202" t="str">
        <f t="shared" si="1417"/>
        <v/>
      </c>
      <c r="Q4588" s="22"/>
      <c r="R4588" s="22"/>
      <c r="S4588" s="22"/>
      <c r="T4588" s="22"/>
      <c r="U4588" s="22"/>
      <c r="V4588" s="22"/>
      <c r="W4588" s="22"/>
      <c r="X4588" s="104"/>
      <c r="Y4588" s="195" t="str">
        <f t="shared" si="1414"/>
        <v/>
      </c>
      <c r="Z4588" s="196" t="str">
        <f t="shared" si="1415"/>
        <v/>
      </c>
      <c r="AA4588" s="22"/>
      <c r="AB4588" s="197" t="str">
        <f t="shared" si="1420"/>
        <v/>
      </c>
      <c r="AC4588" s="198" t="str">
        <f t="shared" si="1421"/>
        <v/>
      </c>
      <c r="AD4588" s="162"/>
      <c r="AE4588" s="199" t="str">
        <f t="shared" si="1422"/>
        <v/>
      </c>
      <c r="AF4588" s="199" t="str">
        <f>IF(AND(COUNTIFS($J$18:J4588,J4588)=1,AE4588=1),1,"")</f>
        <v/>
      </c>
      <c r="AG4588" s="199" t="str">
        <f>IF(C4588="","",IF(AND(COUNTIFS($J$18:J4588,J4588)=1,C4588&lt;&gt;""),1,""))</f>
        <v/>
      </c>
      <c r="AH4588" s="199" t="str">
        <f>IF(G4588="","",IF(AND(COUNTIFS($J$18:J4588,J4588)=1,G4588&lt;&gt;""),1,""))</f>
        <v/>
      </c>
      <c r="AI4588" s="200">
        <f t="shared" si="1423"/>
        <v>0</v>
      </c>
      <c r="AJ4588" s="200">
        <f t="shared" si="1424"/>
        <v>0</v>
      </c>
      <c r="AK4588" s="201" t="str">
        <f t="shared" si="1425"/>
        <v/>
      </c>
      <c r="AL4588" s="24"/>
      <c r="AM4588" s="24"/>
      <c r="AN4588" s="24"/>
      <c r="AO4588" s="24"/>
      <c r="AP4588" s="165" t="str">
        <f t="shared" si="1426"/>
        <v/>
      </c>
      <c r="AQ4588" s="203" t="str">
        <f t="shared" si="1427"/>
        <v/>
      </c>
      <c r="AR4588" s="206">
        <f t="shared" si="1428"/>
        <v>0</v>
      </c>
      <c r="AS4588" s="22" t="str">
        <f t="shared" si="1429"/>
        <v/>
      </c>
      <c r="AT4588" s="24" t="str">
        <f t="shared" si="1430"/>
        <v/>
      </c>
      <c r="AU4588" s="22" t="s">
        <v>3240</v>
      </c>
    </row>
    <row r="4589" spans="1:47">
      <c r="A4589" s="246" t="str">
        <f t="shared" si="1418"/>
        <v/>
      </c>
      <c r="B4589" s="23"/>
      <c r="C4589" s="23"/>
      <c r="D4589" s="202" t="str">
        <f t="shared" si="1419"/>
        <v/>
      </c>
      <c r="E4589" s="33" t="str">
        <f t="shared" si="1413"/>
        <v/>
      </c>
      <c r="F4589" s="23"/>
      <c r="G4589" s="23"/>
      <c r="H4589" s="29"/>
      <c r="I4589" s="204" t="str">
        <f t="shared" si="1416"/>
        <v/>
      </c>
      <c r="J4589" s="188"/>
      <c r="K4589" s="29"/>
      <c r="L4589" s="24"/>
      <c r="M4589" s="22"/>
      <c r="N4589" s="22"/>
      <c r="O4589" s="22"/>
      <c r="P4589" s="202" t="str">
        <f t="shared" si="1417"/>
        <v/>
      </c>
      <c r="Q4589" s="22"/>
      <c r="R4589" s="22"/>
      <c r="S4589" s="22"/>
      <c r="T4589" s="22"/>
      <c r="U4589" s="22"/>
      <c r="V4589" s="22"/>
      <c r="W4589" s="22"/>
      <c r="X4589" s="104"/>
      <c r="Y4589" s="195" t="str">
        <f t="shared" si="1414"/>
        <v/>
      </c>
      <c r="Z4589" s="196" t="str">
        <f t="shared" si="1415"/>
        <v/>
      </c>
      <c r="AA4589" s="22"/>
      <c r="AB4589" s="197" t="str">
        <f t="shared" si="1420"/>
        <v/>
      </c>
      <c r="AC4589" s="198" t="str">
        <f t="shared" si="1421"/>
        <v/>
      </c>
      <c r="AD4589" s="162"/>
      <c r="AE4589" s="199" t="str">
        <f t="shared" si="1422"/>
        <v/>
      </c>
      <c r="AF4589" s="199" t="str">
        <f>IF(AND(COUNTIFS($J$18:J4589,J4589)=1,AE4589=1),1,"")</f>
        <v/>
      </c>
      <c r="AG4589" s="199" t="str">
        <f>IF(C4589="","",IF(AND(COUNTIFS($J$18:J4589,J4589)=1,C4589&lt;&gt;""),1,""))</f>
        <v/>
      </c>
      <c r="AH4589" s="199" t="str">
        <f>IF(G4589="","",IF(AND(COUNTIFS($J$18:J4589,J4589)=1,G4589&lt;&gt;""),1,""))</f>
        <v/>
      </c>
      <c r="AI4589" s="200">
        <f t="shared" si="1423"/>
        <v>0</v>
      </c>
      <c r="AJ4589" s="200">
        <f t="shared" si="1424"/>
        <v>0</v>
      </c>
      <c r="AK4589" s="201" t="str">
        <f t="shared" si="1425"/>
        <v/>
      </c>
      <c r="AL4589" s="24"/>
      <c r="AM4589" s="24"/>
      <c r="AN4589" s="24"/>
      <c r="AO4589" s="24"/>
      <c r="AP4589" s="165" t="str">
        <f t="shared" si="1426"/>
        <v/>
      </c>
      <c r="AQ4589" s="203" t="str">
        <f t="shared" si="1427"/>
        <v/>
      </c>
      <c r="AR4589" s="206">
        <f t="shared" si="1428"/>
        <v>0</v>
      </c>
      <c r="AS4589" s="22" t="str">
        <f t="shared" si="1429"/>
        <v/>
      </c>
      <c r="AT4589" s="24" t="str">
        <f t="shared" si="1430"/>
        <v/>
      </c>
      <c r="AU4589" s="22" t="s">
        <v>3240</v>
      </c>
    </row>
    <row r="4590" spans="1:47">
      <c r="A4590" s="246" t="str">
        <f t="shared" si="1418"/>
        <v/>
      </c>
      <c r="B4590" s="23"/>
      <c r="C4590" s="23"/>
      <c r="D4590" s="202" t="str">
        <f t="shared" si="1419"/>
        <v/>
      </c>
      <c r="E4590" s="33" t="str">
        <f t="shared" si="1413"/>
        <v/>
      </c>
      <c r="F4590" s="23"/>
      <c r="G4590" s="23"/>
      <c r="H4590" s="29"/>
      <c r="I4590" s="204" t="str">
        <f t="shared" si="1416"/>
        <v/>
      </c>
      <c r="J4590" s="188"/>
      <c r="K4590" s="29"/>
      <c r="L4590" s="24"/>
      <c r="M4590" s="22"/>
      <c r="N4590" s="22"/>
      <c r="O4590" s="22"/>
      <c r="P4590" s="202" t="str">
        <f t="shared" si="1417"/>
        <v/>
      </c>
      <c r="Q4590" s="22"/>
      <c r="R4590" s="22"/>
      <c r="S4590" s="22"/>
      <c r="T4590" s="22"/>
      <c r="U4590" s="22"/>
      <c r="V4590" s="22"/>
      <c r="W4590" s="22"/>
      <c r="X4590" s="104"/>
      <c r="Y4590" s="195" t="str">
        <f t="shared" si="1414"/>
        <v/>
      </c>
      <c r="Z4590" s="196" t="str">
        <f t="shared" si="1415"/>
        <v/>
      </c>
      <c r="AA4590" s="22"/>
      <c r="AB4590" s="197" t="str">
        <f t="shared" si="1420"/>
        <v/>
      </c>
      <c r="AC4590" s="198" t="str">
        <f t="shared" si="1421"/>
        <v/>
      </c>
      <c r="AD4590" s="162"/>
      <c r="AE4590" s="199" t="str">
        <f t="shared" si="1422"/>
        <v/>
      </c>
      <c r="AF4590" s="199" t="str">
        <f>IF(AND(COUNTIFS($J$18:J4590,J4590)=1,AE4590=1),1,"")</f>
        <v/>
      </c>
      <c r="AG4590" s="199" t="str">
        <f>IF(C4590="","",IF(AND(COUNTIFS($J$18:J4590,J4590)=1,C4590&lt;&gt;""),1,""))</f>
        <v/>
      </c>
      <c r="AH4590" s="199" t="str">
        <f>IF(G4590="","",IF(AND(COUNTIFS($J$18:J4590,J4590)=1,G4590&lt;&gt;""),1,""))</f>
        <v/>
      </c>
      <c r="AI4590" s="200">
        <f t="shared" si="1423"/>
        <v>0</v>
      </c>
      <c r="AJ4590" s="200">
        <f t="shared" si="1424"/>
        <v>0</v>
      </c>
      <c r="AK4590" s="201" t="str">
        <f t="shared" si="1425"/>
        <v/>
      </c>
      <c r="AL4590" s="24"/>
      <c r="AM4590" s="24"/>
      <c r="AN4590" s="24"/>
      <c r="AO4590" s="24"/>
      <c r="AP4590" s="165" t="str">
        <f t="shared" si="1426"/>
        <v/>
      </c>
      <c r="AQ4590" s="203" t="str">
        <f t="shared" si="1427"/>
        <v/>
      </c>
      <c r="AR4590" s="206">
        <f t="shared" si="1428"/>
        <v>0</v>
      </c>
      <c r="AS4590" s="22" t="str">
        <f t="shared" si="1429"/>
        <v/>
      </c>
      <c r="AT4590" s="24" t="str">
        <f t="shared" si="1430"/>
        <v/>
      </c>
      <c r="AU4590" s="22" t="s">
        <v>3240</v>
      </c>
    </row>
    <row r="4591" spans="1:47">
      <c r="A4591" s="246" t="str">
        <f t="shared" si="1418"/>
        <v/>
      </c>
      <c r="B4591" s="23"/>
      <c r="C4591" s="23"/>
      <c r="D4591" s="202" t="str">
        <f t="shared" si="1419"/>
        <v/>
      </c>
      <c r="E4591" s="33" t="str">
        <f t="shared" si="1413"/>
        <v/>
      </c>
      <c r="F4591" s="23"/>
      <c r="G4591" s="23"/>
      <c r="H4591" s="29"/>
      <c r="I4591" s="204" t="str">
        <f t="shared" si="1416"/>
        <v/>
      </c>
      <c r="J4591" s="188"/>
      <c r="K4591" s="29"/>
      <c r="L4591" s="24"/>
      <c r="M4591" s="22"/>
      <c r="N4591" s="22"/>
      <c r="O4591" s="22"/>
      <c r="P4591" s="202" t="str">
        <f t="shared" si="1417"/>
        <v/>
      </c>
      <c r="Q4591" s="22"/>
      <c r="R4591" s="22"/>
      <c r="S4591" s="22"/>
      <c r="T4591" s="22"/>
      <c r="U4591" s="22"/>
      <c r="V4591" s="22"/>
      <c r="W4591" s="22"/>
      <c r="X4591" s="104"/>
      <c r="Y4591" s="195" t="str">
        <f t="shared" si="1414"/>
        <v/>
      </c>
      <c r="Z4591" s="196" t="str">
        <f t="shared" si="1415"/>
        <v/>
      </c>
      <c r="AA4591" s="22"/>
      <c r="AB4591" s="197" t="str">
        <f t="shared" si="1420"/>
        <v/>
      </c>
      <c r="AC4591" s="198" t="str">
        <f t="shared" si="1421"/>
        <v/>
      </c>
      <c r="AD4591" s="162"/>
      <c r="AE4591" s="199" t="str">
        <f t="shared" si="1422"/>
        <v/>
      </c>
      <c r="AF4591" s="199" t="str">
        <f>IF(AND(COUNTIFS($J$18:J4591,J4591)=1,AE4591=1),1,"")</f>
        <v/>
      </c>
      <c r="AG4591" s="199" t="str">
        <f>IF(C4591="","",IF(AND(COUNTIFS($J$18:J4591,J4591)=1,C4591&lt;&gt;""),1,""))</f>
        <v/>
      </c>
      <c r="AH4591" s="199" t="str">
        <f>IF(G4591="","",IF(AND(COUNTIFS($J$18:J4591,J4591)=1,G4591&lt;&gt;""),1,""))</f>
        <v/>
      </c>
      <c r="AI4591" s="200">
        <f t="shared" si="1423"/>
        <v>0</v>
      </c>
      <c r="AJ4591" s="200">
        <f t="shared" si="1424"/>
        <v>0</v>
      </c>
      <c r="AK4591" s="201" t="str">
        <f t="shared" si="1425"/>
        <v/>
      </c>
      <c r="AL4591" s="24"/>
      <c r="AM4591" s="24"/>
      <c r="AN4591" s="24"/>
      <c r="AO4591" s="24"/>
      <c r="AP4591" s="165" t="str">
        <f t="shared" si="1426"/>
        <v/>
      </c>
      <c r="AQ4591" s="203" t="str">
        <f t="shared" si="1427"/>
        <v/>
      </c>
      <c r="AR4591" s="206">
        <f t="shared" si="1428"/>
        <v>0</v>
      </c>
      <c r="AS4591" s="22" t="str">
        <f t="shared" si="1429"/>
        <v/>
      </c>
      <c r="AT4591" s="24" t="str">
        <f t="shared" si="1430"/>
        <v/>
      </c>
      <c r="AU4591" s="22" t="s">
        <v>3240</v>
      </c>
    </row>
    <row r="4592" spans="1:47">
      <c r="A4592" s="246" t="str">
        <f t="shared" si="1418"/>
        <v/>
      </c>
      <c r="B4592" s="23"/>
      <c r="C4592" s="23"/>
      <c r="D4592" s="202" t="str">
        <f t="shared" si="1419"/>
        <v/>
      </c>
      <c r="E4592" s="33" t="str">
        <f t="shared" si="1413"/>
        <v/>
      </c>
      <c r="F4592" s="23"/>
      <c r="G4592" s="23"/>
      <c r="H4592" s="29"/>
      <c r="I4592" s="204" t="str">
        <f t="shared" si="1416"/>
        <v/>
      </c>
      <c r="J4592" s="188"/>
      <c r="K4592" s="29"/>
      <c r="L4592" s="24"/>
      <c r="M4592" s="22"/>
      <c r="N4592" s="22"/>
      <c r="O4592" s="22"/>
      <c r="P4592" s="202" t="str">
        <f t="shared" si="1417"/>
        <v/>
      </c>
      <c r="Q4592" s="22"/>
      <c r="R4592" s="22"/>
      <c r="S4592" s="22"/>
      <c r="T4592" s="22"/>
      <c r="U4592" s="22"/>
      <c r="V4592" s="22"/>
      <c r="W4592" s="22"/>
      <c r="X4592" s="104"/>
      <c r="Y4592" s="195" t="str">
        <f t="shared" si="1414"/>
        <v/>
      </c>
      <c r="Z4592" s="196" t="str">
        <f t="shared" si="1415"/>
        <v/>
      </c>
      <c r="AA4592" s="22"/>
      <c r="AB4592" s="197" t="str">
        <f t="shared" si="1420"/>
        <v/>
      </c>
      <c r="AC4592" s="198" t="str">
        <f t="shared" si="1421"/>
        <v/>
      </c>
      <c r="AD4592" s="162"/>
      <c r="AE4592" s="199" t="str">
        <f t="shared" si="1422"/>
        <v/>
      </c>
      <c r="AF4592" s="199" t="str">
        <f>IF(AND(COUNTIFS($J$18:J4592,J4592)=1,AE4592=1),1,"")</f>
        <v/>
      </c>
      <c r="AG4592" s="199" t="str">
        <f>IF(C4592="","",IF(AND(COUNTIFS($J$18:J4592,J4592)=1,C4592&lt;&gt;""),1,""))</f>
        <v/>
      </c>
      <c r="AH4592" s="199" t="str">
        <f>IF(G4592="","",IF(AND(COUNTIFS($J$18:J4592,J4592)=1,G4592&lt;&gt;""),1,""))</f>
        <v/>
      </c>
      <c r="AI4592" s="200">
        <f t="shared" si="1423"/>
        <v>0</v>
      </c>
      <c r="AJ4592" s="200">
        <f t="shared" si="1424"/>
        <v>0</v>
      </c>
      <c r="AK4592" s="201" t="str">
        <f t="shared" si="1425"/>
        <v/>
      </c>
      <c r="AL4592" s="24"/>
      <c r="AM4592" s="24"/>
      <c r="AN4592" s="24"/>
      <c r="AO4592" s="24"/>
      <c r="AP4592" s="165" t="str">
        <f t="shared" si="1426"/>
        <v/>
      </c>
      <c r="AQ4592" s="203" t="str">
        <f t="shared" si="1427"/>
        <v/>
      </c>
      <c r="AR4592" s="206">
        <f t="shared" si="1428"/>
        <v>0</v>
      </c>
      <c r="AS4592" s="22" t="str">
        <f t="shared" si="1429"/>
        <v/>
      </c>
      <c r="AT4592" s="24" t="str">
        <f t="shared" si="1430"/>
        <v/>
      </c>
      <c r="AU4592" s="22" t="s">
        <v>3240</v>
      </c>
    </row>
    <row r="4593" spans="1:47">
      <c r="A4593" s="246" t="str">
        <f t="shared" si="1418"/>
        <v/>
      </c>
      <c r="B4593" s="23"/>
      <c r="C4593" s="23"/>
      <c r="D4593" s="202" t="str">
        <f t="shared" si="1419"/>
        <v/>
      </c>
      <c r="E4593" s="33" t="str">
        <f t="shared" si="1413"/>
        <v/>
      </c>
      <c r="F4593" s="23"/>
      <c r="G4593" s="23"/>
      <c r="H4593" s="29"/>
      <c r="I4593" s="204" t="str">
        <f t="shared" si="1416"/>
        <v/>
      </c>
      <c r="J4593" s="188"/>
      <c r="K4593" s="29"/>
      <c r="L4593" s="24"/>
      <c r="M4593" s="22"/>
      <c r="N4593" s="22"/>
      <c r="O4593" s="22"/>
      <c r="P4593" s="202" t="str">
        <f t="shared" si="1417"/>
        <v/>
      </c>
      <c r="Q4593" s="22"/>
      <c r="R4593" s="22"/>
      <c r="S4593" s="22"/>
      <c r="T4593" s="22"/>
      <c r="U4593" s="22"/>
      <c r="V4593" s="22"/>
      <c r="W4593" s="22"/>
      <c r="X4593" s="104"/>
      <c r="Y4593" s="195" t="str">
        <f t="shared" si="1414"/>
        <v/>
      </c>
      <c r="Z4593" s="196" t="str">
        <f t="shared" si="1415"/>
        <v/>
      </c>
      <c r="AA4593" s="22"/>
      <c r="AB4593" s="197" t="str">
        <f t="shared" si="1420"/>
        <v/>
      </c>
      <c r="AC4593" s="198" t="str">
        <f t="shared" si="1421"/>
        <v/>
      </c>
      <c r="AD4593" s="162"/>
      <c r="AE4593" s="199" t="str">
        <f t="shared" si="1422"/>
        <v/>
      </c>
      <c r="AF4593" s="199" t="str">
        <f>IF(AND(COUNTIFS($J$18:J4593,J4593)=1,AE4593=1),1,"")</f>
        <v/>
      </c>
      <c r="AG4593" s="199" t="str">
        <f>IF(C4593="","",IF(AND(COUNTIFS($J$18:J4593,J4593)=1,C4593&lt;&gt;""),1,""))</f>
        <v/>
      </c>
      <c r="AH4593" s="199" t="str">
        <f>IF(G4593="","",IF(AND(COUNTIFS($J$18:J4593,J4593)=1,G4593&lt;&gt;""),1,""))</f>
        <v/>
      </c>
      <c r="AI4593" s="200">
        <f t="shared" si="1423"/>
        <v>0</v>
      </c>
      <c r="AJ4593" s="200">
        <f t="shared" si="1424"/>
        <v>0</v>
      </c>
      <c r="AK4593" s="201" t="str">
        <f t="shared" si="1425"/>
        <v/>
      </c>
      <c r="AL4593" s="24"/>
      <c r="AM4593" s="24"/>
      <c r="AN4593" s="24"/>
      <c r="AO4593" s="24"/>
      <c r="AP4593" s="165" t="str">
        <f t="shared" si="1426"/>
        <v/>
      </c>
      <c r="AQ4593" s="203" t="str">
        <f t="shared" si="1427"/>
        <v/>
      </c>
      <c r="AR4593" s="206">
        <f t="shared" si="1428"/>
        <v>0</v>
      </c>
      <c r="AS4593" s="22" t="str">
        <f t="shared" si="1429"/>
        <v/>
      </c>
      <c r="AT4593" s="24" t="str">
        <f t="shared" si="1430"/>
        <v/>
      </c>
      <c r="AU4593" s="22" t="s">
        <v>3240</v>
      </c>
    </row>
    <row r="4594" spans="1:47">
      <c r="A4594" s="246" t="str">
        <f t="shared" si="1418"/>
        <v/>
      </c>
      <c r="B4594" s="23"/>
      <c r="C4594" s="23"/>
      <c r="D4594" s="202" t="str">
        <f t="shared" si="1419"/>
        <v/>
      </c>
      <c r="E4594" s="33" t="str">
        <f t="shared" si="1413"/>
        <v/>
      </c>
      <c r="F4594" s="23"/>
      <c r="G4594" s="23"/>
      <c r="H4594" s="29"/>
      <c r="I4594" s="204" t="str">
        <f t="shared" si="1416"/>
        <v/>
      </c>
      <c r="J4594" s="188"/>
      <c r="K4594" s="29"/>
      <c r="L4594" s="24"/>
      <c r="M4594" s="22"/>
      <c r="N4594" s="22"/>
      <c r="O4594" s="22"/>
      <c r="P4594" s="202" t="str">
        <f t="shared" si="1417"/>
        <v/>
      </c>
      <c r="Q4594" s="22"/>
      <c r="R4594" s="22"/>
      <c r="S4594" s="22"/>
      <c r="T4594" s="22"/>
      <c r="U4594" s="22"/>
      <c r="V4594" s="22"/>
      <c r="W4594" s="22"/>
      <c r="X4594" s="104"/>
      <c r="Y4594" s="195" t="str">
        <f t="shared" si="1414"/>
        <v/>
      </c>
      <c r="Z4594" s="196" t="str">
        <f t="shared" si="1415"/>
        <v/>
      </c>
      <c r="AA4594" s="22"/>
      <c r="AB4594" s="197" t="str">
        <f t="shared" si="1420"/>
        <v/>
      </c>
      <c r="AC4594" s="198" t="str">
        <f t="shared" si="1421"/>
        <v/>
      </c>
      <c r="AD4594" s="162"/>
      <c r="AE4594" s="199" t="str">
        <f t="shared" si="1422"/>
        <v/>
      </c>
      <c r="AF4594" s="199" t="str">
        <f>IF(AND(COUNTIFS($J$18:J4594,J4594)=1,AE4594=1),1,"")</f>
        <v/>
      </c>
      <c r="AG4594" s="199" t="str">
        <f>IF(C4594="","",IF(AND(COUNTIFS($J$18:J4594,J4594)=1,C4594&lt;&gt;""),1,""))</f>
        <v/>
      </c>
      <c r="AH4594" s="199" t="str">
        <f>IF(G4594="","",IF(AND(COUNTIFS($J$18:J4594,J4594)=1,G4594&lt;&gt;""),1,""))</f>
        <v/>
      </c>
      <c r="AI4594" s="200">
        <f t="shared" si="1423"/>
        <v>0</v>
      </c>
      <c r="AJ4594" s="200">
        <f t="shared" si="1424"/>
        <v>0</v>
      </c>
      <c r="AK4594" s="201" t="str">
        <f t="shared" si="1425"/>
        <v/>
      </c>
      <c r="AL4594" s="24"/>
      <c r="AM4594" s="24"/>
      <c r="AN4594" s="24"/>
      <c r="AO4594" s="24"/>
      <c r="AP4594" s="165" t="str">
        <f t="shared" si="1426"/>
        <v/>
      </c>
      <c r="AQ4594" s="203" t="str">
        <f t="shared" si="1427"/>
        <v/>
      </c>
      <c r="AR4594" s="206">
        <f t="shared" si="1428"/>
        <v>0</v>
      </c>
      <c r="AS4594" s="22" t="str">
        <f t="shared" si="1429"/>
        <v/>
      </c>
      <c r="AT4594" s="24" t="str">
        <f t="shared" si="1430"/>
        <v/>
      </c>
      <c r="AU4594" s="22" t="s">
        <v>3240</v>
      </c>
    </row>
    <row r="4595" spans="1:47">
      <c r="A4595" s="246" t="str">
        <f t="shared" si="1418"/>
        <v/>
      </c>
      <c r="B4595" s="23"/>
      <c r="C4595" s="23"/>
      <c r="D4595" s="202" t="str">
        <f t="shared" si="1419"/>
        <v/>
      </c>
      <c r="E4595" s="33" t="str">
        <f t="shared" si="1413"/>
        <v/>
      </c>
      <c r="F4595" s="23"/>
      <c r="G4595" s="23"/>
      <c r="H4595" s="29"/>
      <c r="I4595" s="204" t="str">
        <f t="shared" si="1416"/>
        <v/>
      </c>
      <c r="J4595" s="188"/>
      <c r="K4595" s="29"/>
      <c r="L4595" s="24"/>
      <c r="M4595" s="22"/>
      <c r="N4595" s="22"/>
      <c r="O4595" s="22"/>
      <c r="P4595" s="202" t="str">
        <f t="shared" si="1417"/>
        <v/>
      </c>
      <c r="Q4595" s="22"/>
      <c r="R4595" s="22"/>
      <c r="S4595" s="22"/>
      <c r="T4595" s="22"/>
      <c r="U4595" s="22"/>
      <c r="V4595" s="22"/>
      <c r="W4595" s="22"/>
      <c r="X4595" s="104"/>
      <c r="Y4595" s="195" t="str">
        <f t="shared" si="1414"/>
        <v/>
      </c>
      <c r="Z4595" s="196" t="str">
        <f t="shared" si="1415"/>
        <v/>
      </c>
      <c r="AA4595" s="22"/>
      <c r="AB4595" s="197" t="str">
        <f t="shared" si="1420"/>
        <v/>
      </c>
      <c r="AC4595" s="198" t="str">
        <f t="shared" si="1421"/>
        <v/>
      </c>
      <c r="AD4595" s="162"/>
      <c r="AE4595" s="199" t="str">
        <f t="shared" si="1422"/>
        <v/>
      </c>
      <c r="AF4595" s="199" t="str">
        <f>IF(AND(COUNTIFS($J$18:J4595,J4595)=1,AE4595=1),1,"")</f>
        <v/>
      </c>
      <c r="AG4595" s="199" t="str">
        <f>IF(C4595="","",IF(AND(COUNTIFS($J$18:J4595,J4595)=1,C4595&lt;&gt;""),1,""))</f>
        <v/>
      </c>
      <c r="AH4595" s="199" t="str">
        <f>IF(G4595="","",IF(AND(COUNTIFS($J$18:J4595,J4595)=1,G4595&lt;&gt;""),1,""))</f>
        <v/>
      </c>
      <c r="AI4595" s="200">
        <f t="shared" si="1423"/>
        <v>0</v>
      </c>
      <c r="AJ4595" s="200">
        <f t="shared" si="1424"/>
        <v>0</v>
      </c>
      <c r="AK4595" s="201" t="str">
        <f t="shared" si="1425"/>
        <v/>
      </c>
      <c r="AL4595" s="24"/>
      <c r="AM4595" s="24"/>
      <c r="AN4595" s="24"/>
      <c r="AO4595" s="24"/>
      <c r="AP4595" s="165" t="str">
        <f t="shared" si="1426"/>
        <v/>
      </c>
      <c r="AQ4595" s="203" t="str">
        <f t="shared" si="1427"/>
        <v/>
      </c>
      <c r="AR4595" s="206">
        <f t="shared" si="1428"/>
        <v>0</v>
      </c>
      <c r="AS4595" s="22" t="str">
        <f t="shared" si="1429"/>
        <v/>
      </c>
      <c r="AT4595" s="24" t="str">
        <f t="shared" si="1430"/>
        <v/>
      </c>
      <c r="AU4595" s="22" t="s">
        <v>3240</v>
      </c>
    </row>
    <row r="4596" spans="1:47">
      <c r="A4596" s="246" t="str">
        <f t="shared" si="1418"/>
        <v/>
      </c>
      <c r="B4596" s="23"/>
      <c r="C4596" s="23"/>
      <c r="D4596" s="202" t="str">
        <f t="shared" si="1419"/>
        <v/>
      </c>
      <c r="E4596" s="33" t="str">
        <f t="shared" si="1413"/>
        <v/>
      </c>
      <c r="F4596" s="23"/>
      <c r="G4596" s="23"/>
      <c r="H4596" s="29"/>
      <c r="I4596" s="204" t="str">
        <f t="shared" si="1416"/>
        <v/>
      </c>
      <c r="J4596" s="188"/>
      <c r="K4596" s="29"/>
      <c r="L4596" s="24"/>
      <c r="M4596" s="22"/>
      <c r="N4596" s="22"/>
      <c r="O4596" s="22"/>
      <c r="P4596" s="202" t="str">
        <f t="shared" si="1417"/>
        <v/>
      </c>
      <c r="Q4596" s="22"/>
      <c r="R4596" s="22"/>
      <c r="S4596" s="22"/>
      <c r="T4596" s="22"/>
      <c r="U4596" s="22"/>
      <c r="V4596" s="22"/>
      <c r="W4596" s="22"/>
      <c r="X4596" s="104"/>
      <c r="Y4596" s="195" t="str">
        <f t="shared" si="1414"/>
        <v/>
      </c>
      <c r="Z4596" s="196" t="str">
        <f t="shared" si="1415"/>
        <v/>
      </c>
      <c r="AA4596" s="22"/>
      <c r="AB4596" s="197" t="str">
        <f t="shared" si="1420"/>
        <v/>
      </c>
      <c r="AC4596" s="198" t="str">
        <f t="shared" si="1421"/>
        <v/>
      </c>
      <c r="AD4596" s="162"/>
      <c r="AE4596" s="199" t="str">
        <f t="shared" si="1422"/>
        <v/>
      </c>
      <c r="AF4596" s="199" t="str">
        <f>IF(AND(COUNTIFS($J$18:J4596,J4596)=1,AE4596=1),1,"")</f>
        <v/>
      </c>
      <c r="AG4596" s="199" t="str">
        <f>IF(C4596="","",IF(AND(COUNTIFS($J$18:J4596,J4596)=1,C4596&lt;&gt;""),1,""))</f>
        <v/>
      </c>
      <c r="AH4596" s="199" t="str">
        <f>IF(G4596="","",IF(AND(COUNTIFS($J$18:J4596,J4596)=1,G4596&lt;&gt;""),1,""))</f>
        <v/>
      </c>
      <c r="AI4596" s="200">
        <f t="shared" si="1423"/>
        <v>0</v>
      </c>
      <c r="AJ4596" s="200">
        <f t="shared" si="1424"/>
        <v>0</v>
      </c>
      <c r="AK4596" s="201" t="str">
        <f t="shared" si="1425"/>
        <v/>
      </c>
      <c r="AL4596" s="24"/>
      <c r="AM4596" s="24"/>
      <c r="AN4596" s="24"/>
      <c r="AO4596" s="24"/>
      <c r="AP4596" s="165" t="str">
        <f t="shared" si="1426"/>
        <v/>
      </c>
      <c r="AQ4596" s="203" t="str">
        <f t="shared" si="1427"/>
        <v/>
      </c>
      <c r="AR4596" s="206">
        <f t="shared" si="1428"/>
        <v>0</v>
      </c>
      <c r="AS4596" s="22" t="str">
        <f t="shared" si="1429"/>
        <v/>
      </c>
      <c r="AT4596" s="24" t="str">
        <f t="shared" si="1430"/>
        <v/>
      </c>
      <c r="AU4596" s="22" t="s">
        <v>3240</v>
      </c>
    </row>
    <row r="4597" spans="1:47">
      <c r="A4597" s="246" t="str">
        <f t="shared" si="1418"/>
        <v/>
      </c>
      <c r="B4597" s="23"/>
      <c r="C4597" s="23"/>
      <c r="D4597" s="202" t="str">
        <f t="shared" si="1419"/>
        <v/>
      </c>
      <c r="E4597" s="33" t="str">
        <f t="shared" si="1413"/>
        <v/>
      </c>
      <c r="F4597" s="23"/>
      <c r="G4597" s="23"/>
      <c r="H4597" s="29"/>
      <c r="I4597" s="204" t="str">
        <f t="shared" si="1416"/>
        <v/>
      </c>
      <c r="J4597" s="188"/>
      <c r="K4597" s="29"/>
      <c r="L4597" s="24"/>
      <c r="M4597" s="22"/>
      <c r="N4597" s="22"/>
      <c r="O4597" s="22"/>
      <c r="P4597" s="202" t="str">
        <f t="shared" si="1417"/>
        <v/>
      </c>
      <c r="Q4597" s="22"/>
      <c r="R4597" s="22"/>
      <c r="S4597" s="22"/>
      <c r="T4597" s="22"/>
      <c r="U4597" s="22"/>
      <c r="V4597" s="22"/>
      <c r="W4597" s="22"/>
      <c r="X4597" s="104"/>
      <c r="Y4597" s="195" t="str">
        <f t="shared" si="1414"/>
        <v/>
      </c>
      <c r="Z4597" s="196" t="str">
        <f t="shared" si="1415"/>
        <v/>
      </c>
      <c r="AA4597" s="22"/>
      <c r="AB4597" s="197" t="str">
        <f t="shared" si="1420"/>
        <v/>
      </c>
      <c r="AC4597" s="198" t="str">
        <f t="shared" si="1421"/>
        <v/>
      </c>
      <c r="AD4597" s="162"/>
      <c r="AE4597" s="199" t="str">
        <f t="shared" si="1422"/>
        <v/>
      </c>
      <c r="AF4597" s="199" t="str">
        <f>IF(AND(COUNTIFS($J$18:J4597,J4597)=1,AE4597=1),1,"")</f>
        <v/>
      </c>
      <c r="AG4597" s="199" t="str">
        <f>IF(C4597="","",IF(AND(COUNTIFS($J$18:J4597,J4597)=1,C4597&lt;&gt;""),1,""))</f>
        <v/>
      </c>
      <c r="AH4597" s="199" t="str">
        <f>IF(G4597="","",IF(AND(COUNTIFS($J$18:J4597,J4597)=1,G4597&lt;&gt;""),1,""))</f>
        <v/>
      </c>
      <c r="AI4597" s="200">
        <f t="shared" si="1423"/>
        <v>0</v>
      </c>
      <c r="AJ4597" s="200">
        <f t="shared" si="1424"/>
        <v>0</v>
      </c>
      <c r="AK4597" s="201" t="str">
        <f t="shared" si="1425"/>
        <v/>
      </c>
      <c r="AL4597" s="24"/>
      <c r="AM4597" s="24"/>
      <c r="AN4597" s="24"/>
      <c r="AO4597" s="24"/>
      <c r="AP4597" s="165" t="str">
        <f t="shared" si="1426"/>
        <v/>
      </c>
      <c r="AQ4597" s="203" t="str">
        <f t="shared" si="1427"/>
        <v/>
      </c>
      <c r="AR4597" s="206">
        <f t="shared" si="1428"/>
        <v>0</v>
      </c>
      <c r="AS4597" s="22" t="str">
        <f t="shared" si="1429"/>
        <v/>
      </c>
      <c r="AT4597" s="24" t="str">
        <f t="shared" si="1430"/>
        <v/>
      </c>
      <c r="AU4597" s="22" t="s">
        <v>3240</v>
      </c>
    </row>
    <row r="4598" spans="1:47">
      <c r="A4598" s="246" t="str">
        <f t="shared" si="1418"/>
        <v/>
      </c>
      <c r="B4598" s="23"/>
      <c r="C4598" s="23"/>
      <c r="D4598" s="202" t="str">
        <f t="shared" si="1419"/>
        <v/>
      </c>
      <c r="E4598" s="33" t="str">
        <f t="shared" si="1413"/>
        <v/>
      </c>
      <c r="F4598" s="23"/>
      <c r="G4598" s="23"/>
      <c r="H4598" s="29"/>
      <c r="I4598" s="204" t="str">
        <f t="shared" si="1416"/>
        <v/>
      </c>
      <c r="J4598" s="188"/>
      <c r="K4598" s="29"/>
      <c r="L4598" s="24"/>
      <c r="M4598" s="22"/>
      <c r="N4598" s="22"/>
      <c r="O4598" s="22"/>
      <c r="P4598" s="202" t="str">
        <f t="shared" si="1417"/>
        <v/>
      </c>
      <c r="Q4598" s="22"/>
      <c r="R4598" s="22"/>
      <c r="S4598" s="22"/>
      <c r="T4598" s="22"/>
      <c r="U4598" s="22"/>
      <c r="V4598" s="22"/>
      <c r="W4598" s="22"/>
      <c r="X4598" s="104"/>
      <c r="Y4598" s="195" t="str">
        <f t="shared" si="1414"/>
        <v/>
      </c>
      <c r="Z4598" s="196" t="str">
        <f t="shared" si="1415"/>
        <v/>
      </c>
      <c r="AA4598" s="22"/>
      <c r="AB4598" s="197" t="str">
        <f t="shared" si="1420"/>
        <v/>
      </c>
      <c r="AC4598" s="198" t="str">
        <f t="shared" si="1421"/>
        <v/>
      </c>
      <c r="AD4598" s="162"/>
      <c r="AE4598" s="199" t="str">
        <f t="shared" si="1422"/>
        <v/>
      </c>
      <c r="AF4598" s="199" t="str">
        <f>IF(AND(COUNTIFS($J$18:J4598,J4598)=1,AE4598=1),1,"")</f>
        <v/>
      </c>
      <c r="AG4598" s="199" t="str">
        <f>IF(C4598="","",IF(AND(COUNTIFS($J$18:J4598,J4598)=1,C4598&lt;&gt;""),1,""))</f>
        <v/>
      </c>
      <c r="AH4598" s="199" t="str">
        <f>IF(G4598="","",IF(AND(COUNTIFS($J$18:J4598,J4598)=1,G4598&lt;&gt;""),1,""))</f>
        <v/>
      </c>
      <c r="AI4598" s="200">
        <f t="shared" si="1423"/>
        <v>0</v>
      </c>
      <c r="AJ4598" s="200">
        <f t="shared" si="1424"/>
        <v>0</v>
      </c>
      <c r="AK4598" s="201" t="str">
        <f t="shared" si="1425"/>
        <v/>
      </c>
      <c r="AL4598" s="24"/>
      <c r="AM4598" s="24"/>
      <c r="AN4598" s="24"/>
      <c r="AO4598" s="24"/>
      <c r="AP4598" s="165" t="str">
        <f t="shared" si="1426"/>
        <v/>
      </c>
      <c r="AQ4598" s="203" t="str">
        <f t="shared" si="1427"/>
        <v/>
      </c>
      <c r="AR4598" s="206">
        <f t="shared" si="1428"/>
        <v>0</v>
      </c>
      <c r="AS4598" s="22" t="str">
        <f t="shared" si="1429"/>
        <v/>
      </c>
      <c r="AT4598" s="24" t="str">
        <f t="shared" si="1430"/>
        <v/>
      </c>
      <c r="AU4598" s="22" t="s">
        <v>3240</v>
      </c>
    </row>
    <row r="4599" spans="1:47">
      <c r="A4599" s="246" t="str">
        <f t="shared" si="1418"/>
        <v/>
      </c>
      <c r="B4599" s="23"/>
      <c r="C4599" s="23"/>
      <c r="D4599" s="202" t="str">
        <f t="shared" si="1419"/>
        <v/>
      </c>
      <c r="E4599" s="33" t="str">
        <f t="shared" si="1413"/>
        <v/>
      </c>
      <c r="F4599" s="23"/>
      <c r="G4599" s="23"/>
      <c r="H4599" s="29"/>
      <c r="I4599" s="204" t="str">
        <f t="shared" si="1416"/>
        <v/>
      </c>
      <c r="J4599" s="188"/>
      <c r="K4599" s="29"/>
      <c r="L4599" s="24"/>
      <c r="M4599" s="22"/>
      <c r="N4599" s="22"/>
      <c r="O4599" s="22"/>
      <c r="P4599" s="202" t="str">
        <f t="shared" si="1417"/>
        <v/>
      </c>
      <c r="Q4599" s="22"/>
      <c r="R4599" s="22"/>
      <c r="S4599" s="22"/>
      <c r="T4599" s="22"/>
      <c r="U4599" s="22"/>
      <c r="V4599" s="22"/>
      <c r="W4599" s="22"/>
      <c r="X4599" s="104"/>
      <c r="Y4599" s="195" t="str">
        <f t="shared" si="1414"/>
        <v/>
      </c>
      <c r="Z4599" s="196" t="str">
        <f t="shared" si="1415"/>
        <v/>
      </c>
      <c r="AA4599" s="22"/>
      <c r="AB4599" s="197" t="str">
        <f t="shared" si="1420"/>
        <v/>
      </c>
      <c r="AC4599" s="198" t="str">
        <f t="shared" si="1421"/>
        <v/>
      </c>
      <c r="AD4599" s="162"/>
      <c r="AE4599" s="199" t="str">
        <f t="shared" si="1422"/>
        <v/>
      </c>
      <c r="AF4599" s="199" t="str">
        <f>IF(AND(COUNTIFS($J$18:J4599,J4599)=1,AE4599=1),1,"")</f>
        <v/>
      </c>
      <c r="AG4599" s="199" t="str">
        <f>IF(C4599="","",IF(AND(COUNTIFS($J$18:J4599,J4599)=1,C4599&lt;&gt;""),1,""))</f>
        <v/>
      </c>
      <c r="AH4599" s="199" t="str">
        <f>IF(G4599="","",IF(AND(COUNTIFS($J$18:J4599,J4599)=1,G4599&lt;&gt;""),1,""))</f>
        <v/>
      </c>
      <c r="AI4599" s="200">
        <f t="shared" si="1423"/>
        <v>0</v>
      </c>
      <c r="AJ4599" s="200">
        <f t="shared" si="1424"/>
        <v>0</v>
      </c>
      <c r="AK4599" s="201" t="str">
        <f t="shared" si="1425"/>
        <v/>
      </c>
      <c r="AL4599" s="24"/>
      <c r="AM4599" s="24"/>
      <c r="AN4599" s="24"/>
      <c r="AO4599" s="24"/>
      <c r="AP4599" s="165" t="str">
        <f t="shared" si="1426"/>
        <v/>
      </c>
      <c r="AQ4599" s="203" t="str">
        <f t="shared" si="1427"/>
        <v/>
      </c>
      <c r="AR4599" s="206">
        <f t="shared" si="1428"/>
        <v>0</v>
      </c>
      <c r="AS4599" s="22" t="str">
        <f t="shared" si="1429"/>
        <v/>
      </c>
      <c r="AT4599" s="24" t="str">
        <f t="shared" si="1430"/>
        <v/>
      </c>
      <c r="AU4599" s="22" t="s">
        <v>3240</v>
      </c>
    </row>
    <row r="4600" spans="1:47">
      <c r="A4600" s="246" t="str">
        <f t="shared" si="1418"/>
        <v/>
      </c>
      <c r="B4600" s="23"/>
      <c r="C4600" s="23"/>
      <c r="D4600" s="202" t="str">
        <f t="shared" si="1419"/>
        <v/>
      </c>
      <c r="E4600" s="33" t="str">
        <f t="shared" si="1413"/>
        <v/>
      </c>
      <c r="F4600" s="23"/>
      <c r="G4600" s="23"/>
      <c r="H4600" s="29"/>
      <c r="I4600" s="204" t="str">
        <f t="shared" si="1416"/>
        <v/>
      </c>
      <c r="J4600" s="188"/>
      <c r="K4600" s="29"/>
      <c r="L4600" s="24"/>
      <c r="M4600" s="22"/>
      <c r="N4600" s="22"/>
      <c r="O4600" s="22"/>
      <c r="P4600" s="202" t="str">
        <f t="shared" si="1417"/>
        <v/>
      </c>
      <c r="Q4600" s="22"/>
      <c r="R4600" s="22"/>
      <c r="S4600" s="22"/>
      <c r="T4600" s="22"/>
      <c r="U4600" s="22"/>
      <c r="V4600" s="22"/>
      <c r="W4600" s="22"/>
      <c r="X4600" s="104"/>
      <c r="Y4600" s="195" t="str">
        <f t="shared" si="1414"/>
        <v/>
      </c>
      <c r="Z4600" s="196" t="str">
        <f t="shared" si="1415"/>
        <v/>
      </c>
      <c r="AA4600" s="22"/>
      <c r="AB4600" s="197" t="str">
        <f t="shared" si="1420"/>
        <v/>
      </c>
      <c r="AC4600" s="198" t="str">
        <f t="shared" si="1421"/>
        <v/>
      </c>
      <c r="AD4600" s="162"/>
      <c r="AE4600" s="199" t="str">
        <f t="shared" si="1422"/>
        <v/>
      </c>
      <c r="AF4600" s="199" t="str">
        <f>IF(AND(COUNTIFS($J$18:J4600,J4600)=1,AE4600=1),1,"")</f>
        <v/>
      </c>
      <c r="AG4600" s="199" t="str">
        <f>IF(C4600="","",IF(AND(COUNTIFS($J$18:J4600,J4600)=1,C4600&lt;&gt;""),1,""))</f>
        <v/>
      </c>
      <c r="AH4600" s="199" t="str">
        <f>IF(G4600="","",IF(AND(COUNTIFS($J$18:J4600,J4600)=1,G4600&lt;&gt;""),1,""))</f>
        <v/>
      </c>
      <c r="AI4600" s="200">
        <f t="shared" si="1423"/>
        <v>0</v>
      </c>
      <c r="AJ4600" s="200">
        <f t="shared" si="1424"/>
        <v>0</v>
      </c>
      <c r="AK4600" s="201" t="str">
        <f t="shared" si="1425"/>
        <v/>
      </c>
      <c r="AL4600" s="24"/>
      <c r="AM4600" s="24"/>
      <c r="AN4600" s="24"/>
      <c r="AO4600" s="24"/>
      <c r="AP4600" s="165" t="str">
        <f t="shared" si="1426"/>
        <v/>
      </c>
      <c r="AQ4600" s="203" t="str">
        <f t="shared" si="1427"/>
        <v/>
      </c>
      <c r="AR4600" s="206">
        <f t="shared" si="1428"/>
        <v>0</v>
      </c>
      <c r="AS4600" s="22" t="str">
        <f t="shared" si="1429"/>
        <v/>
      </c>
      <c r="AT4600" s="24" t="str">
        <f t="shared" si="1430"/>
        <v/>
      </c>
      <c r="AU4600" s="22" t="s">
        <v>3240</v>
      </c>
    </row>
    <row r="4601" spans="1:47">
      <c r="A4601" s="246" t="str">
        <f t="shared" si="1418"/>
        <v/>
      </c>
      <c r="B4601" s="23"/>
      <c r="C4601" s="23"/>
      <c r="D4601" s="202" t="str">
        <f t="shared" si="1419"/>
        <v/>
      </c>
      <c r="E4601" s="33" t="str">
        <f t="shared" si="1413"/>
        <v/>
      </c>
      <c r="F4601" s="23"/>
      <c r="G4601" s="23"/>
      <c r="H4601" s="29"/>
      <c r="I4601" s="204" t="str">
        <f t="shared" si="1416"/>
        <v/>
      </c>
      <c r="J4601" s="188"/>
      <c r="K4601" s="29"/>
      <c r="L4601" s="24"/>
      <c r="M4601" s="22"/>
      <c r="N4601" s="22"/>
      <c r="O4601" s="22"/>
      <c r="P4601" s="202" t="str">
        <f t="shared" si="1417"/>
        <v/>
      </c>
      <c r="Q4601" s="22"/>
      <c r="R4601" s="22"/>
      <c r="S4601" s="22"/>
      <c r="T4601" s="22"/>
      <c r="U4601" s="22"/>
      <c r="V4601" s="22"/>
      <c r="W4601" s="22"/>
      <c r="X4601" s="104"/>
      <c r="Y4601" s="195" t="str">
        <f t="shared" si="1414"/>
        <v/>
      </c>
      <c r="Z4601" s="196" t="str">
        <f t="shared" si="1415"/>
        <v/>
      </c>
      <c r="AA4601" s="22"/>
      <c r="AB4601" s="197" t="str">
        <f t="shared" si="1420"/>
        <v/>
      </c>
      <c r="AC4601" s="198" t="str">
        <f t="shared" si="1421"/>
        <v/>
      </c>
      <c r="AD4601" s="162"/>
      <c r="AE4601" s="199" t="str">
        <f t="shared" si="1422"/>
        <v/>
      </c>
      <c r="AF4601" s="199" t="str">
        <f>IF(AND(COUNTIFS($J$18:J4601,J4601)=1,AE4601=1),1,"")</f>
        <v/>
      </c>
      <c r="AG4601" s="199" t="str">
        <f>IF(C4601="","",IF(AND(COUNTIFS($J$18:J4601,J4601)=1,C4601&lt;&gt;""),1,""))</f>
        <v/>
      </c>
      <c r="AH4601" s="199" t="str">
        <f>IF(G4601="","",IF(AND(COUNTIFS($J$18:J4601,J4601)=1,G4601&lt;&gt;""),1,""))</f>
        <v/>
      </c>
      <c r="AI4601" s="200">
        <f t="shared" si="1423"/>
        <v>0</v>
      </c>
      <c r="AJ4601" s="200">
        <f t="shared" si="1424"/>
        <v>0</v>
      </c>
      <c r="AK4601" s="201" t="str">
        <f t="shared" si="1425"/>
        <v/>
      </c>
      <c r="AL4601" s="24"/>
      <c r="AM4601" s="24"/>
      <c r="AN4601" s="24"/>
      <c r="AO4601" s="24"/>
      <c r="AP4601" s="165" t="str">
        <f t="shared" si="1426"/>
        <v/>
      </c>
      <c r="AQ4601" s="203" t="str">
        <f t="shared" si="1427"/>
        <v/>
      </c>
      <c r="AR4601" s="206">
        <f t="shared" si="1428"/>
        <v>0</v>
      </c>
      <c r="AS4601" s="22" t="str">
        <f t="shared" si="1429"/>
        <v/>
      </c>
      <c r="AT4601" s="24" t="str">
        <f t="shared" si="1430"/>
        <v/>
      </c>
      <c r="AU4601" s="22" t="s">
        <v>3240</v>
      </c>
    </row>
    <row r="4602" spans="1:47">
      <c r="A4602" s="246" t="str">
        <f t="shared" si="1418"/>
        <v/>
      </c>
      <c r="B4602" s="23"/>
      <c r="C4602" s="23"/>
      <c r="D4602" s="202" t="str">
        <f t="shared" si="1419"/>
        <v/>
      </c>
      <c r="E4602" s="33" t="str">
        <f t="shared" si="1413"/>
        <v/>
      </c>
      <c r="F4602" s="23"/>
      <c r="G4602" s="23"/>
      <c r="H4602" s="29"/>
      <c r="I4602" s="204" t="str">
        <f t="shared" si="1416"/>
        <v/>
      </c>
      <c r="J4602" s="188"/>
      <c r="K4602" s="29"/>
      <c r="L4602" s="24"/>
      <c r="M4602" s="22"/>
      <c r="N4602" s="22"/>
      <c r="O4602" s="22"/>
      <c r="P4602" s="202" t="str">
        <f t="shared" si="1417"/>
        <v/>
      </c>
      <c r="Q4602" s="22"/>
      <c r="R4602" s="22"/>
      <c r="S4602" s="22"/>
      <c r="T4602" s="22"/>
      <c r="U4602" s="22"/>
      <c r="V4602" s="22"/>
      <c r="W4602" s="22"/>
      <c r="X4602" s="104"/>
      <c r="Y4602" s="195" t="str">
        <f t="shared" si="1414"/>
        <v/>
      </c>
      <c r="Z4602" s="196" t="str">
        <f t="shared" si="1415"/>
        <v/>
      </c>
      <c r="AA4602" s="22"/>
      <c r="AB4602" s="197" t="str">
        <f t="shared" si="1420"/>
        <v/>
      </c>
      <c r="AC4602" s="198" t="str">
        <f t="shared" si="1421"/>
        <v/>
      </c>
      <c r="AD4602" s="162"/>
      <c r="AE4602" s="199" t="str">
        <f t="shared" si="1422"/>
        <v/>
      </c>
      <c r="AF4602" s="199" t="str">
        <f>IF(AND(COUNTIFS($J$18:J4602,J4602)=1,AE4602=1),1,"")</f>
        <v/>
      </c>
      <c r="AG4602" s="199" t="str">
        <f>IF(C4602="","",IF(AND(COUNTIFS($J$18:J4602,J4602)=1,C4602&lt;&gt;""),1,""))</f>
        <v/>
      </c>
      <c r="AH4602" s="199" t="str">
        <f>IF(G4602="","",IF(AND(COUNTIFS($J$18:J4602,J4602)=1,G4602&lt;&gt;""),1,""))</f>
        <v/>
      </c>
      <c r="AI4602" s="200">
        <f t="shared" si="1423"/>
        <v>0</v>
      </c>
      <c r="AJ4602" s="200">
        <f t="shared" si="1424"/>
        <v>0</v>
      </c>
      <c r="AK4602" s="201" t="str">
        <f t="shared" si="1425"/>
        <v/>
      </c>
      <c r="AL4602" s="24"/>
      <c r="AM4602" s="24"/>
      <c r="AN4602" s="24"/>
      <c r="AO4602" s="24"/>
      <c r="AP4602" s="165" t="str">
        <f t="shared" si="1426"/>
        <v/>
      </c>
      <c r="AQ4602" s="203" t="str">
        <f t="shared" si="1427"/>
        <v/>
      </c>
      <c r="AR4602" s="206">
        <f t="shared" si="1428"/>
        <v>0</v>
      </c>
      <c r="AS4602" s="22" t="str">
        <f t="shared" si="1429"/>
        <v/>
      </c>
      <c r="AT4602" s="24" t="str">
        <f t="shared" si="1430"/>
        <v/>
      </c>
      <c r="AU4602" s="22" t="s">
        <v>3240</v>
      </c>
    </row>
    <row r="4603" spans="1:47">
      <c r="A4603" s="246" t="str">
        <f t="shared" si="1418"/>
        <v/>
      </c>
      <c r="B4603" s="23"/>
      <c r="C4603" s="23"/>
      <c r="D4603" s="202" t="str">
        <f t="shared" si="1419"/>
        <v/>
      </c>
      <c r="E4603" s="33" t="str">
        <f t="shared" si="1413"/>
        <v/>
      </c>
      <c r="F4603" s="23"/>
      <c r="G4603" s="23"/>
      <c r="H4603" s="29"/>
      <c r="I4603" s="204" t="str">
        <f t="shared" si="1416"/>
        <v/>
      </c>
      <c r="J4603" s="188"/>
      <c r="K4603" s="29"/>
      <c r="L4603" s="24"/>
      <c r="M4603" s="22"/>
      <c r="N4603" s="22"/>
      <c r="O4603" s="22"/>
      <c r="P4603" s="202" t="str">
        <f t="shared" si="1417"/>
        <v/>
      </c>
      <c r="Q4603" s="22"/>
      <c r="R4603" s="22"/>
      <c r="S4603" s="22"/>
      <c r="T4603" s="22"/>
      <c r="U4603" s="22"/>
      <c r="V4603" s="22"/>
      <c r="W4603" s="22"/>
      <c r="X4603" s="104"/>
      <c r="Y4603" s="195" t="str">
        <f t="shared" si="1414"/>
        <v/>
      </c>
      <c r="Z4603" s="196" t="str">
        <f t="shared" si="1415"/>
        <v/>
      </c>
      <c r="AA4603" s="22"/>
      <c r="AB4603" s="197" t="str">
        <f t="shared" si="1420"/>
        <v/>
      </c>
      <c r="AC4603" s="198" t="str">
        <f t="shared" si="1421"/>
        <v/>
      </c>
      <c r="AD4603" s="162"/>
      <c r="AE4603" s="199" t="str">
        <f t="shared" si="1422"/>
        <v/>
      </c>
      <c r="AF4603" s="199" t="str">
        <f>IF(AND(COUNTIFS($J$18:J4603,J4603)=1,AE4603=1),1,"")</f>
        <v/>
      </c>
      <c r="AG4603" s="199" t="str">
        <f>IF(C4603="","",IF(AND(COUNTIFS($J$18:J4603,J4603)=1,C4603&lt;&gt;""),1,""))</f>
        <v/>
      </c>
      <c r="AH4603" s="199" t="str">
        <f>IF(G4603="","",IF(AND(COUNTIFS($J$18:J4603,J4603)=1,G4603&lt;&gt;""),1,""))</f>
        <v/>
      </c>
      <c r="AI4603" s="200">
        <f t="shared" si="1423"/>
        <v>0</v>
      </c>
      <c r="AJ4603" s="200">
        <f t="shared" si="1424"/>
        <v>0</v>
      </c>
      <c r="AK4603" s="201" t="str">
        <f t="shared" si="1425"/>
        <v/>
      </c>
      <c r="AL4603" s="24"/>
      <c r="AM4603" s="24"/>
      <c r="AN4603" s="24"/>
      <c r="AO4603" s="24"/>
      <c r="AP4603" s="165" t="str">
        <f t="shared" si="1426"/>
        <v/>
      </c>
      <c r="AQ4603" s="203" t="str">
        <f t="shared" si="1427"/>
        <v/>
      </c>
      <c r="AR4603" s="206">
        <f t="shared" si="1428"/>
        <v>0</v>
      </c>
      <c r="AS4603" s="22" t="str">
        <f t="shared" si="1429"/>
        <v/>
      </c>
      <c r="AT4603" s="24" t="str">
        <f t="shared" si="1430"/>
        <v/>
      </c>
      <c r="AU4603" s="22" t="s">
        <v>3240</v>
      </c>
    </row>
    <row r="4604" spans="1:47">
      <c r="A4604" s="246" t="str">
        <f t="shared" si="1418"/>
        <v/>
      </c>
      <c r="B4604" s="23"/>
      <c r="C4604" s="23"/>
      <c r="D4604" s="202" t="str">
        <f t="shared" si="1419"/>
        <v/>
      </c>
      <c r="E4604" s="33" t="str">
        <f t="shared" si="1413"/>
        <v/>
      </c>
      <c r="F4604" s="23"/>
      <c r="G4604" s="23"/>
      <c r="H4604" s="29"/>
      <c r="I4604" s="204" t="str">
        <f t="shared" si="1416"/>
        <v/>
      </c>
      <c r="J4604" s="188"/>
      <c r="K4604" s="29"/>
      <c r="L4604" s="24"/>
      <c r="M4604" s="22"/>
      <c r="N4604" s="22"/>
      <c r="O4604" s="22"/>
      <c r="P4604" s="202" t="str">
        <f t="shared" si="1417"/>
        <v/>
      </c>
      <c r="Q4604" s="22"/>
      <c r="R4604" s="22"/>
      <c r="S4604" s="22"/>
      <c r="T4604" s="22"/>
      <c r="U4604" s="22"/>
      <c r="V4604" s="22"/>
      <c r="W4604" s="22"/>
      <c r="X4604" s="104"/>
      <c r="Y4604" s="195" t="str">
        <f t="shared" si="1414"/>
        <v/>
      </c>
      <c r="Z4604" s="196" t="str">
        <f t="shared" si="1415"/>
        <v/>
      </c>
      <c r="AA4604" s="22"/>
      <c r="AB4604" s="197" t="str">
        <f t="shared" si="1420"/>
        <v/>
      </c>
      <c r="AC4604" s="198" t="str">
        <f t="shared" si="1421"/>
        <v/>
      </c>
      <c r="AD4604" s="162"/>
      <c r="AE4604" s="199" t="str">
        <f t="shared" si="1422"/>
        <v/>
      </c>
      <c r="AF4604" s="199" t="str">
        <f>IF(AND(COUNTIFS($J$18:J4604,J4604)=1,AE4604=1),1,"")</f>
        <v/>
      </c>
      <c r="AG4604" s="199" t="str">
        <f>IF(C4604="","",IF(AND(COUNTIFS($J$18:J4604,J4604)=1,C4604&lt;&gt;""),1,""))</f>
        <v/>
      </c>
      <c r="AH4604" s="199" t="str">
        <f>IF(G4604="","",IF(AND(COUNTIFS($J$18:J4604,J4604)=1,G4604&lt;&gt;""),1,""))</f>
        <v/>
      </c>
      <c r="AI4604" s="200">
        <f t="shared" si="1423"/>
        <v>0</v>
      </c>
      <c r="AJ4604" s="200">
        <f t="shared" si="1424"/>
        <v>0</v>
      </c>
      <c r="AK4604" s="201" t="str">
        <f t="shared" si="1425"/>
        <v/>
      </c>
      <c r="AL4604" s="24"/>
      <c r="AM4604" s="24"/>
      <c r="AN4604" s="24"/>
      <c r="AO4604" s="24"/>
      <c r="AP4604" s="165" t="str">
        <f t="shared" si="1426"/>
        <v/>
      </c>
      <c r="AQ4604" s="203" t="str">
        <f t="shared" si="1427"/>
        <v/>
      </c>
      <c r="AR4604" s="206">
        <f t="shared" si="1428"/>
        <v>0</v>
      </c>
      <c r="AS4604" s="22" t="str">
        <f t="shared" si="1429"/>
        <v/>
      </c>
      <c r="AT4604" s="24" t="str">
        <f t="shared" si="1430"/>
        <v/>
      </c>
      <c r="AU4604" s="22" t="s">
        <v>3240</v>
      </c>
    </row>
    <row r="4605" spans="1:47">
      <c r="A4605" s="246" t="str">
        <f t="shared" si="1418"/>
        <v/>
      </c>
      <c r="B4605" s="23"/>
      <c r="C4605" s="23"/>
      <c r="D4605" s="202" t="str">
        <f t="shared" si="1419"/>
        <v/>
      </c>
      <c r="E4605" s="33" t="str">
        <f t="shared" si="1413"/>
        <v/>
      </c>
      <c r="F4605" s="23"/>
      <c r="G4605" s="23"/>
      <c r="H4605" s="29"/>
      <c r="I4605" s="204" t="str">
        <f t="shared" si="1416"/>
        <v/>
      </c>
      <c r="J4605" s="188"/>
      <c r="K4605" s="29"/>
      <c r="L4605" s="24"/>
      <c r="M4605" s="22"/>
      <c r="N4605" s="22"/>
      <c r="O4605" s="22"/>
      <c r="P4605" s="202" t="str">
        <f t="shared" si="1417"/>
        <v/>
      </c>
      <c r="Q4605" s="22"/>
      <c r="R4605" s="22"/>
      <c r="S4605" s="22"/>
      <c r="T4605" s="22"/>
      <c r="U4605" s="22"/>
      <c r="V4605" s="22"/>
      <c r="W4605" s="22"/>
      <c r="X4605" s="104"/>
      <c r="Y4605" s="195" t="str">
        <f t="shared" si="1414"/>
        <v/>
      </c>
      <c r="Z4605" s="196" t="str">
        <f t="shared" si="1415"/>
        <v/>
      </c>
      <c r="AA4605" s="22"/>
      <c r="AB4605" s="197" t="str">
        <f t="shared" si="1420"/>
        <v/>
      </c>
      <c r="AC4605" s="198" t="str">
        <f t="shared" si="1421"/>
        <v/>
      </c>
      <c r="AD4605" s="162"/>
      <c r="AE4605" s="199" t="str">
        <f t="shared" si="1422"/>
        <v/>
      </c>
      <c r="AF4605" s="199" t="str">
        <f>IF(AND(COUNTIFS($J$18:J4605,J4605)=1,AE4605=1),1,"")</f>
        <v/>
      </c>
      <c r="AG4605" s="199" t="str">
        <f>IF(C4605="","",IF(AND(COUNTIFS($J$18:J4605,J4605)=1,C4605&lt;&gt;""),1,""))</f>
        <v/>
      </c>
      <c r="AH4605" s="199" t="str">
        <f>IF(G4605="","",IF(AND(COUNTIFS($J$18:J4605,J4605)=1,G4605&lt;&gt;""),1,""))</f>
        <v/>
      </c>
      <c r="AI4605" s="200">
        <f t="shared" si="1423"/>
        <v>0</v>
      </c>
      <c r="AJ4605" s="200">
        <f t="shared" si="1424"/>
        <v>0</v>
      </c>
      <c r="AK4605" s="201" t="str">
        <f t="shared" si="1425"/>
        <v/>
      </c>
      <c r="AL4605" s="24"/>
      <c r="AM4605" s="24"/>
      <c r="AN4605" s="24"/>
      <c r="AO4605" s="24"/>
      <c r="AP4605" s="165" t="str">
        <f t="shared" si="1426"/>
        <v/>
      </c>
      <c r="AQ4605" s="203" t="str">
        <f t="shared" si="1427"/>
        <v/>
      </c>
      <c r="AR4605" s="206">
        <f t="shared" si="1428"/>
        <v>0</v>
      </c>
      <c r="AS4605" s="22" t="str">
        <f t="shared" si="1429"/>
        <v/>
      </c>
      <c r="AT4605" s="24" t="str">
        <f t="shared" si="1430"/>
        <v/>
      </c>
      <c r="AU4605" s="22" t="s">
        <v>3240</v>
      </c>
    </row>
    <row r="4606" spans="1:47">
      <c r="A4606" s="246" t="str">
        <f t="shared" si="1418"/>
        <v/>
      </c>
      <c r="B4606" s="23"/>
      <c r="C4606" s="23"/>
      <c r="D4606" s="202" t="str">
        <f t="shared" si="1419"/>
        <v/>
      </c>
      <c r="E4606" s="33" t="str">
        <f t="shared" si="1413"/>
        <v/>
      </c>
      <c r="F4606" s="23"/>
      <c r="G4606" s="23"/>
      <c r="H4606" s="29"/>
      <c r="I4606" s="204" t="str">
        <f t="shared" si="1416"/>
        <v/>
      </c>
      <c r="J4606" s="188"/>
      <c r="K4606" s="29"/>
      <c r="L4606" s="24"/>
      <c r="M4606" s="22"/>
      <c r="N4606" s="22"/>
      <c r="O4606" s="22"/>
      <c r="P4606" s="202" t="str">
        <f t="shared" si="1417"/>
        <v/>
      </c>
      <c r="Q4606" s="22"/>
      <c r="R4606" s="22"/>
      <c r="S4606" s="22"/>
      <c r="T4606" s="22"/>
      <c r="U4606" s="22"/>
      <c r="V4606" s="22"/>
      <c r="W4606" s="22"/>
      <c r="X4606" s="104"/>
      <c r="Y4606" s="195" t="str">
        <f t="shared" si="1414"/>
        <v/>
      </c>
      <c r="Z4606" s="196" t="str">
        <f t="shared" si="1415"/>
        <v/>
      </c>
      <c r="AA4606" s="22"/>
      <c r="AB4606" s="197" t="str">
        <f t="shared" si="1420"/>
        <v/>
      </c>
      <c r="AC4606" s="198" t="str">
        <f t="shared" si="1421"/>
        <v/>
      </c>
      <c r="AD4606" s="162"/>
      <c r="AE4606" s="199" t="str">
        <f t="shared" si="1422"/>
        <v/>
      </c>
      <c r="AF4606" s="199" t="str">
        <f>IF(AND(COUNTIFS($J$18:J4606,J4606)=1,AE4606=1),1,"")</f>
        <v/>
      </c>
      <c r="AG4606" s="199" t="str">
        <f>IF(C4606="","",IF(AND(COUNTIFS($J$18:J4606,J4606)=1,C4606&lt;&gt;""),1,""))</f>
        <v/>
      </c>
      <c r="AH4606" s="199" t="str">
        <f>IF(G4606="","",IF(AND(COUNTIFS($J$18:J4606,J4606)=1,G4606&lt;&gt;""),1,""))</f>
        <v/>
      </c>
      <c r="AI4606" s="200">
        <f t="shared" si="1423"/>
        <v>0</v>
      </c>
      <c r="AJ4606" s="200">
        <f t="shared" si="1424"/>
        <v>0</v>
      </c>
      <c r="AK4606" s="201" t="str">
        <f t="shared" si="1425"/>
        <v/>
      </c>
      <c r="AL4606" s="24"/>
      <c r="AM4606" s="24"/>
      <c r="AN4606" s="24"/>
      <c r="AO4606" s="24"/>
      <c r="AP4606" s="165" t="str">
        <f t="shared" si="1426"/>
        <v/>
      </c>
      <c r="AQ4606" s="203" t="str">
        <f t="shared" si="1427"/>
        <v/>
      </c>
      <c r="AR4606" s="206">
        <f t="shared" si="1428"/>
        <v>0</v>
      </c>
      <c r="AS4606" s="22" t="str">
        <f t="shared" si="1429"/>
        <v/>
      </c>
      <c r="AT4606" s="24" t="str">
        <f t="shared" si="1430"/>
        <v/>
      </c>
      <c r="AU4606" s="22" t="s">
        <v>3240</v>
      </c>
    </row>
    <row r="4607" spans="1:47">
      <c r="A4607" s="246" t="str">
        <f t="shared" si="1418"/>
        <v/>
      </c>
      <c r="B4607" s="23"/>
      <c r="C4607" s="23"/>
      <c r="D4607" s="202" t="str">
        <f t="shared" si="1419"/>
        <v/>
      </c>
      <c r="E4607" s="33" t="str">
        <f t="shared" si="1413"/>
        <v/>
      </c>
      <c r="F4607" s="23"/>
      <c r="G4607" s="23"/>
      <c r="H4607" s="29"/>
      <c r="I4607" s="204" t="str">
        <f t="shared" si="1416"/>
        <v/>
      </c>
      <c r="J4607" s="188"/>
      <c r="K4607" s="29"/>
      <c r="L4607" s="24"/>
      <c r="M4607" s="22"/>
      <c r="N4607" s="22"/>
      <c r="O4607" s="22"/>
      <c r="P4607" s="202" t="str">
        <f t="shared" si="1417"/>
        <v/>
      </c>
      <c r="Q4607" s="22"/>
      <c r="R4607" s="22"/>
      <c r="S4607" s="22"/>
      <c r="T4607" s="22"/>
      <c r="U4607" s="22"/>
      <c r="V4607" s="22"/>
      <c r="W4607" s="22"/>
      <c r="X4607" s="104"/>
      <c r="Y4607" s="195" t="str">
        <f t="shared" si="1414"/>
        <v/>
      </c>
      <c r="Z4607" s="196" t="str">
        <f t="shared" si="1415"/>
        <v/>
      </c>
      <c r="AA4607" s="22"/>
      <c r="AB4607" s="197" t="str">
        <f t="shared" si="1420"/>
        <v/>
      </c>
      <c r="AC4607" s="198" t="str">
        <f t="shared" si="1421"/>
        <v/>
      </c>
      <c r="AD4607" s="162"/>
      <c r="AE4607" s="199" t="str">
        <f t="shared" si="1422"/>
        <v/>
      </c>
      <c r="AF4607" s="199" t="str">
        <f>IF(AND(COUNTIFS($J$18:J4607,J4607)=1,AE4607=1),1,"")</f>
        <v/>
      </c>
      <c r="AG4607" s="199" t="str">
        <f>IF(C4607="","",IF(AND(COUNTIFS($J$18:J4607,J4607)=1,C4607&lt;&gt;""),1,""))</f>
        <v/>
      </c>
      <c r="AH4607" s="199" t="str">
        <f>IF(G4607="","",IF(AND(COUNTIFS($J$18:J4607,J4607)=1,G4607&lt;&gt;""),1,""))</f>
        <v/>
      </c>
      <c r="AI4607" s="200">
        <f t="shared" si="1423"/>
        <v>0</v>
      </c>
      <c r="AJ4607" s="200">
        <f t="shared" si="1424"/>
        <v>0</v>
      </c>
      <c r="AK4607" s="201" t="str">
        <f t="shared" si="1425"/>
        <v/>
      </c>
      <c r="AL4607" s="24"/>
      <c r="AM4607" s="24"/>
      <c r="AN4607" s="24"/>
      <c r="AO4607" s="24"/>
      <c r="AP4607" s="165" t="str">
        <f t="shared" si="1426"/>
        <v/>
      </c>
      <c r="AQ4607" s="203" t="str">
        <f t="shared" si="1427"/>
        <v/>
      </c>
      <c r="AR4607" s="206">
        <f t="shared" si="1428"/>
        <v>0</v>
      </c>
      <c r="AS4607" s="22" t="str">
        <f t="shared" si="1429"/>
        <v/>
      </c>
      <c r="AT4607" s="24" t="str">
        <f t="shared" si="1430"/>
        <v/>
      </c>
      <c r="AU4607" s="22" t="s">
        <v>3240</v>
      </c>
    </row>
    <row r="4608" spans="1:47">
      <c r="A4608" s="246" t="str">
        <f t="shared" si="1418"/>
        <v/>
      </c>
      <c r="B4608" s="23"/>
      <c r="C4608" s="23"/>
      <c r="D4608" s="202" t="str">
        <f t="shared" si="1419"/>
        <v/>
      </c>
      <c r="E4608" s="33" t="str">
        <f t="shared" si="1413"/>
        <v/>
      </c>
      <c r="F4608" s="23"/>
      <c r="G4608" s="23"/>
      <c r="H4608" s="29"/>
      <c r="I4608" s="204" t="str">
        <f t="shared" si="1416"/>
        <v/>
      </c>
      <c r="J4608" s="188"/>
      <c r="K4608" s="29"/>
      <c r="L4608" s="24"/>
      <c r="M4608" s="22"/>
      <c r="N4608" s="22"/>
      <c r="O4608" s="22"/>
      <c r="P4608" s="202" t="str">
        <f t="shared" si="1417"/>
        <v/>
      </c>
      <c r="Q4608" s="22"/>
      <c r="R4608" s="22"/>
      <c r="S4608" s="22"/>
      <c r="T4608" s="22"/>
      <c r="U4608" s="22"/>
      <c r="V4608" s="22"/>
      <c r="W4608" s="22"/>
      <c r="X4608" s="104"/>
      <c r="Y4608" s="195" t="str">
        <f t="shared" si="1414"/>
        <v/>
      </c>
      <c r="Z4608" s="196" t="str">
        <f t="shared" si="1415"/>
        <v/>
      </c>
      <c r="AA4608" s="22"/>
      <c r="AB4608" s="197" t="str">
        <f t="shared" si="1420"/>
        <v/>
      </c>
      <c r="AC4608" s="198" t="str">
        <f t="shared" si="1421"/>
        <v/>
      </c>
      <c r="AD4608" s="162"/>
      <c r="AE4608" s="199" t="str">
        <f t="shared" si="1422"/>
        <v/>
      </c>
      <c r="AF4608" s="199" t="str">
        <f>IF(AND(COUNTIFS($J$18:J4608,J4608)=1,AE4608=1),1,"")</f>
        <v/>
      </c>
      <c r="AG4608" s="199" t="str">
        <f>IF(C4608="","",IF(AND(COUNTIFS($J$18:J4608,J4608)=1,C4608&lt;&gt;""),1,""))</f>
        <v/>
      </c>
      <c r="AH4608" s="199" t="str">
        <f>IF(G4608="","",IF(AND(COUNTIFS($J$18:J4608,J4608)=1,G4608&lt;&gt;""),1,""))</f>
        <v/>
      </c>
      <c r="AI4608" s="200">
        <f t="shared" si="1423"/>
        <v>0</v>
      </c>
      <c r="AJ4608" s="200">
        <f t="shared" si="1424"/>
        <v>0</v>
      </c>
      <c r="AK4608" s="201" t="str">
        <f t="shared" si="1425"/>
        <v/>
      </c>
      <c r="AL4608" s="24"/>
      <c r="AM4608" s="24"/>
      <c r="AN4608" s="24"/>
      <c r="AO4608" s="24"/>
      <c r="AP4608" s="165" t="str">
        <f t="shared" si="1426"/>
        <v/>
      </c>
      <c r="AQ4608" s="203" t="str">
        <f t="shared" si="1427"/>
        <v/>
      </c>
      <c r="AR4608" s="206">
        <f t="shared" si="1428"/>
        <v>0</v>
      </c>
      <c r="AS4608" s="22" t="str">
        <f t="shared" si="1429"/>
        <v/>
      </c>
      <c r="AT4608" s="24" t="str">
        <f t="shared" si="1430"/>
        <v/>
      </c>
      <c r="AU4608" s="22" t="s">
        <v>3240</v>
      </c>
    </row>
    <row r="4609" spans="1:47">
      <c r="A4609" s="246" t="str">
        <f t="shared" si="1418"/>
        <v/>
      </c>
      <c r="B4609" s="23"/>
      <c r="C4609" s="23"/>
      <c r="D4609" s="202" t="str">
        <f t="shared" si="1419"/>
        <v/>
      </c>
      <c r="E4609" s="33" t="str">
        <f t="shared" si="1413"/>
        <v/>
      </c>
      <c r="F4609" s="23"/>
      <c r="G4609" s="23"/>
      <c r="H4609" s="29"/>
      <c r="I4609" s="204" t="str">
        <f t="shared" si="1416"/>
        <v/>
      </c>
      <c r="J4609" s="188"/>
      <c r="K4609" s="29"/>
      <c r="L4609" s="24"/>
      <c r="M4609" s="22"/>
      <c r="N4609" s="22"/>
      <c r="O4609" s="22"/>
      <c r="P4609" s="202" t="str">
        <f t="shared" si="1417"/>
        <v/>
      </c>
      <c r="Q4609" s="22"/>
      <c r="R4609" s="22"/>
      <c r="S4609" s="22"/>
      <c r="T4609" s="22"/>
      <c r="U4609" s="22"/>
      <c r="V4609" s="22"/>
      <c r="W4609" s="22"/>
      <c r="X4609" s="104"/>
      <c r="Y4609" s="195" t="str">
        <f t="shared" si="1414"/>
        <v/>
      </c>
      <c r="Z4609" s="196" t="str">
        <f t="shared" si="1415"/>
        <v/>
      </c>
      <c r="AA4609" s="22"/>
      <c r="AB4609" s="197" t="str">
        <f t="shared" si="1420"/>
        <v/>
      </c>
      <c r="AC4609" s="198" t="str">
        <f t="shared" si="1421"/>
        <v/>
      </c>
      <c r="AD4609" s="162"/>
      <c r="AE4609" s="199" t="str">
        <f t="shared" si="1422"/>
        <v/>
      </c>
      <c r="AF4609" s="199" t="str">
        <f>IF(AND(COUNTIFS($J$18:J4609,J4609)=1,AE4609=1),1,"")</f>
        <v/>
      </c>
      <c r="AG4609" s="199" t="str">
        <f>IF(C4609="","",IF(AND(COUNTIFS($J$18:J4609,J4609)=1,C4609&lt;&gt;""),1,""))</f>
        <v/>
      </c>
      <c r="AH4609" s="199" t="str">
        <f>IF(G4609="","",IF(AND(COUNTIFS($J$18:J4609,J4609)=1,G4609&lt;&gt;""),1,""))</f>
        <v/>
      </c>
      <c r="AI4609" s="200">
        <f t="shared" si="1423"/>
        <v>0</v>
      </c>
      <c r="AJ4609" s="200">
        <f t="shared" si="1424"/>
        <v>0</v>
      </c>
      <c r="AK4609" s="201" t="str">
        <f t="shared" si="1425"/>
        <v/>
      </c>
      <c r="AL4609" s="24"/>
      <c r="AM4609" s="24"/>
      <c r="AN4609" s="24"/>
      <c r="AO4609" s="24"/>
      <c r="AP4609" s="165" t="str">
        <f t="shared" si="1426"/>
        <v/>
      </c>
      <c r="AQ4609" s="203" t="str">
        <f t="shared" si="1427"/>
        <v/>
      </c>
      <c r="AR4609" s="206">
        <f t="shared" si="1428"/>
        <v>0</v>
      </c>
      <c r="AS4609" s="22" t="str">
        <f t="shared" si="1429"/>
        <v/>
      </c>
      <c r="AT4609" s="24" t="str">
        <f t="shared" si="1430"/>
        <v/>
      </c>
      <c r="AU4609" s="22" t="s">
        <v>3240</v>
      </c>
    </row>
    <row r="4610" spans="1:47">
      <c r="A4610" s="246" t="str">
        <f t="shared" si="1418"/>
        <v/>
      </c>
      <c r="B4610" s="23"/>
      <c r="C4610" s="23"/>
      <c r="D4610" s="202" t="str">
        <f t="shared" si="1419"/>
        <v/>
      </c>
      <c r="E4610" s="33" t="str">
        <f t="shared" si="1413"/>
        <v/>
      </c>
      <c r="F4610" s="23"/>
      <c r="G4610" s="23"/>
      <c r="H4610" s="29"/>
      <c r="I4610" s="204" t="str">
        <f t="shared" si="1416"/>
        <v/>
      </c>
      <c r="J4610" s="188"/>
      <c r="K4610" s="29"/>
      <c r="L4610" s="24"/>
      <c r="M4610" s="22"/>
      <c r="N4610" s="22"/>
      <c r="O4610" s="22"/>
      <c r="P4610" s="202" t="str">
        <f t="shared" si="1417"/>
        <v/>
      </c>
      <c r="Q4610" s="22"/>
      <c r="R4610" s="22"/>
      <c r="S4610" s="22"/>
      <c r="T4610" s="22"/>
      <c r="U4610" s="22"/>
      <c r="V4610" s="22"/>
      <c r="W4610" s="22"/>
      <c r="X4610" s="104"/>
      <c r="Y4610" s="195" t="str">
        <f t="shared" si="1414"/>
        <v/>
      </c>
      <c r="Z4610" s="196" t="str">
        <f t="shared" si="1415"/>
        <v/>
      </c>
      <c r="AA4610" s="22"/>
      <c r="AB4610" s="197" t="str">
        <f t="shared" si="1420"/>
        <v/>
      </c>
      <c r="AC4610" s="198" t="str">
        <f t="shared" si="1421"/>
        <v/>
      </c>
      <c r="AD4610" s="162"/>
      <c r="AE4610" s="199" t="str">
        <f t="shared" si="1422"/>
        <v/>
      </c>
      <c r="AF4610" s="199" t="str">
        <f>IF(AND(COUNTIFS($J$18:J4610,J4610)=1,AE4610=1),1,"")</f>
        <v/>
      </c>
      <c r="AG4610" s="199" t="str">
        <f>IF(C4610="","",IF(AND(COUNTIFS($J$18:J4610,J4610)=1,C4610&lt;&gt;""),1,""))</f>
        <v/>
      </c>
      <c r="AH4610" s="199" t="str">
        <f>IF(G4610="","",IF(AND(COUNTIFS($J$18:J4610,J4610)=1,G4610&lt;&gt;""),1,""))</f>
        <v/>
      </c>
      <c r="AI4610" s="200">
        <f t="shared" si="1423"/>
        <v>0</v>
      </c>
      <c r="AJ4610" s="200">
        <f t="shared" si="1424"/>
        <v>0</v>
      </c>
      <c r="AK4610" s="201" t="str">
        <f t="shared" si="1425"/>
        <v/>
      </c>
      <c r="AL4610" s="24"/>
      <c r="AM4610" s="24"/>
      <c r="AN4610" s="24"/>
      <c r="AO4610" s="24"/>
      <c r="AP4610" s="165" t="str">
        <f t="shared" si="1426"/>
        <v/>
      </c>
      <c r="AQ4610" s="203" t="str">
        <f t="shared" si="1427"/>
        <v/>
      </c>
      <c r="AR4610" s="206">
        <f t="shared" si="1428"/>
        <v>0</v>
      </c>
      <c r="AS4610" s="22" t="str">
        <f t="shared" si="1429"/>
        <v/>
      </c>
      <c r="AT4610" s="24" t="str">
        <f t="shared" si="1430"/>
        <v/>
      </c>
      <c r="AU4610" s="22" t="s">
        <v>3240</v>
      </c>
    </row>
    <row r="4611" spans="1:47">
      <c r="A4611" s="246" t="str">
        <f t="shared" si="1418"/>
        <v/>
      </c>
      <c r="B4611" s="23"/>
      <c r="C4611" s="23"/>
      <c r="D4611" s="202" t="str">
        <f t="shared" si="1419"/>
        <v/>
      </c>
      <c r="E4611" s="33" t="str">
        <f t="shared" si="1413"/>
        <v/>
      </c>
      <c r="F4611" s="23"/>
      <c r="G4611" s="23"/>
      <c r="H4611" s="29"/>
      <c r="I4611" s="204" t="str">
        <f t="shared" si="1416"/>
        <v/>
      </c>
      <c r="J4611" s="188"/>
      <c r="K4611" s="29"/>
      <c r="L4611" s="24"/>
      <c r="M4611" s="22"/>
      <c r="N4611" s="22"/>
      <c r="O4611" s="22"/>
      <c r="P4611" s="202" t="str">
        <f t="shared" si="1417"/>
        <v/>
      </c>
      <c r="Q4611" s="22"/>
      <c r="R4611" s="22"/>
      <c r="S4611" s="22"/>
      <c r="T4611" s="22"/>
      <c r="U4611" s="22"/>
      <c r="V4611" s="22"/>
      <c r="W4611" s="22"/>
      <c r="X4611" s="104"/>
      <c r="Y4611" s="195" t="str">
        <f t="shared" si="1414"/>
        <v/>
      </c>
      <c r="Z4611" s="196" t="str">
        <f t="shared" si="1415"/>
        <v/>
      </c>
      <c r="AA4611" s="22"/>
      <c r="AB4611" s="197" t="str">
        <f t="shared" si="1420"/>
        <v/>
      </c>
      <c r="AC4611" s="198" t="str">
        <f t="shared" si="1421"/>
        <v/>
      </c>
      <c r="AD4611" s="162"/>
      <c r="AE4611" s="199" t="str">
        <f t="shared" si="1422"/>
        <v/>
      </c>
      <c r="AF4611" s="199" t="str">
        <f>IF(AND(COUNTIFS($J$18:J4611,J4611)=1,AE4611=1),1,"")</f>
        <v/>
      </c>
      <c r="AG4611" s="199" t="str">
        <f>IF(C4611="","",IF(AND(COUNTIFS($J$18:J4611,J4611)=1,C4611&lt;&gt;""),1,""))</f>
        <v/>
      </c>
      <c r="AH4611" s="199" t="str">
        <f>IF(G4611="","",IF(AND(COUNTIFS($J$18:J4611,J4611)=1,G4611&lt;&gt;""),1,""))</f>
        <v/>
      </c>
      <c r="AI4611" s="200">
        <f t="shared" si="1423"/>
        <v>0</v>
      </c>
      <c r="AJ4611" s="200">
        <f t="shared" si="1424"/>
        <v>0</v>
      </c>
      <c r="AK4611" s="201" t="str">
        <f t="shared" si="1425"/>
        <v/>
      </c>
      <c r="AL4611" s="24"/>
      <c r="AM4611" s="24"/>
      <c r="AN4611" s="24"/>
      <c r="AO4611" s="24"/>
      <c r="AP4611" s="165" t="str">
        <f t="shared" si="1426"/>
        <v/>
      </c>
      <c r="AQ4611" s="203" t="str">
        <f t="shared" si="1427"/>
        <v/>
      </c>
      <c r="AR4611" s="206">
        <f t="shared" si="1428"/>
        <v>0</v>
      </c>
      <c r="AS4611" s="22" t="str">
        <f t="shared" si="1429"/>
        <v/>
      </c>
      <c r="AT4611" s="24" t="str">
        <f t="shared" si="1430"/>
        <v/>
      </c>
      <c r="AU4611" s="22" t="s">
        <v>3240</v>
      </c>
    </row>
    <row r="4612" spans="1:47">
      <c r="A4612" s="246" t="str">
        <f t="shared" si="1418"/>
        <v/>
      </c>
      <c r="B4612" s="23"/>
      <c r="C4612" s="23"/>
      <c r="D4612" s="202" t="str">
        <f t="shared" si="1419"/>
        <v/>
      </c>
      <c r="E4612" s="33" t="str">
        <f t="shared" si="1413"/>
        <v/>
      </c>
      <c r="F4612" s="23"/>
      <c r="G4612" s="23"/>
      <c r="H4612" s="29"/>
      <c r="I4612" s="204" t="str">
        <f t="shared" si="1416"/>
        <v/>
      </c>
      <c r="J4612" s="188"/>
      <c r="K4612" s="29"/>
      <c r="L4612" s="24"/>
      <c r="M4612" s="22"/>
      <c r="N4612" s="22"/>
      <c r="O4612" s="22"/>
      <c r="P4612" s="202" t="str">
        <f t="shared" si="1417"/>
        <v/>
      </c>
      <c r="Q4612" s="22"/>
      <c r="R4612" s="22"/>
      <c r="S4612" s="22"/>
      <c r="T4612" s="22"/>
      <c r="U4612" s="22"/>
      <c r="V4612" s="22"/>
      <c r="W4612" s="22"/>
      <c r="X4612" s="104"/>
      <c r="Y4612" s="195" t="str">
        <f t="shared" si="1414"/>
        <v/>
      </c>
      <c r="Z4612" s="196" t="str">
        <f t="shared" si="1415"/>
        <v/>
      </c>
      <c r="AA4612" s="22"/>
      <c r="AB4612" s="197" t="str">
        <f t="shared" si="1420"/>
        <v/>
      </c>
      <c r="AC4612" s="198" t="str">
        <f t="shared" si="1421"/>
        <v/>
      </c>
      <c r="AD4612" s="162"/>
      <c r="AE4612" s="199" t="str">
        <f t="shared" si="1422"/>
        <v/>
      </c>
      <c r="AF4612" s="199" t="str">
        <f>IF(AND(COUNTIFS($J$18:J4612,J4612)=1,AE4612=1),1,"")</f>
        <v/>
      </c>
      <c r="AG4612" s="199" t="str">
        <f>IF(C4612="","",IF(AND(COUNTIFS($J$18:J4612,J4612)=1,C4612&lt;&gt;""),1,""))</f>
        <v/>
      </c>
      <c r="AH4612" s="199" t="str">
        <f>IF(G4612="","",IF(AND(COUNTIFS($J$18:J4612,J4612)=1,G4612&lt;&gt;""),1,""))</f>
        <v/>
      </c>
      <c r="AI4612" s="200">
        <f t="shared" si="1423"/>
        <v>0</v>
      </c>
      <c r="AJ4612" s="200">
        <f t="shared" si="1424"/>
        <v>0</v>
      </c>
      <c r="AK4612" s="201" t="str">
        <f t="shared" si="1425"/>
        <v/>
      </c>
      <c r="AL4612" s="24"/>
      <c r="AM4612" s="24"/>
      <c r="AN4612" s="24"/>
      <c r="AO4612" s="24"/>
      <c r="AP4612" s="165" t="str">
        <f t="shared" si="1426"/>
        <v/>
      </c>
      <c r="AQ4612" s="203" t="str">
        <f t="shared" si="1427"/>
        <v/>
      </c>
      <c r="AR4612" s="206">
        <f t="shared" si="1428"/>
        <v>0</v>
      </c>
      <c r="AS4612" s="22" t="str">
        <f t="shared" si="1429"/>
        <v/>
      </c>
      <c r="AT4612" s="24" t="str">
        <f t="shared" si="1430"/>
        <v/>
      </c>
      <c r="AU4612" s="22" t="s">
        <v>3240</v>
      </c>
    </row>
    <row r="4613" spans="1:47">
      <c r="A4613" s="246" t="str">
        <f t="shared" si="1418"/>
        <v/>
      </c>
      <c r="B4613" s="23"/>
      <c r="C4613" s="23"/>
      <c r="D4613" s="202" t="str">
        <f t="shared" si="1419"/>
        <v/>
      </c>
      <c r="E4613" s="33" t="str">
        <f t="shared" si="1413"/>
        <v/>
      </c>
      <c r="F4613" s="23"/>
      <c r="G4613" s="23"/>
      <c r="H4613" s="29"/>
      <c r="I4613" s="204" t="str">
        <f t="shared" si="1416"/>
        <v/>
      </c>
      <c r="J4613" s="188"/>
      <c r="K4613" s="29"/>
      <c r="L4613" s="24"/>
      <c r="M4613" s="22"/>
      <c r="N4613" s="22"/>
      <c r="O4613" s="22"/>
      <c r="P4613" s="202" t="str">
        <f t="shared" si="1417"/>
        <v/>
      </c>
      <c r="Q4613" s="22"/>
      <c r="R4613" s="22"/>
      <c r="S4613" s="22"/>
      <c r="T4613" s="22"/>
      <c r="U4613" s="22"/>
      <c r="V4613" s="22"/>
      <c r="W4613" s="22"/>
      <c r="X4613" s="104"/>
      <c r="Y4613" s="195" t="str">
        <f t="shared" si="1414"/>
        <v/>
      </c>
      <c r="Z4613" s="196" t="str">
        <f t="shared" si="1415"/>
        <v/>
      </c>
      <c r="AA4613" s="22"/>
      <c r="AB4613" s="197" t="str">
        <f t="shared" si="1420"/>
        <v/>
      </c>
      <c r="AC4613" s="198" t="str">
        <f t="shared" si="1421"/>
        <v/>
      </c>
      <c r="AD4613" s="162"/>
      <c r="AE4613" s="199" t="str">
        <f t="shared" si="1422"/>
        <v/>
      </c>
      <c r="AF4613" s="199" t="str">
        <f>IF(AND(COUNTIFS($J$18:J4613,J4613)=1,AE4613=1),1,"")</f>
        <v/>
      </c>
      <c r="AG4613" s="199" t="str">
        <f>IF(C4613="","",IF(AND(COUNTIFS($J$18:J4613,J4613)=1,C4613&lt;&gt;""),1,""))</f>
        <v/>
      </c>
      <c r="AH4613" s="199" t="str">
        <f>IF(G4613="","",IF(AND(COUNTIFS($J$18:J4613,J4613)=1,G4613&lt;&gt;""),1,""))</f>
        <v/>
      </c>
      <c r="AI4613" s="200">
        <f t="shared" si="1423"/>
        <v>0</v>
      </c>
      <c r="AJ4613" s="200">
        <f t="shared" si="1424"/>
        <v>0</v>
      </c>
      <c r="AK4613" s="201" t="str">
        <f t="shared" si="1425"/>
        <v/>
      </c>
      <c r="AL4613" s="24"/>
      <c r="AM4613" s="24"/>
      <c r="AN4613" s="24"/>
      <c r="AO4613" s="24"/>
      <c r="AP4613" s="165" t="str">
        <f t="shared" si="1426"/>
        <v/>
      </c>
      <c r="AQ4613" s="203" t="str">
        <f t="shared" si="1427"/>
        <v/>
      </c>
      <c r="AR4613" s="206">
        <f t="shared" si="1428"/>
        <v>0</v>
      </c>
      <c r="AS4613" s="22" t="str">
        <f t="shared" si="1429"/>
        <v/>
      </c>
      <c r="AT4613" s="24" t="str">
        <f t="shared" si="1430"/>
        <v/>
      </c>
      <c r="AU4613" s="22" t="s">
        <v>3240</v>
      </c>
    </row>
    <row r="4614" spans="1:47">
      <c r="A4614" s="246" t="str">
        <f t="shared" si="1418"/>
        <v/>
      </c>
      <c r="B4614" s="23"/>
      <c r="C4614" s="23"/>
      <c r="D4614" s="202" t="str">
        <f t="shared" si="1419"/>
        <v/>
      </c>
      <c r="E4614" s="33" t="str">
        <f t="shared" si="1413"/>
        <v/>
      </c>
      <c r="F4614" s="23"/>
      <c r="G4614" s="23"/>
      <c r="H4614" s="29"/>
      <c r="I4614" s="204" t="str">
        <f t="shared" si="1416"/>
        <v/>
      </c>
      <c r="J4614" s="188"/>
      <c r="K4614" s="29"/>
      <c r="L4614" s="24"/>
      <c r="M4614" s="22"/>
      <c r="N4614" s="22"/>
      <c r="O4614" s="22"/>
      <c r="P4614" s="202" t="str">
        <f t="shared" si="1417"/>
        <v/>
      </c>
      <c r="Q4614" s="22"/>
      <c r="R4614" s="22"/>
      <c r="S4614" s="22"/>
      <c r="T4614" s="22"/>
      <c r="U4614" s="22"/>
      <c r="V4614" s="22"/>
      <c r="W4614" s="22"/>
      <c r="X4614" s="104"/>
      <c r="Y4614" s="195" t="str">
        <f t="shared" si="1414"/>
        <v/>
      </c>
      <c r="Z4614" s="196" t="str">
        <f t="shared" si="1415"/>
        <v/>
      </c>
      <c r="AA4614" s="22"/>
      <c r="AB4614" s="197" t="str">
        <f t="shared" si="1420"/>
        <v/>
      </c>
      <c r="AC4614" s="198" t="str">
        <f t="shared" si="1421"/>
        <v/>
      </c>
      <c r="AD4614" s="162"/>
      <c r="AE4614" s="199" t="str">
        <f t="shared" si="1422"/>
        <v/>
      </c>
      <c r="AF4614" s="199" t="str">
        <f>IF(AND(COUNTIFS($J$18:J4614,J4614)=1,AE4614=1),1,"")</f>
        <v/>
      </c>
      <c r="AG4614" s="199" t="str">
        <f>IF(C4614="","",IF(AND(COUNTIFS($J$18:J4614,J4614)=1,C4614&lt;&gt;""),1,""))</f>
        <v/>
      </c>
      <c r="AH4614" s="199" t="str">
        <f>IF(G4614="","",IF(AND(COUNTIFS($J$18:J4614,J4614)=1,G4614&lt;&gt;""),1,""))</f>
        <v/>
      </c>
      <c r="AI4614" s="200">
        <f t="shared" si="1423"/>
        <v>0</v>
      </c>
      <c r="AJ4614" s="200">
        <f t="shared" si="1424"/>
        <v>0</v>
      </c>
      <c r="AK4614" s="201" t="str">
        <f t="shared" si="1425"/>
        <v/>
      </c>
      <c r="AL4614" s="24"/>
      <c r="AM4614" s="24"/>
      <c r="AN4614" s="24"/>
      <c r="AO4614" s="24"/>
      <c r="AP4614" s="165" t="str">
        <f t="shared" si="1426"/>
        <v/>
      </c>
      <c r="AQ4614" s="203" t="str">
        <f t="shared" si="1427"/>
        <v/>
      </c>
      <c r="AR4614" s="206">
        <f t="shared" si="1428"/>
        <v>0</v>
      </c>
      <c r="AS4614" s="22" t="str">
        <f t="shared" si="1429"/>
        <v/>
      </c>
      <c r="AT4614" s="24" t="str">
        <f t="shared" si="1430"/>
        <v/>
      </c>
      <c r="AU4614" s="22" t="s">
        <v>3240</v>
      </c>
    </row>
    <row r="4615" spans="1:47">
      <c r="A4615" s="246" t="str">
        <f t="shared" si="1418"/>
        <v/>
      </c>
      <c r="B4615" s="23"/>
      <c r="C4615" s="23"/>
      <c r="D4615" s="202" t="str">
        <f t="shared" si="1419"/>
        <v/>
      </c>
      <c r="E4615" s="33" t="str">
        <f t="shared" si="1413"/>
        <v/>
      </c>
      <c r="F4615" s="23"/>
      <c r="G4615" s="23"/>
      <c r="H4615" s="29"/>
      <c r="I4615" s="204" t="str">
        <f t="shared" si="1416"/>
        <v/>
      </c>
      <c r="J4615" s="188"/>
      <c r="K4615" s="29"/>
      <c r="L4615" s="24"/>
      <c r="M4615" s="22"/>
      <c r="N4615" s="22"/>
      <c r="O4615" s="22"/>
      <c r="P4615" s="202" t="str">
        <f t="shared" si="1417"/>
        <v/>
      </c>
      <c r="Q4615" s="22"/>
      <c r="R4615" s="22"/>
      <c r="S4615" s="22"/>
      <c r="T4615" s="22"/>
      <c r="U4615" s="22"/>
      <c r="V4615" s="22"/>
      <c r="W4615" s="22"/>
      <c r="X4615" s="104"/>
      <c r="Y4615" s="195" t="str">
        <f t="shared" si="1414"/>
        <v/>
      </c>
      <c r="Z4615" s="196" t="str">
        <f t="shared" si="1415"/>
        <v/>
      </c>
      <c r="AA4615" s="22"/>
      <c r="AB4615" s="197" t="str">
        <f t="shared" si="1420"/>
        <v/>
      </c>
      <c r="AC4615" s="198" t="str">
        <f t="shared" si="1421"/>
        <v/>
      </c>
      <c r="AD4615" s="162"/>
      <c r="AE4615" s="199" t="str">
        <f t="shared" si="1422"/>
        <v/>
      </c>
      <c r="AF4615" s="199" t="str">
        <f>IF(AND(COUNTIFS($J$18:J4615,J4615)=1,AE4615=1),1,"")</f>
        <v/>
      </c>
      <c r="AG4615" s="199" t="str">
        <f>IF(C4615="","",IF(AND(COUNTIFS($J$18:J4615,J4615)=1,C4615&lt;&gt;""),1,""))</f>
        <v/>
      </c>
      <c r="AH4615" s="199" t="str">
        <f>IF(G4615="","",IF(AND(COUNTIFS($J$18:J4615,J4615)=1,G4615&lt;&gt;""),1,""))</f>
        <v/>
      </c>
      <c r="AI4615" s="200">
        <f t="shared" si="1423"/>
        <v>0</v>
      </c>
      <c r="AJ4615" s="200">
        <f t="shared" si="1424"/>
        <v>0</v>
      </c>
      <c r="AK4615" s="201" t="str">
        <f t="shared" si="1425"/>
        <v/>
      </c>
      <c r="AL4615" s="24"/>
      <c r="AM4615" s="24"/>
      <c r="AN4615" s="24"/>
      <c r="AO4615" s="24"/>
      <c r="AP4615" s="165" t="str">
        <f t="shared" si="1426"/>
        <v/>
      </c>
      <c r="AQ4615" s="203" t="str">
        <f t="shared" si="1427"/>
        <v/>
      </c>
      <c r="AR4615" s="206">
        <f t="shared" si="1428"/>
        <v>0</v>
      </c>
      <c r="AS4615" s="22" t="str">
        <f t="shared" si="1429"/>
        <v/>
      </c>
      <c r="AT4615" s="24" t="str">
        <f t="shared" si="1430"/>
        <v/>
      </c>
      <c r="AU4615" s="22" t="s">
        <v>3240</v>
      </c>
    </row>
    <row r="4616" spans="1:47">
      <c r="A4616" s="246" t="str">
        <f t="shared" si="1418"/>
        <v/>
      </c>
      <c r="B4616" s="23"/>
      <c r="C4616" s="23"/>
      <c r="D4616" s="202" t="str">
        <f t="shared" si="1419"/>
        <v/>
      </c>
      <c r="E4616" s="33" t="str">
        <f t="shared" si="1413"/>
        <v/>
      </c>
      <c r="F4616" s="23"/>
      <c r="G4616" s="23"/>
      <c r="H4616" s="29"/>
      <c r="I4616" s="204" t="str">
        <f t="shared" si="1416"/>
        <v/>
      </c>
      <c r="J4616" s="188"/>
      <c r="K4616" s="29"/>
      <c r="L4616" s="24"/>
      <c r="M4616" s="22"/>
      <c r="N4616" s="22"/>
      <c r="O4616" s="22"/>
      <c r="P4616" s="202" t="str">
        <f t="shared" si="1417"/>
        <v/>
      </c>
      <c r="Q4616" s="22"/>
      <c r="R4616" s="22"/>
      <c r="S4616" s="22"/>
      <c r="T4616" s="22"/>
      <c r="U4616" s="22"/>
      <c r="V4616" s="22"/>
      <c r="W4616" s="22"/>
      <c r="X4616" s="104"/>
      <c r="Y4616" s="195" t="str">
        <f t="shared" si="1414"/>
        <v/>
      </c>
      <c r="Z4616" s="196" t="str">
        <f t="shared" si="1415"/>
        <v/>
      </c>
      <c r="AA4616" s="22"/>
      <c r="AB4616" s="197" t="str">
        <f t="shared" si="1420"/>
        <v/>
      </c>
      <c r="AC4616" s="198" t="str">
        <f t="shared" si="1421"/>
        <v/>
      </c>
      <c r="AD4616" s="162"/>
      <c r="AE4616" s="199" t="str">
        <f t="shared" si="1422"/>
        <v/>
      </c>
      <c r="AF4616" s="199" t="str">
        <f>IF(AND(COUNTIFS($J$18:J4616,J4616)=1,AE4616=1),1,"")</f>
        <v/>
      </c>
      <c r="AG4616" s="199" t="str">
        <f>IF(C4616="","",IF(AND(COUNTIFS($J$18:J4616,J4616)=1,C4616&lt;&gt;""),1,""))</f>
        <v/>
      </c>
      <c r="AH4616" s="199" t="str">
        <f>IF(G4616="","",IF(AND(COUNTIFS($J$18:J4616,J4616)=1,G4616&lt;&gt;""),1,""))</f>
        <v/>
      </c>
      <c r="AI4616" s="200">
        <f t="shared" si="1423"/>
        <v>0</v>
      </c>
      <c r="AJ4616" s="200">
        <f t="shared" si="1424"/>
        <v>0</v>
      </c>
      <c r="AK4616" s="201" t="str">
        <f t="shared" si="1425"/>
        <v/>
      </c>
      <c r="AL4616" s="24"/>
      <c r="AM4616" s="24"/>
      <c r="AN4616" s="24"/>
      <c r="AO4616" s="24"/>
      <c r="AP4616" s="165" t="str">
        <f t="shared" si="1426"/>
        <v/>
      </c>
      <c r="AQ4616" s="203" t="str">
        <f t="shared" si="1427"/>
        <v/>
      </c>
      <c r="AR4616" s="206">
        <f t="shared" si="1428"/>
        <v>0</v>
      </c>
      <c r="AS4616" s="22" t="str">
        <f t="shared" si="1429"/>
        <v/>
      </c>
      <c r="AT4616" s="24" t="str">
        <f t="shared" si="1430"/>
        <v/>
      </c>
      <c r="AU4616" s="22" t="s">
        <v>3240</v>
      </c>
    </row>
    <row r="4617" spans="1:47">
      <c r="A4617" s="246" t="str">
        <f t="shared" si="1418"/>
        <v/>
      </c>
      <c r="B4617" s="23"/>
      <c r="C4617" s="23"/>
      <c r="D4617" s="202" t="str">
        <f t="shared" si="1419"/>
        <v/>
      </c>
      <c r="E4617" s="33" t="str">
        <f t="shared" si="1413"/>
        <v/>
      </c>
      <c r="F4617" s="23"/>
      <c r="G4617" s="23"/>
      <c r="H4617" s="29"/>
      <c r="I4617" s="204" t="str">
        <f t="shared" si="1416"/>
        <v/>
      </c>
      <c r="J4617" s="188"/>
      <c r="K4617" s="29"/>
      <c r="L4617" s="24"/>
      <c r="M4617" s="22"/>
      <c r="N4617" s="22"/>
      <c r="O4617" s="22"/>
      <c r="P4617" s="202" t="str">
        <f t="shared" si="1417"/>
        <v/>
      </c>
      <c r="Q4617" s="22"/>
      <c r="R4617" s="22"/>
      <c r="S4617" s="22"/>
      <c r="T4617" s="22"/>
      <c r="U4617" s="22"/>
      <c r="V4617" s="22"/>
      <c r="W4617" s="22"/>
      <c r="X4617" s="104"/>
      <c r="Y4617" s="195" t="str">
        <f t="shared" si="1414"/>
        <v/>
      </c>
      <c r="Z4617" s="196" t="str">
        <f t="shared" si="1415"/>
        <v/>
      </c>
      <c r="AA4617" s="22"/>
      <c r="AB4617" s="197" t="str">
        <f t="shared" si="1420"/>
        <v/>
      </c>
      <c r="AC4617" s="198" t="str">
        <f t="shared" si="1421"/>
        <v/>
      </c>
      <c r="AD4617" s="162"/>
      <c r="AE4617" s="199" t="str">
        <f t="shared" si="1422"/>
        <v/>
      </c>
      <c r="AF4617" s="199" t="str">
        <f>IF(AND(COUNTIFS($J$18:J4617,J4617)=1,AE4617=1),1,"")</f>
        <v/>
      </c>
      <c r="AG4617" s="199" t="str">
        <f>IF(C4617="","",IF(AND(COUNTIFS($J$18:J4617,J4617)=1,C4617&lt;&gt;""),1,""))</f>
        <v/>
      </c>
      <c r="AH4617" s="199" t="str">
        <f>IF(G4617="","",IF(AND(COUNTIFS($J$18:J4617,J4617)=1,G4617&lt;&gt;""),1,""))</f>
        <v/>
      </c>
      <c r="AI4617" s="200">
        <f t="shared" si="1423"/>
        <v>0</v>
      </c>
      <c r="AJ4617" s="200">
        <f t="shared" si="1424"/>
        <v>0</v>
      </c>
      <c r="AK4617" s="201" t="str">
        <f t="shared" si="1425"/>
        <v/>
      </c>
      <c r="AL4617" s="24"/>
      <c r="AM4617" s="24"/>
      <c r="AN4617" s="24"/>
      <c r="AO4617" s="24"/>
      <c r="AP4617" s="165" t="str">
        <f t="shared" si="1426"/>
        <v/>
      </c>
      <c r="AQ4617" s="203" t="str">
        <f t="shared" si="1427"/>
        <v/>
      </c>
      <c r="AR4617" s="206">
        <f t="shared" si="1428"/>
        <v>0</v>
      </c>
      <c r="AS4617" s="22" t="str">
        <f t="shared" si="1429"/>
        <v/>
      </c>
      <c r="AT4617" s="24" t="str">
        <f t="shared" si="1430"/>
        <v/>
      </c>
      <c r="AU4617" s="22" t="s">
        <v>3240</v>
      </c>
    </row>
    <row r="4618" spans="1:47">
      <c r="A4618" s="246" t="str">
        <f t="shared" si="1418"/>
        <v/>
      </c>
      <c r="B4618" s="23"/>
      <c r="C4618" s="23"/>
      <c r="D4618" s="202" t="str">
        <f t="shared" si="1419"/>
        <v/>
      </c>
      <c r="E4618" s="33" t="str">
        <f t="shared" si="1413"/>
        <v/>
      </c>
      <c r="F4618" s="23"/>
      <c r="G4618" s="23"/>
      <c r="H4618" s="29"/>
      <c r="I4618" s="204" t="str">
        <f t="shared" si="1416"/>
        <v/>
      </c>
      <c r="J4618" s="188"/>
      <c r="K4618" s="29"/>
      <c r="L4618" s="24"/>
      <c r="M4618" s="22"/>
      <c r="N4618" s="22"/>
      <c r="O4618" s="22"/>
      <c r="P4618" s="202" t="str">
        <f t="shared" si="1417"/>
        <v/>
      </c>
      <c r="Q4618" s="22"/>
      <c r="R4618" s="22"/>
      <c r="S4618" s="22"/>
      <c r="T4618" s="22"/>
      <c r="U4618" s="22"/>
      <c r="V4618" s="22"/>
      <c r="W4618" s="22"/>
      <c r="X4618" s="104"/>
      <c r="Y4618" s="195" t="str">
        <f t="shared" si="1414"/>
        <v/>
      </c>
      <c r="Z4618" s="196" t="str">
        <f t="shared" si="1415"/>
        <v/>
      </c>
      <c r="AA4618" s="22"/>
      <c r="AB4618" s="197" t="str">
        <f t="shared" si="1420"/>
        <v/>
      </c>
      <c r="AC4618" s="198" t="str">
        <f t="shared" si="1421"/>
        <v/>
      </c>
      <c r="AD4618" s="162"/>
      <c r="AE4618" s="199" t="str">
        <f t="shared" si="1422"/>
        <v/>
      </c>
      <c r="AF4618" s="199" t="str">
        <f>IF(AND(COUNTIFS($J$18:J4618,J4618)=1,AE4618=1),1,"")</f>
        <v/>
      </c>
      <c r="AG4618" s="199" t="str">
        <f>IF(C4618="","",IF(AND(COUNTIFS($J$18:J4618,J4618)=1,C4618&lt;&gt;""),1,""))</f>
        <v/>
      </c>
      <c r="AH4618" s="199" t="str">
        <f>IF(G4618="","",IF(AND(COUNTIFS($J$18:J4618,J4618)=1,G4618&lt;&gt;""),1,""))</f>
        <v/>
      </c>
      <c r="AI4618" s="200">
        <f t="shared" si="1423"/>
        <v>0</v>
      </c>
      <c r="AJ4618" s="200">
        <f t="shared" si="1424"/>
        <v>0</v>
      </c>
      <c r="AK4618" s="201" t="str">
        <f t="shared" si="1425"/>
        <v/>
      </c>
      <c r="AL4618" s="24"/>
      <c r="AM4618" s="24"/>
      <c r="AN4618" s="24"/>
      <c r="AO4618" s="24"/>
      <c r="AP4618" s="165" t="str">
        <f t="shared" si="1426"/>
        <v/>
      </c>
      <c r="AQ4618" s="203" t="str">
        <f t="shared" si="1427"/>
        <v/>
      </c>
      <c r="AR4618" s="206">
        <f t="shared" si="1428"/>
        <v>0</v>
      </c>
      <c r="AS4618" s="22" t="str">
        <f t="shared" si="1429"/>
        <v/>
      </c>
      <c r="AT4618" s="24" t="str">
        <f t="shared" si="1430"/>
        <v/>
      </c>
      <c r="AU4618" s="22" t="s">
        <v>3240</v>
      </c>
    </row>
    <row r="4619" spans="1:47">
      <c r="A4619" s="246" t="str">
        <f t="shared" si="1418"/>
        <v/>
      </c>
      <c r="B4619" s="23"/>
      <c r="C4619" s="23"/>
      <c r="D4619" s="202" t="str">
        <f t="shared" si="1419"/>
        <v/>
      </c>
      <c r="E4619" s="33" t="str">
        <f t="shared" si="1413"/>
        <v/>
      </c>
      <c r="F4619" s="23"/>
      <c r="G4619" s="23"/>
      <c r="H4619" s="29"/>
      <c r="I4619" s="204" t="str">
        <f t="shared" si="1416"/>
        <v/>
      </c>
      <c r="J4619" s="188"/>
      <c r="K4619" s="29"/>
      <c r="L4619" s="24"/>
      <c r="M4619" s="22"/>
      <c r="N4619" s="22"/>
      <c r="O4619" s="22"/>
      <c r="P4619" s="202" t="str">
        <f t="shared" si="1417"/>
        <v/>
      </c>
      <c r="Q4619" s="22"/>
      <c r="R4619" s="22"/>
      <c r="S4619" s="22"/>
      <c r="T4619" s="22"/>
      <c r="U4619" s="22"/>
      <c r="V4619" s="22"/>
      <c r="W4619" s="22"/>
      <c r="X4619" s="104"/>
      <c r="Y4619" s="195" t="str">
        <f t="shared" si="1414"/>
        <v/>
      </c>
      <c r="Z4619" s="196" t="str">
        <f t="shared" si="1415"/>
        <v/>
      </c>
      <c r="AA4619" s="22"/>
      <c r="AB4619" s="197" t="str">
        <f t="shared" si="1420"/>
        <v/>
      </c>
      <c r="AC4619" s="198" t="str">
        <f t="shared" si="1421"/>
        <v/>
      </c>
      <c r="AD4619" s="162"/>
      <c r="AE4619" s="199" t="str">
        <f t="shared" si="1422"/>
        <v/>
      </c>
      <c r="AF4619" s="199" t="str">
        <f>IF(AND(COUNTIFS($J$18:J4619,J4619)=1,AE4619=1),1,"")</f>
        <v/>
      </c>
      <c r="AG4619" s="199" t="str">
        <f>IF(C4619="","",IF(AND(COUNTIFS($J$18:J4619,J4619)=1,C4619&lt;&gt;""),1,""))</f>
        <v/>
      </c>
      <c r="AH4619" s="199" t="str">
        <f>IF(G4619="","",IF(AND(COUNTIFS($J$18:J4619,J4619)=1,G4619&lt;&gt;""),1,""))</f>
        <v/>
      </c>
      <c r="AI4619" s="200">
        <f t="shared" si="1423"/>
        <v>0</v>
      </c>
      <c r="AJ4619" s="200">
        <f t="shared" si="1424"/>
        <v>0</v>
      </c>
      <c r="AK4619" s="201" t="str">
        <f t="shared" si="1425"/>
        <v/>
      </c>
      <c r="AL4619" s="24"/>
      <c r="AM4619" s="24"/>
      <c r="AN4619" s="24"/>
      <c r="AO4619" s="24"/>
      <c r="AP4619" s="165" t="str">
        <f t="shared" si="1426"/>
        <v/>
      </c>
      <c r="AQ4619" s="203" t="str">
        <f t="shared" si="1427"/>
        <v/>
      </c>
      <c r="AR4619" s="206">
        <f t="shared" si="1428"/>
        <v>0</v>
      </c>
      <c r="AS4619" s="22" t="str">
        <f t="shared" si="1429"/>
        <v/>
      </c>
      <c r="AT4619" s="24" t="str">
        <f t="shared" si="1430"/>
        <v/>
      </c>
      <c r="AU4619" s="22" t="s">
        <v>3240</v>
      </c>
    </row>
    <row r="4620" spans="1:47">
      <c r="A4620" s="246" t="str">
        <f t="shared" si="1418"/>
        <v/>
      </c>
      <c r="B4620" s="23"/>
      <c r="C4620" s="23"/>
      <c r="D4620" s="202" t="str">
        <f t="shared" si="1419"/>
        <v/>
      </c>
      <c r="E4620" s="33" t="str">
        <f t="shared" si="1413"/>
        <v/>
      </c>
      <c r="F4620" s="23"/>
      <c r="G4620" s="23"/>
      <c r="H4620" s="29"/>
      <c r="I4620" s="204" t="str">
        <f t="shared" si="1416"/>
        <v/>
      </c>
      <c r="J4620" s="188"/>
      <c r="K4620" s="29"/>
      <c r="L4620" s="24"/>
      <c r="M4620" s="22"/>
      <c r="N4620" s="22"/>
      <c r="O4620" s="22"/>
      <c r="P4620" s="202" t="str">
        <f t="shared" si="1417"/>
        <v/>
      </c>
      <c r="Q4620" s="22"/>
      <c r="R4620" s="22"/>
      <c r="S4620" s="22"/>
      <c r="T4620" s="22"/>
      <c r="U4620" s="22"/>
      <c r="V4620" s="22"/>
      <c r="W4620" s="22"/>
      <c r="X4620" s="104"/>
      <c r="Y4620" s="195" t="str">
        <f t="shared" si="1414"/>
        <v/>
      </c>
      <c r="Z4620" s="196" t="str">
        <f t="shared" si="1415"/>
        <v/>
      </c>
      <c r="AA4620" s="22"/>
      <c r="AB4620" s="197" t="str">
        <f t="shared" si="1420"/>
        <v/>
      </c>
      <c r="AC4620" s="198" t="str">
        <f t="shared" si="1421"/>
        <v/>
      </c>
      <c r="AD4620" s="162"/>
      <c r="AE4620" s="199" t="str">
        <f t="shared" si="1422"/>
        <v/>
      </c>
      <c r="AF4620" s="199" t="str">
        <f>IF(AND(COUNTIFS($J$18:J4620,J4620)=1,AE4620=1),1,"")</f>
        <v/>
      </c>
      <c r="AG4620" s="199" t="str">
        <f>IF(C4620="","",IF(AND(COUNTIFS($J$18:J4620,J4620)=1,C4620&lt;&gt;""),1,""))</f>
        <v/>
      </c>
      <c r="AH4620" s="199" t="str">
        <f>IF(G4620="","",IF(AND(COUNTIFS($J$18:J4620,J4620)=1,G4620&lt;&gt;""),1,""))</f>
        <v/>
      </c>
      <c r="AI4620" s="200">
        <f t="shared" si="1423"/>
        <v>0</v>
      </c>
      <c r="AJ4620" s="200">
        <f t="shared" si="1424"/>
        <v>0</v>
      </c>
      <c r="AK4620" s="201" t="str">
        <f t="shared" si="1425"/>
        <v/>
      </c>
      <c r="AL4620" s="24"/>
      <c r="AM4620" s="24"/>
      <c r="AN4620" s="24"/>
      <c r="AO4620" s="24"/>
      <c r="AP4620" s="165" t="str">
        <f t="shared" si="1426"/>
        <v/>
      </c>
      <c r="AQ4620" s="203" t="str">
        <f t="shared" si="1427"/>
        <v/>
      </c>
      <c r="AR4620" s="206">
        <f t="shared" si="1428"/>
        <v>0</v>
      </c>
      <c r="AS4620" s="22" t="str">
        <f t="shared" si="1429"/>
        <v/>
      </c>
      <c r="AT4620" s="24" t="str">
        <f t="shared" si="1430"/>
        <v/>
      </c>
      <c r="AU4620" s="22" t="s">
        <v>3240</v>
      </c>
    </row>
    <row r="4621" spans="1:47">
      <c r="A4621" s="246" t="str">
        <f t="shared" si="1418"/>
        <v/>
      </c>
      <c r="B4621" s="23"/>
      <c r="C4621" s="23"/>
      <c r="D4621" s="202" t="str">
        <f t="shared" si="1419"/>
        <v/>
      </c>
      <c r="E4621" s="33" t="str">
        <f t="shared" si="1413"/>
        <v/>
      </c>
      <c r="F4621" s="23"/>
      <c r="G4621" s="23"/>
      <c r="H4621" s="29"/>
      <c r="I4621" s="204" t="str">
        <f t="shared" si="1416"/>
        <v/>
      </c>
      <c r="J4621" s="188"/>
      <c r="K4621" s="29"/>
      <c r="L4621" s="24"/>
      <c r="M4621" s="22"/>
      <c r="N4621" s="22"/>
      <c r="O4621" s="22"/>
      <c r="P4621" s="202" t="str">
        <f t="shared" si="1417"/>
        <v/>
      </c>
      <c r="Q4621" s="22"/>
      <c r="R4621" s="22"/>
      <c r="S4621" s="22"/>
      <c r="T4621" s="22"/>
      <c r="U4621" s="22"/>
      <c r="V4621" s="22"/>
      <c r="W4621" s="22"/>
      <c r="X4621" s="104"/>
      <c r="Y4621" s="195" t="str">
        <f t="shared" si="1414"/>
        <v/>
      </c>
      <c r="Z4621" s="196" t="str">
        <f t="shared" si="1415"/>
        <v/>
      </c>
      <c r="AA4621" s="22"/>
      <c r="AB4621" s="197" t="str">
        <f t="shared" si="1420"/>
        <v/>
      </c>
      <c r="AC4621" s="198" t="str">
        <f t="shared" si="1421"/>
        <v/>
      </c>
      <c r="AD4621" s="162"/>
      <c r="AE4621" s="199" t="str">
        <f t="shared" si="1422"/>
        <v/>
      </c>
      <c r="AF4621" s="199" t="str">
        <f>IF(AND(COUNTIFS($J$18:J4621,J4621)=1,AE4621=1),1,"")</f>
        <v/>
      </c>
      <c r="AG4621" s="199" t="str">
        <f>IF(C4621="","",IF(AND(COUNTIFS($J$18:J4621,J4621)=1,C4621&lt;&gt;""),1,""))</f>
        <v/>
      </c>
      <c r="AH4621" s="199" t="str">
        <f>IF(G4621="","",IF(AND(COUNTIFS($J$18:J4621,J4621)=1,G4621&lt;&gt;""),1,""))</f>
        <v/>
      </c>
      <c r="AI4621" s="200">
        <f t="shared" si="1423"/>
        <v>0</v>
      </c>
      <c r="AJ4621" s="200">
        <f t="shared" si="1424"/>
        <v>0</v>
      </c>
      <c r="AK4621" s="201" t="str">
        <f t="shared" si="1425"/>
        <v/>
      </c>
      <c r="AL4621" s="24"/>
      <c r="AM4621" s="24"/>
      <c r="AN4621" s="24"/>
      <c r="AO4621" s="24"/>
      <c r="AP4621" s="165" t="str">
        <f t="shared" si="1426"/>
        <v/>
      </c>
      <c r="AQ4621" s="203" t="str">
        <f t="shared" si="1427"/>
        <v/>
      </c>
      <c r="AR4621" s="206">
        <f t="shared" si="1428"/>
        <v>0</v>
      </c>
      <c r="AS4621" s="22" t="str">
        <f t="shared" si="1429"/>
        <v/>
      </c>
      <c r="AT4621" s="24" t="str">
        <f t="shared" si="1430"/>
        <v/>
      </c>
      <c r="AU4621" s="22" t="s">
        <v>3240</v>
      </c>
    </row>
    <row r="4622" spans="1:47">
      <c r="A4622" s="246" t="str">
        <f t="shared" si="1418"/>
        <v/>
      </c>
      <c r="B4622" s="23"/>
      <c r="C4622" s="23"/>
      <c r="D4622" s="202" t="str">
        <f t="shared" si="1419"/>
        <v/>
      </c>
      <c r="E4622" s="33" t="str">
        <f t="shared" si="1413"/>
        <v/>
      </c>
      <c r="F4622" s="23"/>
      <c r="G4622" s="23"/>
      <c r="H4622" s="29"/>
      <c r="I4622" s="204" t="str">
        <f t="shared" si="1416"/>
        <v/>
      </c>
      <c r="J4622" s="188"/>
      <c r="K4622" s="29"/>
      <c r="L4622" s="24"/>
      <c r="M4622" s="22"/>
      <c r="N4622" s="22"/>
      <c r="O4622" s="22"/>
      <c r="P4622" s="202" t="str">
        <f t="shared" si="1417"/>
        <v/>
      </c>
      <c r="Q4622" s="22"/>
      <c r="R4622" s="22"/>
      <c r="S4622" s="22"/>
      <c r="T4622" s="22"/>
      <c r="U4622" s="22"/>
      <c r="V4622" s="22"/>
      <c r="W4622" s="22"/>
      <c r="X4622" s="104"/>
      <c r="Y4622" s="195" t="str">
        <f t="shared" si="1414"/>
        <v/>
      </c>
      <c r="Z4622" s="196" t="str">
        <f t="shared" si="1415"/>
        <v/>
      </c>
      <c r="AA4622" s="22"/>
      <c r="AB4622" s="197" t="str">
        <f t="shared" si="1420"/>
        <v/>
      </c>
      <c r="AC4622" s="198" t="str">
        <f t="shared" si="1421"/>
        <v/>
      </c>
      <c r="AD4622" s="162"/>
      <c r="AE4622" s="199" t="str">
        <f t="shared" si="1422"/>
        <v/>
      </c>
      <c r="AF4622" s="199" t="str">
        <f>IF(AND(COUNTIFS($J$18:J4622,J4622)=1,AE4622=1),1,"")</f>
        <v/>
      </c>
      <c r="AG4622" s="199" t="str">
        <f>IF(C4622="","",IF(AND(COUNTIFS($J$18:J4622,J4622)=1,C4622&lt;&gt;""),1,""))</f>
        <v/>
      </c>
      <c r="AH4622" s="199" t="str">
        <f>IF(G4622="","",IF(AND(COUNTIFS($J$18:J4622,J4622)=1,G4622&lt;&gt;""),1,""))</f>
        <v/>
      </c>
      <c r="AI4622" s="200">
        <f t="shared" si="1423"/>
        <v>0</v>
      </c>
      <c r="AJ4622" s="200">
        <f t="shared" si="1424"/>
        <v>0</v>
      </c>
      <c r="AK4622" s="201" t="str">
        <f t="shared" si="1425"/>
        <v/>
      </c>
      <c r="AL4622" s="24"/>
      <c r="AM4622" s="24"/>
      <c r="AN4622" s="24"/>
      <c r="AO4622" s="24"/>
      <c r="AP4622" s="165" t="str">
        <f t="shared" si="1426"/>
        <v/>
      </c>
      <c r="AQ4622" s="203" t="str">
        <f t="shared" si="1427"/>
        <v/>
      </c>
      <c r="AR4622" s="206">
        <f t="shared" si="1428"/>
        <v>0</v>
      </c>
      <c r="AS4622" s="22" t="str">
        <f t="shared" si="1429"/>
        <v/>
      </c>
      <c r="AT4622" s="24" t="str">
        <f t="shared" si="1430"/>
        <v/>
      </c>
      <c r="AU4622" s="22" t="s">
        <v>3240</v>
      </c>
    </row>
    <row r="4623" spans="1:47">
      <c r="A4623" s="246" t="str">
        <f t="shared" si="1418"/>
        <v/>
      </c>
      <c r="B4623" s="23"/>
      <c r="C4623" s="23"/>
      <c r="D4623" s="202" t="str">
        <f t="shared" si="1419"/>
        <v/>
      </c>
      <c r="E4623" s="33" t="str">
        <f t="shared" si="1413"/>
        <v/>
      </c>
      <c r="F4623" s="23"/>
      <c r="G4623" s="23"/>
      <c r="H4623" s="29"/>
      <c r="I4623" s="204" t="str">
        <f t="shared" si="1416"/>
        <v/>
      </c>
      <c r="J4623" s="188"/>
      <c r="K4623" s="29"/>
      <c r="L4623" s="24"/>
      <c r="M4623" s="22"/>
      <c r="N4623" s="22"/>
      <c r="O4623" s="22"/>
      <c r="P4623" s="202" t="str">
        <f t="shared" si="1417"/>
        <v/>
      </c>
      <c r="Q4623" s="22"/>
      <c r="R4623" s="22"/>
      <c r="S4623" s="22"/>
      <c r="T4623" s="22"/>
      <c r="U4623" s="22"/>
      <c r="V4623" s="22"/>
      <c r="W4623" s="22"/>
      <c r="X4623" s="104"/>
      <c r="Y4623" s="195" t="str">
        <f t="shared" si="1414"/>
        <v/>
      </c>
      <c r="Z4623" s="196" t="str">
        <f t="shared" si="1415"/>
        <v/>
      </c>
      <c r="AA4623" s="22"/>
      <c r="AB4623" s="197" t="str">
        <f t="shared" si="1420"/>
        <v/>
      </c>
      <c r="AC4623" s="198" t="str">
        <f t="shared" si="1421"/>
        <v/>
      </c>
      <c r="AD4623" s="162"/>
      <c r="AE4623" s="199" t="str">
        <f t="shared" si="1422"/>
        <v/>
      </c>
      <c r="AF4623" s="199" t="str">
        <f>IF(AND(COUNTIFS($J$18:J4623,J4623)=1,AE4623=1),1,"")</f>
        <v/>
      </c>
      <c r="AG4623" s="199" t="str">
        <f>IF(C4623="","",IF(AND(COUNTIFS($J$18:J4623,J4623)=1,C4623&lt;&gt;""),1,""))</f>
        <v/>
      </c>
      <c r="AH4623" s="199" t="str">
        <f>IF(G4623="","",IF(AND(COUNTIFS($J$18:J4623,J4623)=1,G4623&lt;&gt;""),1,""))</f>
        <v/>
      </c>
      <c r="AI4623" s="200">
        <f t="shared" si="1423"/>
        <v>0</v>
      </c>
      <c r="AJ4623" s="200">
        <f t="shared" si="1424"/>
        <v>0</v>
      </c>
      <c r="AK4623" s="201" t="str">
        <f t="shared" si="1425"/>
        <v/>
      </c>
      <c r="AL4623" s="24"/>
      <c r="AM4623" s="24"/>
      <c r="AN4623" s="24"/>
      <c r="AO4623" s="24"/>
      <c r="AP4623" s="165" t="str">
        <f t="shared" si="1426"/>
        <v/>
      </c>
      <c r="AQ4623" s="203" t="str">
        <f t="shared" si="1427"/>
        <v/>
      </c>
      <c r="AR4623" s="206">
        <f t="shared" si="1428"/>
        <v>0</v>
      </c>
      <c r="AS4623" s="22" t="str">
        <f t="shared" si="1429"/>
        <v/>
      </c>
      <c r="AT4623" s="24" t="str">
        <f t="shared" si="1430"/>
        <v/>
      </c>
      <c r="AU4623" s="22" t="s">
        <v>3240</v>
      </c>
    </row>
    <row r="4624" spans="1:47">
      <c r="A4624" s="246" t="str">
        <f t="shared" si="1418"/>
        <v/>
      </c>
      <c r="B4624" s="23"/>
      <c r="C4624" s="23"/>
      <c r="D4624" s="202" t="str">
        <f t="shared" si="1419"/>
        <v/>
      </c>
      <c r="E4624" s="33" t="str">
        <f t="shared" si="1413"/>
        <v/>
      </c>
      <c r="F4624" s="23"/>
      <c r="G4624" s="23"/>
      <c r="H4624" s="29"/>
      <c r="I4624" s="204" t="str">
        <f t="shared" si="1416"/>
        <v/>
      </c>
      <c r="J4624" s="188"/>
      <c r="K4624" s="29"/>
      <c r="L4624" s="24"/>
      <c r="M4624" s="22"/>
      <c r="N4624" s="22"/>
      <c r="O4624" s="22"/>
      <c r="P4624" s="202" t="str">
        <f t="shared" si="1417"/>
        <v/>
      </c>
      <c r="Q4624" s="22"/>
      <c r="R4624" s="22"/>
      <c r="S4624" s="22"/>
      <c r="T4624" s="22"/>
      <c r="U4624" s="22"/>
      <c r="V4624" s="22"/>
      <c r="W4624" s="22"/>
      <c r="X4624" s="104"/>
      <c r="Y4624" s="195" t="str">
        <f t="shared" si="1414"/>
        <v/>
      </c>
      <c r="Z4624" s="196" t="str">
        <f t="shared" si="1415"/>
        <v/>
      </c>
      <c r="AA4624" s="22"/>
      <c r="AB4624" s="197" t="str">
        <f t="shared" si="1420"/>
        <v/>
      </c>
      <c r="AC4624" s="198" t="str">
        <f t="shared" si="1421"/>
        <v/>
      </c>
      <c r="AD4624" s="162"/>
      <c r="AE4624" s="199" t="str">
        <f t="shared" si="1422"/>
        <v/>
      </c>
      <c r="AF4624" s="199" t="str">
        <f>IF(AND(COUNTIFS($J$18:J4624,J4624)=1,AE4624=1),1,"")</f>
        <v/>
      </c>
      <c r="AG4624" s="199" t="str">
        <f>IF(C4624="","",IF(AND(COUNTIFS($J$18:J4624,J4624)=1,C4624&lt;&gt;""),1,""))</f>
        <v/>
      </c>
      <c r="AH4624" s="199" t="str">
        <f>IF(G4624="","",IF(AND(COUNTIFS($J$18:J4624,J4624)=1,G4624&lt;&gt;""),1,""))</f>
        <v/>
      </c>
      <c r="AI4624" s="200">
        <f t="shared" si="1423"/>
        <v>0</v>
      </c>
      <c r="AJ4624" s="200">
        <f t="shared" si="1424"/>
        <v>0</v>
      </c>
      <c r="AK4624" s="201" t="str">
        <f t="shared" si="1425"/>
        <v/>
      </c>
      <c r="AL4624" s="24"/>
      <c r="AM4624" s="24"/>
      <c r="AN4624" s="24"/>
      <c r="AO4624" s="24"/>
      <c r="AP4624" s="165" t="str">
        <f t="shared" si="1426"/>
        <v/>
      </c>
      <c r="AQ4624" s="203" t="str">
        <f t="shared" si="1427"/>
        <v/>
      </c>
      <c r="AR4624" s="206">
        <f t="shared" si="1428"/>
        <v>0</v>
      </c>
      <c r="AS4624" s="22" t="str">
        <f t="shared" si="1429"/>
        <v/>
      </c>
      <c r="AT4624" s="24" t="str">
        <f t="shared" si="1430"/>
        <v/>
      </c>
      <c r="AU4624" s="22" t="s">
        <v>3240</v>
      </c>
    </row>
    <row r="4625" spans="1:47">
      <c r="A4625" s="246" t="str">
        <f t="shared" si="1418"/>
        <v/>
      </c>
      <c r="B4625" s="23"/>
      <c r="C4625" s="23"/>
      <c r="D4625" s="202" t="str">
        <f t="shared" si="1419"/>
        <v/>
      </c>
      <c r="E4625" s="33" t="str">
        <f t="shared" si="1413"/>
        <v/>
      </c>
      <c r="F4625" s="23"/>
      <c r="G4625" s="23"/>
      <c r="H4625" s="29"/>
      <c r="I4625" s="204" t="str">
        <f t="shared" si="1416"/>
        <v/>
      </c>
      <c r="J4625" s="188"/>
      <c r="K4625" s="29"/>
      <c r="L4625" s="24"/>
      <c r="M4625" s="22"/>
      <c r="N4625" s="22"/>
      <c r="O4625" s="22"/>
      <c r="P4625" s="202" t="str">
        <f t="shared" si="1417"/>
        <v/>
      </c>
      <c r="Q4625" s="22"/>
      <c r="R4625" s="22"/>
      <c r="S4625" s="22"/>
      <c r="T4625" s="22"/>
      <c r="U4625" s="22"/>
      <c r="V4625" s="22"/>
      <c r="W4625" s="22"/>
      <c r="X4625" s="104"/>
      <c r="Y4625" s="195" t="str">
        <f t="shared" si="1414"/>
        <v/>
      </c>
      <c r="Z4625" s="196" t="str">
        <f t="shared" si="1415"/>
        <v/>
      </c>
      <c r="AA4625" s="22"/>
      <c r="AB4625" s="197" t="str">
        <f t="shared" si="1420"/>
        <v/>
      </c>
      <c r="AC4625" s="198" t="str">
        <f t="shared" si="1421"/>
        <v/>
      </c>
      <c r="AD4625" s="162"/>
      <c r="AE4625" s="199" t="str">
        <f t="shared" si="1422"/>
        <v/>
      </c>
      <c r="AF4625" s="199" t="str">
        <f>IF(AND(COUNTIFS($J$18:J4625,J4625)=1,AE4625=1),1,"")</f>
        <v/>
      </c>
      <c r="AG4625" s="199" t="str">
        <f>IF(C4625="","",IF(AND(COUNTIFS($J$18:J4625,J4625)=1,C4625&lt;&gt;""),1,""))</f>
        <v/>
      </c>
      <c r="AH4625" s="199" t="str">
        <f>IF(G4625="","",IF(AND(COUNTIFS($J$18:J4625,J4625)=1,G4625&lt;&gt;""),1,""))</f>
        <v/>
      </c>
      <c r="AI4625" s="200">
        <f t="shared" si="1423"/>
        <v>0</v>
      </c>
      <c r="AJ4625" s="200">
        <f t="shared" si="1424"/>
        <v>0</v>
      </c>
      <c r="AK4625" s="201" t="str">
        <f t="shared" si="1425"/>
        <v/>
      </c>
      <c r="AL4625" s="24"/>
      <c r="AM4625" s="24"/>
      <c r="AN4625" s="24"/>
      <c r="AO4625" s="24"/>
      <c r="AP4625" s="165" t="str">
        <f t="shared" si="1426"/>
        <v/>
      </c>
      <c r="AQ4625" s="203" t="str">
        <f t="shared" si="1427"/>
        <v/>
      </c>
      <c r="AR4625" s="206">
        <f t="shared" si="1428"/>
        <v>0</v>
      </c>
      <c r="AS4625" s="22" t="str">
        <f t="shared" si="1429"/>
        <v/>
      </c>
      <c r="AT4625" s="24" t="str">
        <f t="shared" si="1430"/>
        <v/>
      </c>
      <c r="AU4625" s="22" t="s">
        <v>3240</v>
      </c>
    </row>
    <row r="4626" spans="1:47">
      <c r="A4626" s="246" t="str">
        <f t="shared" si="1418"/>
        <v/>
      </c>
      <c r="B4626" s="23"/>
      <c r="C4626" s="23"/>
      <c r="D4626" s="202" t="str">
        <f t="shared" si="1419"/>
        <v/>
      </c>
      <c r="E4626" s="33" t="str">
        <f t="shared" si="1413"/>
        <v/>
      </c>
      <c r="F4626" s="23"/>
      <c r="G4626" s="23"/>
      <c r="H4626" s="29"/>
      <c r="I4626" s="204" t="str">
        <f t="shared" si="1416"/>
        <v/>
      </c>
      <c r="J4626" s="188"/>
      <c r="K4626" s="29"/>
      <c r="L4626" s="24"/>
      <c r="M4626" s="22"/>
      <c r="N4626" s="22"/>
      <c r="O4626" s="22"/>
      <c r="P4626" s="202" t="str">
        <f t="shared" si="1417"/>
        <v/>
      </c>
      <c r="Q4626" s="22"/>
      <c r="R4626" s="22"/>
      <c r="S4626" s="22"/>
      <c r="T4626" s="22"/>
      <c r="U4626" s="22"/>
      <c r="V4626" s="22"/>
      <c r="W4626" s="22"/>
      <c r="X4626" s="104"/>
      <c r="Y4626" s="195" t="str">
        <f t="shared" si="1414"/>
        <v/>
      </c>
      <c r="Z4626" s="196" t="str">
        <f t="shared" si="1415"/>
        <v/>
      </c>
      <c r="AA4626" s="22"/>
      <c r="AB4626" s="197" t="str">
        <f t="shared" si="1420"/>
        <v/>
      </c>
      <c r="AC4626" s="198" t="str">
        <f t="shared" si="1421"/>
        <v/>
      </c>
      <c r="AD4626" s="162"/>
      <c r="AE4626" s="199" t="str">
        <f t="shared" si="1422"/>
        <v/>
      </c>
      <c r="AF4626" s="199" t="str">
        <f>IF(AND(COUNTIFS($J$18:J4626,J4626)=1,AE4626=1),1,"")</f>
        <v/>
      </c>
      <c r="AG4626" s="199" t="str">
        <f>IF(C4626="","",IF(AND(COUNTIFS($J$18:J4626,J4626)=1,C4626&lt;&gt;""),1,""))</f>
        <v/>
      </c>
      <c r="AH4626" s="199" t="str">
        <f>IF(G4626="","",IF(AND(COUNTIFS($J$18:J4626,J4626)=1,G4626&lt;&gt;""),1,""))</f>
        <v/>
      </c>
      <c r="AI4626" s="200">
        <f t="shared" si="1423"/>
        <v>0</v>
      </c>
      <c r="AJ4626" s="200">
        <f t="shared" si="1424"/>
        <v>0</v>
      </c>
      <c r="AK4626" s="201" t="str">
        <f t="shared" si="1425"/>
        <v/>
      </c>
      <c r="AL4626" s="24"/>
      <c r="AM4626" s="24"/>
      <c r="AN4626" s="24"/>
      <c r="AO4626" s="24"/>
      <c r="AP4626" s="165" t="str">
        <f t="shared" si="1426"/>
        <v/>
      </c>
      <c r="AQ4626" s="203" t="str">
        <f t="shared" si="1427"/>
        <v/>
      </c>
      <c r="AR4626" s="206">
        <f t="shared" si="1428"/>
        <v>0</v>
      </c>
      <c r="AS4626" s="22" t="str">
        <f t="shared" si="1429"/>
        <v/>
      </c>
      <c r="AT4626" s="24" t="str">
        <f t="shared" si="1430"/>
        <v/>
      </c>
      <c r="AU4626" s="22" t="s">
        <v>3240</v>
      </c>
    </row>
    <row r="4627" spans="1:47">
      <c r="A4627" s="246" t="str">
        <f t="shared" si="1418"/>
        <v/>
      </c>
      <c r="B4627" s="23"/>
      <c r="C4627" s="23"/>
      <c r="D4627" s="202" t="str">
        <f t="shared" si="1419"/>
        <v/>
      </c>
      <c r="E4627" s="33" t="str">
        <f t="shared" si="1413"/>
        <v/>
      </c>
      <c r="F4627" s="23"/>
      <c r="G4627" s="23"/>
      <c r="H4627" s="29"/>
      <c r="I4627" s="204" t="str">
        <f t="shared" si="1416"/>
        <v/>
      </c>
      <c r="J4627" s="188"/>
      <c r="K4627" s="29"/>
      <c r="L4627" s="24"/>
      <c r="M4627" s="22"/>
      <c r="N4627" s="22"/>
      <c r="O4627" s="22"/>
      <c r="P4627" s="202" t="str">
        <f t="shared" si="1417"/>
        <v/>
      </c>
      <c r="Q4627" s="22"/>
      <c r="R4627" s="22"/>
      <c r="S4627" s="22"/>
      <c r="T4627" s="22"/>
      <c r="U4627" s="22"/>
      <c r="V4627" s="22"/>
      <c r="W4627" s="22"/>
      <c r="X4627" s="104"/>
      <c r="Y4627" s="195" t="str">
        <f t="shared" si="1414"/>
        <v/>
      </c>
      <c r="Z4627" s="196" t="str">
        <f t="shared" si="1415"/>
        <v/>
      </c>
      <c r="AA4627" s="22"/>
      <c r="AB4627" s="197" t="str">
        <f t="shared" si="1420"/>
        <v/>
      </c>
      <c r="AC4627" s="198" t="str">
        <f t="shared" si="1421"/>
        <v/>
      </c>
      <c r="AD4627" s="162"/>
      <c r="AE4627" s="199" t="str">
        <f t="shared" si="1422"/>
        <v/>
      </c>
      <c r="AF4627" s="199" t="str">
        <f>IF(AND(COUNTIFS($J$18:J4627,J4627)=1,AE4627=1),1,"")</f>
        <v/>
      </c>
      <c r="AG4627" s="199" t="str">
        <f>IF(C4627="","",IF(AND(COUNTIFS($J$18:J4627,J4627)=1,C4627&lt;&gt;""),1,""))</f>
        <v/>
      </c>
      <c r="AH4627" s="199" t="str">
        <f>IF(G4627="","",IF(AND(COUNTIFS($J$18:J4627,J4627)=1,G4627&lt;&gt;""),1,""))</f>
        <v/>
      </c>
      <c r="AI4627" s="200">
        <f t="shared" si="1423"/>
        <v>0</v>
      </c>
      <c r="AJ4627" s="200">
        <f t="shared" si="1424"/>
        <v>0</v>
      </c>
      <c r="AK4627" s="201" t="str">
        <f t="shared" si="1425"/>
        <v/>
      </c>
      <c r="AL4627" s="24"/>
      <c r="AM4627" s="24"/>
      <c r="AN4627" s="24"/>
      <c r="AO4627" s="24"/>
      <c r="AP4627" s="165" t="str">
        <f t="shared" si="1426"/>
        <v/>
      </c>
      <c r="AQ4627" s="203" t="str">
        <f t="shared" si="1427"/>
        <v/>
      </c>
      <c r="AR4627" s="206">
        <f t="shared" si="1428"/>
        <v>0</v>
      </c>
      <c r="AS4627" s="22" t="str">
        <f t="shared" si="1429"/>
        <v/>
      </c>
      <c r="AT4627" s="24" t="str">
        <f t="shared" si="1430"/>
        <v/>
      </c>
      <c r="AU4627" s="22" t="s">
        <v>3240</v>
      </c>
    </row>
    <row r="4628" spans="1:47">
      <c r="A4628" s="246" t="str">
        <f t="shared" si="1418"/>
        <v/>
      </c>
      <c r="B4628" s="23"/>
      <c r="C4628" s="23"/>
      <c r="D4628" s="202" t="str">
        <f t="shared" si="1419"/>
        <v/>
      </c>
      <c r="E4628" s="33" t="str">
        <f t="shared" si="1413"/>
        <v/>
      </c>
      <c r="F4628" s="23"/>
      <c r="G4628" s="23"/>
      <c r="H4628" s="29"/>
      <c r="I4628" s="204" t="str">
        <f t="shared" si="1416"/>
        <v/>
      </c>
      <c r="J4628" s="188"/>
      <c r="K4628" s="29"/>
      <c r="L4628" s="24"/>
      <c r="M4628" s="22"/>
      <c r="N4628" s="22"/>
      <c r="O4628" s="22"/>
      <c r="P4628" s="202" t="str">
        <f t="shared" si="1417"/>
        <v/>
      </c>
      <c r="Q4628" s="22"/>
      <c r="R4628" s="22"/>
      <c r="S4628" s="22"/>
      <c r="T4628" s="22"/>
      <c r="U4628" s="22"/>
      <c r="V4628" s="22"/>
      <c r="W4628" s="22"/>
      <c r="X4628" s="104"/>
      <c r="Y4628" s="195" t="str">
        <f t="shared" si="1414"/>
        <v/>
      </c>
      <c r="Z4628" s="196" t="str">
        <f t="shared" si="1415"/>
        <v/>
      </c>
      <c r="AA4628" s="22"/>
      <c r="AB4628" s="197" t="str">
        <f t="shared" si="1420"/>
        <v/>
      </c>
      <c r="AC4628" s="198" t="str">
        <f t="shared" si="1421"/>
        <v/>
      </c>
      <c r="AD4628" s="162"/>
      <c r="AE4628" s="199" t="str">
        <f t="shared" si="1422"/>
        <v/>
      </c>
      <c r="AF4628" s="199" t="str">
        <f>IF(AND(COUNTIFS($J$18:J4628,J4628)=1,AE4628=1),1,"")</f>
        <v/>
      </c>
      <c r="AG4628" s="199" t="str">
        <f>IF(C4628="","",IF(AND(COUNTIFS($J$18:J4628,J4628)=1,C4628&lt;&gt;""),1,""))</f>
        <v/>
      </c>
      <c r="AH4628" s="199" t="str">
        <f>IF(G4628="","",IF(AND(COUNTIFS($J$18:J4628,J4628)=1,G4628&lt;&gt;""),1,""))</f>
        <v/>
      </c>
      <c r="AI4628" s="200">
        <f t="shared" si="1423"/>
        <v>0</v>
      </c>
      <c r="AJ4628" s="200">
        <f t="shared" si="1424"/>
        <v>0</v>
      </c>
      <c r="AK4628" s="201" t="str">
        <f t="shared" si="1425"/>
        <v/>
      </c>
      <c r="AL4628" s="24"/>
      <c r="AM4628" s="24"/>
      <c r="AN4628" s="24"/>
      <c r="AO4628" s="24"/>
      <c r="AP4628" s="165" t="str">
        <f t="shared" si="1426"/>
        <v/>
      </c>
      <c r="AQ4628" s="203" t="str">
        <f t="shared" si="1427"/>
        <v/>
      </c>
      <c r="AR4628" s="206">
        <f t="shared" si="1428"/>
        <v>0</v>
      </c>
      <c r="AS4628" s="22" t="str">
        <f t="shared" si="1429"/>
        <v/>
      </c>
      <c r="AT4628" s="24" t="str">
        <f t="shared" si="1430"/>
        <v/>
      </c>
      <c r="AU4628" s="22" t="s">
        <v>3240</v>
      </c>
    </row>
    <row r="4629" spans="1:47">
      <c r="A4629" s="246" t="str">
        <f t="shared" si="1418"/>
        <v/>
      </c>
      <c r="B4629" s="23"/>
      <c r="C4629" s="23"/>
      <c r="D4629" s="202" t="str">
        <f t="shared" si="1419"/>
        <v/>
      </c>
      <c r="E4629" s="33" t="str">
        <f t="shared" si="1413"/>
        <v/>
      </c>
      <c r="F4629" s="23"/>
      <c r="G4629" s="23"/>
      <c r="H4629" s="29"/>
      <c r="I4629" s="204" t="str">
        <f t="shared" si="1416"/>
        <v/>
      </c>
      <c r="J4629" s="188"/>
      <c r="K4629" s="29"/>
      <c r="L4629" s="24"/>
      <c r="M4629" s="22"/>
      <c r="N4629" s="22"/>
      <c r="O4629" s="22"/>
      <c r="P4629" s="202" t="str">
        <f t="shared" si="1417"/>
        <v/>
      </c>
      <c r="Q4629" s="22"/>
      <c r="R4629" s="22"/>
      <c r="S4629" s="22"/>
      <c r="T4629" s="22"/>
      <c r="U4629" s="22"/>
      <c r="V4629" s="22"/>
      <c r="W4629" s="22"/>
      <c r="X4629" s="104"/>
      <c r="Y4629" s="195" t="str">
        <f t="shared" si="1414"/>
        <v/>
      </c>
      <c r="Z4629" s="196" t="str">
        <f t="shared" si="1415"/>
        <v/>
      </c>
      <c r="AA4629" s="22"/>
      <c r="AB4629" s="197" t="str">
        <f t="shared" si="1420"/>
        <v/>
      </c>
      <c r="AC4629" s="198" t="str">
        <f t="shared" si="1421"/>
        <v/>
      </c>
      <c r="AD4629" s="162"/>
      <c r="AE4629" s="199" t="str">
        <f t="shared" si="1422"/>
        <v/>
      </c>
      <c r="AF4629" s="199" t="str">
        <f>IF(AND(COUNTIFS($J$18:J4629,J4629)=1,AE4629=1),1,"")</f>
        <v/>
      </c>
      <c r="AG4629" s="199" t="str">
        <f>IF(C4629="","",IF(AND(COUNTIFS($J$18:J4629,J4629)=1,C4629&lt;&gt;""),1,""))</f>
        <v/>
      </c>
      <c r="AH4629" s="199" t="str">
        <f>IF(G4629="","",IF(AND(COUNTIFS($J$18:J4629,J4629)=1,G4629&lt;&gt;""),1,""))</f>
        <v/>
      </c>
      <c r="AI4629" s="200">
        <f t="shared" si="1423"/>
        <v>0</v>
      </c>
      <c r="AJ4629" s="200">
        <f t="shared" si="1424"/>
        <v>0</v>
      </c>
      <c r="AK4629" s="201" t="str">
        <f t="shared" si="1425"/>
        <v/>
      </c>
      <c r="AL4629" s="24"/>
      <c r="AM4629" s="24"/>
      <c r="AN4629" s="24"/>
      <c r="AO4629" s="24"/>
      <c r="AP4629" s="165" t="str">
        <f t="shared" si="1426"/>
        <v/>
      </c>
      <c r="AQ4629" s="203" t="str">
        <f t="shared" si="1427"/>
        <v/>
      </c>
      <c r="AR4629" s="206">
        <f t="shared" si="1428"/>
        <v>0</v>
      </c>
      <c r="AS4629" s="22" t="str">
        <f t="shared" si="1429"/>
        <v/>
      </c>
      <c r="AT4629" s="24" t="str">
        <f t="shared" si="1430"/>
        <v/>
      </c>
      <c r="AU4629" s="22" t="s">
        <v>3240</v>
      </c>
    </row>
    <row r="4630" spans="1:47">
      <c r="A4630" s="246" t="str">
        <f t="shared" si="1418"/>
        <v/>
      </c>
      <c r="B4630" s="23"/>
      <c r="C4630" s="23"/>
      <c r="D4630" s="202" t="str">
        <f t="shared" si="1419"/>
        <v/>
      </c>
      <c r="E4630" s="33" t="str">
        <f t="shared" si="1413"/>
        <v/>
      </c>
      <c r="F4630" s="23"/>
      <c r="G4630" s="23"/>
      <c r="H4630" s="29"/>
      <c r="I4630" s="204" t="str">
        <f t="shared" si="1416"/>
        <v/>
      </c>
      <c r="J4630" s="188"/>
      <c r="K4630" s="29"/>
      <c r="L4630" s="24"/>
      <c r="M4630" s="22"/>
      <c r="N4630" s="22"/>
      <c r="O4630" s="22"/>
      <c r="P4630" s="202" t="str">
        <f t="shared" si="1417"/>
        <v/>
      </c>
      <c r="Q4630" s="22"/>
      <c r="R4630" s="22"/>
      <c r="S4630" s="22"/>
      <c r="T4630" s="22"/>
      <c r="U4630" s="22"/>
      <c r="V4630" s="22"/>
      <c r="W4630" s="22"/>
      <c r="X4630" s="104"/>
      <c r="Y4630" s="195" t="str">
        <f t="shared" si="1414"/>
        <v/>
      </c>
      <c r="Z4630" s="196" t="str">
        <f t="shared" si="1415"/>
        <v/>
      </c>
      <c r="AA4630" s="22"/>
      <c r="AB4630" s="197" t="str">
        <f t="shared" si="1420"/>
        <v/>
      </c>
      <c r="AC4630" s="198" t="str">
        <f t="shared" si="1421"/>
        <v/>
      </c>
      <c r="AD4630" s="162"/>
      <c r="AE4630" s="199" t="str">
        <f t="shared" si="1422"/>
        <v/>
      </c>
      <c r="AF4630" s="199" t="str">
        <f>IF(AND(COUNTIFS($J$18:J4630,J4630)=1,AE4630=1),1,"")</f>
        <v/>
      </c>
      <c r="AG4630" s="199" t="str">
        <f>IF(C4630="","",IF(AND(COUNTIFS($J$18:J4630,J4630)=1,C4630&lt;&gt;""),1,""))</f>
        <v/>
      </c>
      <c r="AH4630" s="199" t="str">
        <f>IF(G4630="","",IF(AND(COUNTIFS($J$18:J4630,J4630)=1,G4630&lt;&gt;""),1,""))</f>
        <v/>
      </c>
      <c r="AI4630" s="200">
        <f t="shared" si="1423"/>
        <v>0</v>
      </c>
      <c r="AJ4630" s="200">
        <f t="shared" si="1424"/>
        <v>0</v>
      </c>
      <c r="AK4630" s="201" t="str">
        <f t="shared" si="1425"/>
        <v/>
      </c>
      <c r="AL4630" s="24"/>
      <c r="AM4630" s="24"/>
      <c r="AN4630" s="24"/>
      <c r="AO4630" s="24"/>
      <c r="AP4630" s="165" t="str">
        <f t="shared" si="1426"/>
        <v/>
      </c>
      <c r="AQ4630" s="203" t="str">
        <f t="shared" si="1427"/>
        <v/>
      </c>
      <c r="AR4630" s="206">
        <f t="shared" si="1428"/>
        <v>0</v>
      </c>
      <c r="AS4630" s="22" t="str">
        <f t="shared" si="1429"/>
        <v/>
      </c>
      <c r="AT4630" s="24" t="str">
        <f t="shared" si="1430"/>
        <v/>
      </c>
      <c r="AU4630" s="22" t="s">
        <v>3240</v>
      </c>
    </row>
    <row r="4631" spans="1:47">
      <c r="A4631" s="246" t="str">
        <f t="shared" si="1418"/>
        <v/>
      </c>
      <c r="B4631" s="23"/>
      <c r="C4631" s="23"/>
      <c r="D4631" s="202" t="str">
        <f t="shared" si="1419"/>
        <v/>
      </c>
      <c r="E4631" s="33" t="str">
        <f t="shared" si="1413"/>
        <v/>
      </c>
      <c r="F4631" s="23"/>
      <c r="G4631" s="23"/>
      <c r="H4631" s="29"/>
      <c r="I4631" s="204" t="str">
        <f t="shared" si="1416"/>
        <v/>
      </c>
      <c r="J4631" s="188"/>
      <c r="K4631" s="29"/>
      <c r="L4631" s="24"/>
      <c r="M4631" s="22"/>
      <c r="N4631" s="22"/>
      <c r="O4631" s="22"/>
      <c r="P4631" s="202" t="str">
        <f t="shared" si="1417"/>
        <v/>
      </c>
      <c r="Q4631" s="22"/>
      <c r="R4631" s="22"/>
      <c r="S4631" s="22"/>
      <c r="T4631" s="22"/>
      <c r="U4631" s="22"/>
      <c r="V4631" s="22"/>
      <c r="W4631" s="22"/>
      <c r="X4631" s="104"/>
      <c r="Y4631" s="195" t="str">
        <f t="shared" si="1414"/>
        <v/>
      </c>
      <c r="Z4631" s="196" t="str">
        <f t="shared" si="1415"/>
        <v/>
      </c>
      <c r="AA4631" s="22"/>
      <c r="AB4631" s="197" t="str">
        <f t="shared" si="1420"/>
        <v/>
      </c>
      <c r="AC4631" s="198" t="str">
        <f t="shared" si="1421"/>
        <v/>
      </c>
      <c r="AD4631" s="162"/>
      <c r="AE4631" s="199" t="str">
        <f t="shared" si="1422"/>
        <v/>
      </c>
      <c r="AF4631" s="199" t="str">
        <f>IF(AND(COUNTIFS($J$18:J4631,J4631)=1,AE4631=1),1,"")</f>
        <v/>
      </c>
      <c r="AG4631" s="199" t="str">
        <f>IF(C4631="","",IF(AND(COUNTIFS($J$18:J4631,J4631)=1,C4631&lt;&gt;""),1,""))</f>
        <v/>
      </c>
      <c r="AH4631" s="199" t="str">
        <f>IF(G4631="","",IF(AND(COUNTIFS($J$18:J4631,J4631)=1,G4631&lt;&gt;""),1,""))</f>
        <v/>
      </c>
      <c r="AI4631" s="200">
        <f t="shared" si="1423"/>
        <v>0</v>
      </c>
      <c r="AJ4631" s="200">
        <f t="shared" si="1424"/>
        <v>0</v>
      </c>
      <c r="AK4631" s="201" t="str">
        <f t="shared" si="1425"/>
        <v/>
      </c>
      <c r="AL4631" s="24"/>
      <c r="AM4631" s="24"/>
      <c r="AN4631" s="24"/>
      <c r="AO4631" s="24"/>
      <c r="AP4631" s="165" t="str">
        <f t="shared" si="1426"/>
        <v/>
      </c>
      <c r="AQ4631" s="203" t="str">
        <f t="shared" si="1427"/>
        <v/>
      </c>
      <c r="AR4631" s="206">
        <f t="shared" si="1428"/>
        <v>0</v>
      </c>
      <c r="AS4631" s="22" t="str">
        <f t="shared" si="1429"/>
        <v/>
      </c>
      <c r="AT4631" s="24" t="str">
        <f t="shared" si="1430"/>
        <v/>
      </c>
      <c r="AU4631" s="22" t="s">
        <v>3240</v>
      </c>
    </row>
    <row r="4632" spans="1:47">
      <c r="A4632" s="246" t="str">
        <f t="shared" si="1418"/>
        <v/>
      </c>
      <c r="B4632" s="23"/>
      <c r="C4632" s="23"/>
      <c r="D4632" s="202" t="str">
        <f t="shared" si="1419"/>
        <v/>
      </c>
      <c r="E4632" s="33" t="str">
        <f t="shared" ref="E4632:E4695" si="1431">IF(G4632="Cancel","Cancel",IF(G4632="TBA","TBA",IFERROR(IF(I4632="Q4","FY "&amp;RIGHT(F4632,2)-1&amp;"/"&amp;RIGHT(F4632,2),"FY "&amp;RIGHT(F4632,2)&amp;"/"&amp;RIGHT(F4632,2)+1),"")))</f>
        <v/>
      </c>
      <c r="F4632" s="23"/>
      <c r="G4632" s="23"/>
      <c r="H4632" s="29"/>
      <c r="I4632" s="204" t="str">
        <f t="shared" si="1416"/>
        <v/>
      </c>
      <c r="J4632" s="188"/>
      <c r="K4632" s="29"/>
      <c r="L4632" s="24"/>
      <c r="M4632" s="22"/>
      <c r="N4632" s="22"/>
      <c r="O4632" s="22"/>
      <c r="P4632" s="202" t="str">
        <f t="shared" si="1417"/>
        <v/>
      </c>
      <c r="Q4632" s="22"/>
      <c r="R4632" s="22"/>
      <c r="S4632" s="22"/>
      <c r="T4632" s="22"/>
      <c r="U4632" s="22"/>
      <c r="V4632" s="22"/>
      <c r="W4632" s="22"/>
      <c r="X4632" s="104"/>
      <c r="Y4632" s="195" t="str">
        <f t="shared" si="1414"/>
        <v/>
      </c>
      <c r="Z4632" s="196" t="str">
        <f t="shared" si="1415"/>
        <v/>
      </c>
      <c r="AA4632" s="22"/>
      <c r="AB4632" s="197" t="str">
        <f t="shared" si="1420"/>
        <v/>
      </c>
      <c r="AC4632" s="198" t="str">
        <f t="shared" si="1421"/>
        <v/>
      </c>
      <c r="AD4632" s="162"/>
      <c r="AE4632" s="199" t="str">
        <f t="shared" si="1422"/>
        <v/>
      </c>
      <c r="AF4632" s="199" t="str">
        <f>IF(AND(COUNTIFS($J$18:J4632,J4632)=1,AE4632=1),1,"")</f>
        <v/>
      </c>
      <c r="AG4632" s="199" t="str">
        <f>IF(C4632="","",IF(AND(COUNTIFS($J$18:J4632,J4632)=1,C4632&lt;&gt;""),1,""))</f>
        <v/>
      </c>
      <c r="AH4632" s="199" t="str">
        <f>IF(G4632="","",IF(AND(COUNTIFS($J$18:J4632,J4632)=1,G4632&lt;&gt;""),1,""))</f>
        <v/>
      </c>
      <c r="AI4632" s="200">
        <f t="shared" si="1423"/>
        <v>0</v>
      </c>
      <c r="AJ4632" s="200">
        <f t="shared" si="1424"/>
        <v>0</v>
      </c>
      <c r="AK4632" s="201" t="str">
        <f t="shared" si="1425"/>
        <v/>
      </c>
      <c r="AL4632" s="24"/>
      <c r="AM4632" s="24"/>
      <c r="AN4632" s="24"/>
      <c r="AO4632" s="24"/>
      <c r="AP4632" s="165" t="str">
        <f t="shared" si="1426"/>
        <v/>
      </c>
      <c r="AQ4632" s="203" t="str">
        <f t="shared" si="1427"/>
        <v/>
      </c>
      <c r="AR4632" s="206">
        <f t="shared" si="1428"/>
        <v>0</v>
      </c>
      <c r="AS4632" s="22" t="str">
        <f t="shared" si="1429"/>
        <v/>
      </c>
      <c r="AT4632" s="24" t="str">
        <f t="shared" si="1430"/>
        <v/>
      </c>
      <c r="AU4632" s="22" t="s">
        <v>3240</v>
      </c>
    </row>
    <row r="4633" spans="1:47">
      <c r="A4633" s="246" t="str">
        <f t="shared" si="1418"/>
        <v/>
      </c>
      <c r="B4633" s="23"/>
      <c r="C4633" s="23"/>
      <c r="D4633" s="202" t="str">
        <f t="shared" si="1419"/>
        <v/>
      </c>
      <c r="E4633" s="33" t="str">
        <f t="shared" si="1431"/>
        <v/>
      </c>
      <c r="F4633" s="23"/>
      <c r="G4633" s="23"/>
      <c r="H4633" s="29"/>
      <c r="I4633" s="204" t="str">
        <f t="shared" si="1416"/>
        <v/>
      </c>
      <c r="J4633" s="188"/>
      <c r="K4633" s="29"/>
      <c r="L4633" s="24"/>
      <c r="M4633" s="22"/>
      <c r="N4633" s="22"/>
      <c r="O4633" s="22"/>
      <c r="P4633" s="202" t="str">
        <f t="shared" si="1417"/>
        <v/>
      </c>
      <c r="Q4633" s="22"/>
      <c r="R4633" s="22"/>
      <c r="S4633" s="22"/>
      <c r="T4633" s="22"/>
      <c r="U4633" s="22"/>
      <c r="V4633" s="22"/>
      <c r="W4633" s="22"/>
      <c r="X4633" s="104"/>
      <c r="Y4633" s="195" t="str">
        <f t="shared" si="1414"/>
        <v/>
      </c>
      <c r="Z4633" s="196" t="str">
        <f t="shared" si="1415"/>
        <v/>
      </c>
      <c r="AA4633" s="22"/>
      <c r="AB4633" s="197" t="str">
        <f t="shared" si="1420"/>
        <v/>
      </c>
      <c r="AC4633" s="198" t="str">
        <f t="shared" si="1421"/>
        <v/>
      </c>
      <c r="AD4633" s="162"/>
      <c r="AE4633" s="199" t="str">
        <f t="shared" si="1422"/>
        <v/>
      </c>
      <c r="AF4633" s="199" t="str">
        <f>IF(AND(COUNTIFS($J$18:J4633,J4633)=1,AE4633=1),1,"")</f>
        <v/>
      </c>
      <c r="AG4633" s="199" t="str">
        <f>IF(C4633="","",IF(AND(COUNTIFS($J$18:J4633,J4633)=1,C4633&lt;&gt;""),1,""))</f>
        <v/>
      </c>
      <c r="AH4633" s="199" t="str">
        <f>IF(G4633="","",IF(AND(COUNTIFS($J$18:J4633,J4633)=1,G4633&lt;&gt;""),1,""))</f>
        <v/>
      </c>
      <c r="AI4633" s="200">
        <f t="shared" si="1423"/>
        <v>0</v>
      </c>
      <c r="AJ4633" s="200">
        <f t="shared" si="1424"/>
        <v>0</v>
      </c>
      <c r="AK4633" s="201" t="str">
        <f t="shared" si="1425"/>
        <v/>
      </c>
      <c r="AL4633" s="24"/>
      <c r="AM4633" s="24"/>
      <c r="AN4633" s="24"/>
      <c r="AO4633" s="24"/>
      <c r="AP4633" s="165" t="str">
        <f t="shared" si="1426"/>
        <v/>
      </c>
      <c r="AQ4633" s="203" t="str">
        <f t="shared" si="1427"/>
        <v/>
      </c>
      <c r="AR4633" s="206">
        <f t="shared" si="1428"/>
        <v>0</v>
      </c>
      <c r="AS4633" s="22" t="str">
        <f t="shared" si="1429"/>
        <v/>
      </c>
      <c r="AT4633" s="24" t="str">
        <f t="shared" si="1430"/>
        <v/>
      </c>
      <c r="AU4633" s="22" t="s">
        <v>3240</v>
      </c>
    </row>
    <row r="4634" spans="1:47">
      <c r="A4634" s="246" t="str">
        <f t="shared" si="1418"/>
        <v/>
      </c>
      <c r="B4634" s="23"/>
      <c r="C4634" s="23"/>
      <c r="D4634" s="202" t="str">
        <f t="shared" si="1419"/>
        <v/>
      </c>
      <c r="E4634" s="33" t="str">
        <f t="shared" si="1431"/>
        <v/>
      </c>
      <c r="F4634" s="23"/>
      <c r="G4634" s="23"/>
      <c r="H4634" s="29"/>
      <c r="I4634" s="204" t="str">
        <f t="shared" si="1416"/>
        <v/>
      </c>
      <c r="J4634" s="188"/>
      <c r="K4634" s="29"/>
      <c r="L4634" s="24"/>
      <c r="M4634" s="22"/>
      <c r="N4634" s="22"/>
      <c r="O4634" s="22"/>
      <c r="P4634" s="202" t="str">
        <f t="shared" si="1417"/>
        <v/>
      </c>
      <c r="Q4634" s="22"/>
      <c r="R4634" s="22"/>
      <c r="S4634" s="22"/>
      <c r="T4634" s="22"/>
      <c r="U4634" s="22"/>
      <c r="V4634" s="22"/>
      <c r="W4634" s="22"/>
      <c r="X4634" s="104"/>
      <c r="Y4634" s="195" t="str">
        <f t="shared" si="1414"/>
        <v/>
      </c>
      <c r="Z4634" s="196" t="str">
        <f t="shared" si="1415"/>
        <v/>
      </c>
      <c r="AA4634" s="22"/>
      <c r="AB4634" s="197" t="str">
        <f t="shared" si="1420"/>
        <v/>
      </c>
      <c r="AC4634" s="198" t="str">
        <f t="shared" si="1421"/>
        <v/>
      </c>
      <c r="AD4634" s="162"/>
      <c r="AE4634" s="199" t="str">
        <f t="shared" si="1422"/>
        <v/>
      </c>
      <c r="AF4634" s="199" t="str">
        <f>IF(AND(COUNTIFS($J$18:J4634,J4634)=1,AE4634=1),1,"")</f>
        <v/>
      </c>
      <c r="AG4634" s="199" t="str">
        <f>IF(C4634="","",IF(AND(COUNTIFS($J$18:J4634,J4634)=1,C4634&lt;&gt;""),1,""))</f>
        <v/>
      </c>
      <c r="AH4634" s="199" t="str">
        <f>IF(G4634="","",IF(AND(COUNTIFS($J$18:J4634,J4634)=1,G4634&lt;&gt;""),1,""))</f>
        <v/>
      </c>
      <c r="AI4634" s="200">
        <f t="shared" si="1423"/>
        <v>0</v>
      </c>
      <c r="AJ4634" s="200">
        <f t="shared" si="1424"/>
        <v>0</v>
      </c>
      <c r="AK4634" s="201" t="str">
        <f t="shared" si="1425"/>
        <v/>
      </c>
      <c r="AL4634" s="24"/>
      <c r="AM4634" s="24"/>
      <c r="AN4634" s="24"/>
      <c r="AO4634" s="24"/>
      <c r="AP4634" s="165" t="str">
        <f t="shared" si="1426"/>
        <v/>
      </c>
      <c r="AQ4634" s="203" t="str">
        <f t="shared" si="1427"/>
        <v/>
      </c>
      <c r="AR4634" s="206">
        <f t="shared" si="1428"/>
        <v>0</v>
      </c>
      <c r="AS4634" s="22" t="str">
        <f t="shared" si="1429"/>
        <v/>
      </c>
      <c r="AT4634" s="24" t="str">
        <f t="shared" si="1430"/>
        <v/>
      </c>
      <c r="AU4634" s="22" t="s">
        <v>3240</v>
      </c>
    </row>
    <row r="4635" spans="1:47">
      <c r="A4635" s="246" t="str">
        <f t="shared" si="1418"/>
        <v/>
      </c>
      <c r="B4635" s="23"/>
      <c r="C4635" s="23"/>
      <c r="D4635" s="202" t="str">
        <f t="shared" si="1419"/>
        <v/>
      </c>
      <c r="E4635" s="33" t="str">
        <f t="shared" si="1431"/>
        <v/>
      </c>
      <c r="F4635" s="23"/>
      <c r="G4635" s="23"/>
      <c r="H4635" s="29"/>
      <c r="I4635" s="204" t="str">
        <f t="shared" si="1416"/>
        <v/>
      </c>
      <c r="J4635" s="188"/>
      <c r="K4635" s="29"/>
      <c r="L4635" s="24"/>
      <c r="M4635" s="22"/>
      <c r="N4635" s="22"/>
      <c r="O4635" s="22"/>
      <c r="P4635" s="202" t="str">
        <f t="shared" si="1417"/>
        <v/>
      </c>
      <c r="Q4635" s="22"/>
      <c r="R4635" s="22"/>
      <c r="S4635" s="22"/>
      <c r="T4635" s="22"/>
      <c r="U4635" s="22"/>
      <c r="V4635" s="22"/>
      <c r="W4635" s="22"/>
      <c r="X4635" s="104"/>
      <c r="Y4635" s="195" t="str">
        <f t="shared" ref="Y4635:Y4698" si="1432">IF(W4635="","",IF(W4635="RMB","1.13", "1"))</f>
        <v/>
      </c>
      <c r="Z4635" s="196" t="str">
        <f t="shared" ref="Z4635:Z4698" si="1433">IF(X4635="","",X4635*MAX(O4635,N4635))</f>
        <v/>
      </c>
      <c r="AA4635" s="22"/>
      <c r="AB4635" s="197" t="str">
        <f t="shared" si="1420"/>
        <v/>
      </c>
      <c r="AC4635" s="198" t="str">
        <f t="shared" si="1421"/>
        <v/>
      </c>
      <c r="AD4635" s="162"/>
      <c r="AE4635" s="199" t="str">
        <f t="shared" si="1422"/>
        <v/>
      </c>
      <c r="AF4635" s="199" t="str">
        <f>IF(AND(COUNTIFS($J$18:J4635,J4635)=1,AE4635=1),1,"")</f>
        <v/>
      </c>
      <c r="AG4635" s="199" t="str">
        <f>IF(C4635="","",IF(AND(COUNTIFS($J$18:J4635,J4635)=1,C4635&lt;&gt;""),1,""))</f>
        <v/>
      </c>
      <c r="AH4635" s="199" t="str">
        <f>IF(G4635="","",IF(AND(COUNTIFS($J$18:J4635,J4635)=1,G4635&lt;&gt;""),1,""))</f>
        <v/>
      </c>
      <c r="AI4635" s="200">
        <f t="shared" si="1423"/>
        <v>0</v>
      </c>
      <c r="AJ4635" s="200">
        <f t="shared" si="1424"/>
        <v>0</v>
      </c>
      <c r="AK4635" s="201" t="str">
        <f t="shared" si="1425"/>
        <v/>
      </c>
      <c r="AL4635" s="24"/>
      <c r="AM4635" s="24"/>
      <c r="AN4635" s="24"/>
      <c r="AO4635" s="24"/>
      <c r="AP4635" s="165" t="str">
        <f t="shared" si="1426"/>
        <v/>
      </c>
      <c r="AQ4635" s="203" t="str">
        <f t="shared" si="1427"/>
        <v/>
      </c>
      <c r="AR4635" s="206">
        <f t="shared" si="1428"/>
        <v>0</v>
      </c>
      <c r="AS4635" s="22" t="str">
        <f t="shared" si="1429"/>
        <v/>
      </c>
      <c r="AT4635" s="24" t="str">
        <f t="shared" si="1430"/>
        <v/>
      </c>
      <c r="AU4635" s="22" t="s">
        <v>3240</v>
      </c>
    </row>
    <row r="4636" spans="1:47">
      <c r="A4636" s="246" t="str">
        <f t="shared" si="1418"/>
        <v/>
      </c>
      <c r="B4636" s="23"/>
      <c r="C4636" s="23"/>
      <c r="D4636" s="202" t="str">
        <f t="shared" si="1419"/>
        <v/>
      </c>
      <c r="E4636" s="33" t="str">
        <f t="shared" si="1431"/>
        <v/>
      </c>
      <c r="F4636" s="23"/>
      <c r="G4636" s="23"/>
      <c r="H4636" s="29"/>
      <c r="I4636" s="204" t="str">
        <f t="shared" si="1416"/>
        <v/>
      </c>
      <c r="J4636" s="188"/>
      <c r="K4636" s="29"/>
      <c r="L4636" s="24"/>
      <c r="M4636" s="22"/>
      <c r="N4636" s="22"/>
      <c r="O4636" s="22"/>
      <c r="P4636" s="202" t="str">
        <f t="shared" si="1417"/>
        <v/>
      </c>
      <c r="Q4636" s="22"/>
      <c r="R4636" s="22"/>
      <c r="S4636" s="22"/>
      <c r="T4636" s="22"/>
      <c r="U4636" s="22"/>
      <c r="V4636" s="22"/>
      <c r="W4636" s="22"/>
      <c r="X4636" s="104"/>
      <c r="Y4636" s="195" t="str">
        <f t="shared" si="1432"/>
        <v/>
      </c>
      <c r="Z4636" s="196" t="str">
        <f t="shared" si="1433"/>
        <v/>
      </c>
      <c r="AA4636" s="22"/>
      <c r="AB4636" s="197" t="str">
        <f t="shared" si="1420"/>
        <v/>
      </c>
      <c r="AC4636" s="198" t="str">
        <f t="shared" si="1421"/>
        <v/>
      </c>
      <c r="AD4636" s="162"/>
      <c r="AE4636" s="199" t="str">
        <f t="shared" si="1422"/>
        <v/>
      </c>
      <c r="AF4636" s="199" t="str">
        <f>IF(AND(COUNTIFS($J$18:J4636,J4636)=1,AE4636=1),1,"")</f>
        <v/>
      </c>
      <c r="AG4636" s="199" t="str">
        <f>IF(C4636="","",IF(AND(COUNTIFS($J$18:J4636,J4636)=1,C4636&lt;&gt;""),1,""))</f>
        <v/>
      </c>
      <c r="AH4636" s="199" t="str">
        <f>IF(G4636="","",IF(AND(COUNTIFS($J$18:J4636,J4636)=1,G4636&lt;&gt;""),1,""))</f>
        <v/>
      </c>
      <c r="AI4636" s="200">
        <f t="shared" si="1423"/>
        <v>0</v>
      </c>
      <c r="AJ4636" s="200">
        <f t="shared" si="1424"/>
        <v>0</v>
      </c>
      <c r="AK4636" s="201" t="str">
        <f t="shared" si="1425"/>
        <v/>
      </c>
      <c r="AL4636" s="24"/>
      <c r="AM4636" s="24"/>
      <c r="AN4636" s="24"/>
      <c r="AO4636" s="24"/>
      <c r="AP4636" s="165" t="str">
        <f t="shared" si="1426"/>
        <v/>
      </c>
      <c r="AQ4636" s="203" t="str">
        <f t="shared" si="1427"/>
        <v/>
      </c>
      <c r="AR4636" s="206">
        <f t="shared" si="1428"/>
        <v>0</v>
      </c>
      <c r="AS4636" s="22" t="str">
        <f t="shared" si="1429"/>
        <v/>
      </c>
      <c r="AT4636" s="24" t="str">
        <f t="shared" si="1430"/>
        <v/>
      </c>
      <c r="AU4636" s="22" t="s">
        <v>3240</v>
      </c>
    </row>
    <row r="4637" spans="1:47">
      <c r="A4637" s="246" t="str">
        <f t="shared" si="1418"/>
        <v/>
      </c>
      <c r="B4637" s="23"/>
      <c r="C4637" s="23"/>
      <c r="D4637" s="202" t="str">
        <f t="shared" si="1419"/>
        <v/>
      </c>
      <c r="E4637" s="33" t="str">
        <f t="shared" si="1431"/>
        <v/>
      </c>
      <c r="F4637" s="23"/>
      <c r="G4637" s="23"/>
      <c r="H4637" s="29"/>
      <c r="I4637" s="204" t="str">
        <f t="shared" si="1416"/>
        <v/>
      </c>
      <c r="J4637" s="188"/>
      <c r="K4637" s="29"/>
      <c r="L4637" s="24"/>
      <c r="M4637" s="22"/>
      <c r="N4637" s="22"/>
      <c r="O4637" s="22"/>
      <c r="P4637" s="202" t="str">
        <f t="shared" si="1417"/>
        <v/>
      </c>
      <c r="Q4637" s="22"/>
      <c r="R4637" s="22"/>
      <c r="S4637" s="22"/>
      <c r="T4637" s="22"/>
      <c r="U4637" s="22"/>
      <c r="V4637" s="22"/>
      <c r="W4637" s="22"/>
      <c r="X4637" s="104"/>
      <c r="Y4637" s="195" t="str">
        <f t="shared" si="1432"/>
        <v/>
      </c>
      <c r="Z4637" s="196" t="str">
        <f t="shared" si="1433"/>
        <v/>
      </c>
      <c r="AA4637" s="22"/>
      <c r="AB4637" s="197" t="str">
        <f t="shared" si="1420"/>
        <v/>
      </c>
      <c r="AC4637" s="198" t="str">
        <f t="shared" si="1421"/>
        <v/>
      </c>
      <c r="AD4637" s="162"/>
      <c r="AE4637" s="199" t="str">
        <f t="shared" si="1422"/>
        <v/>
      </c>
      <c r="AF4637" s="199" t="str">
        <f>IF(AND(COUNTIFS($J$18:J4637,J4637)=1,AE4637=1),1,"")</f>
        <v/>
      </c>
      <c r="AG4637" s="199" t="str">
        <f>IF(C4637="","",IF(AND(COUNTIFS($J$18:J4637,J4637)=1,C4637&lt;&gt;""),1,""))</f>
        <v/>
      </c>
      <c r="AH4637" s="199" t="str">
        <f>IF(G4637="","",IF(AND(COUNTIFS($J$18:J4637,J4637)=1,G4637&lt;&gt;""),1,""))</f>
        <v/>
      </c>
      <c r="AI4637" s="200">
        <f t="shared" si="1423"/>
        <v>0</v>
      </c>
      <c r="AJ4637" s="200">
        <f t="shared" si="1424"/>
        <v>0</v>
      </c>
      <c r="AK4637" s="201" t="str">
        <f t="shared" si="1425"/>
        <v/>
      </c>
      <c r="AL4637" s="24"/>
      <c r="AM4637" s="24"/>
      <c r="AN4637" s="24"/>
      <c r="AO4637" s="24"/>
      <c r="AP4637" s="165" t="str">
        <f t="shared" si="1426"/>
        <v/>
      </c>
      <c r="AQ4637" s="203" t="str">
        <f t="shared" si="1427"/>
        <v/>
      </c>
      <c r="AR4637" s="206">
        <f t="shared" si="1428"/>
        <v>0</v>
      </c>
      <c r="AS4637" s="22" t="str">
        <f t="shared" si="1429"/>
        <v/>
      </c>
      <c r="AT4637" s="24" t="str">
        <f t="shared" si="1430"/>
        <v/>
      </c>
      <c r="AU4637" s="22" t="s">
        <v>3240</v>
      </c>
    </row>
    <row r="4638" spans="1:47">
      <c r="A4638" s="246" t="str">
        <f t="shared" si="1418"/>
        <v/>
      </c>
      <c r="B4638" s="23"/>
      <c r="C4638" s="23"/>
      <c r="D4638" s="202" t="str">
        <f t="shared" si="1419"/>
        <v/>
      </c>
      <c r="E4638" s="33" t="str">
        <f t="shared" si="1431"/>
        <v/>
      </c>
      <c r="F4638" s="23"/>
      <c r="G4638" s="23"/>
      <c r="H4638" s="29"/>
      <c r="I4638" s="204" t="str">
        <f t="shared" si="1416"/>
        <v/>
      </c>
      <c r="J4638" s="188"/>
      <c r="K4638" s="29"/>
      <c r="L4638" s="24"/>
      <c r="M4638" s="22"/>
      <c r="N4638" s="22"/>
      <c r="O4638" s="22"/>
      <c r="P4638" s="202" t="str">
        <f t="shared" si="1417"/>
        <v/>
      </c>
      <c r="Q4638" s="22"/>
      <c r="R4638" s="22"/>
      <c r="S4638" s="22"/>
      <c r="T4638" s="22"/>
      <c r="U4638" s="22"/>
      <c r="V4638" s="22"/>
      <c r="W4638" s="22"/>
      <c r="X4638" s="104"/>
      <c r="Y4638" s="195" t="str">
        <f t="shared" si="1432"/>
        <v/>
      </c>
      <c r="Z4638" s="196" t="str">
        <f t="shared" si="1433"/>
        <v/>
      </c>
      <c r="AA4638" s="22"/>
      <c r="AB4638" s="197" t="str">
        <f t="shared" si="1420"/>
        <v/>
      </c>
      <c r="AC4638" s="198" t="str">
        <f t="shared" si="1421"/>
        <v/>
      </c>
      <c r="AD4638" s="162"/>
      <c r="AE4638" s="199" t="str">
        <f t="shared" si="1422"/>
        <v/>
      </c>
      <c r="AF4638" s="199" t="str">
        <f>IF(AND(COUNTIFS($J$18:J4638,J4638)=1,AE4638=1),1,"")</f>
        <v/>
      </c>
      <c r="AG4638" s="199" t="str">
        <f>IF(C4638="","",IF(AND(COUNTIFS($J$18:J4638,J4638)=1,C4638&lt;&gt;""),1,""))</f>
        <v/>
      </c>
      <c r="AH4638" s="199" t="str">
        <f>IF(G4638="","",IF(AND(COUNTIFS($J$18:J4638,J4638)=1,G4638&lt;&gt;""),1,""))</f>
        <v/>
      </c>
      <c r="AI4638" s="200">
        <f t="shared" si="1423"/>
        <v>0</v>
      </c>
      <c r="AJ4638" s="200">
        <f t="shared" si="1424"/>
        <v>0</v>
      </c>
      <c r="AK4638" s="201" t="str">
        <f t="shared" si="1425"/>
        <v/>
      </c>
      <c r="AL4638" s="24"/>
      <c r="AM4638" s="24"/>
      <c r="AN4638" s="24"/>
      <c r="AO4638" s="24"/>
      <c r="AP4638" s="165" t="str">
        <f t="shared" si="1426"/>
        <v/>
      </c>
      <c r="AQ4638" s="203" t="str">
        <f t="shared" si="1427"/>
        <v/>
      </c>
      <c r="AR4638" s="206">
        <f t="shared" si="1428"/>
        <v>0</v>
      </c>
      <c r="AS4638" s="22" t="str">
        <f t="shared" si="1429"/>
        <v/>
      </c>
      <c r="AT4638" s="24" t="str">
        <f t="shared" si="1430"/>
        <v/>
      </c>
      <c r="AU4638" s="22" t="s">
        <v>3240</v>
      </c>
    </row>
    <row r="4639" spans="1:47">
      <c r="A4639" s="246" t="str">
        <f t="shared" si="1418"/>
        <v/>
      </c>
      <c r="B4639" s="23"/>
      <c r="C4639" s="23"/>
      <c r="D4639" s="202" t="str">
        <f t="shared" si="1419"/>
        <v/>
      </c>
      <c r="E4639" s="33" t="str">
        <f t="shared" si="1431"/>
        <v/>
      </c>
      <c r="F4639" s="23"/>
      <c r="G4639" s="23"/>
      <c r="H4639" s="29"/>
      <c r="I4639" s="204" t="str">
        <f t="shared" si="1416"/>
        <v/>
      </c>
      <c r="J4639" s="188"/>
      <c r="K4639" s="29"/>
      <c r="L4639" s="24"/>
      <c r="M4639" s="22"/>
      <c r="N4639" s="22"/>
      <c r="O4639" s="22"/>
      <c r="P4639" s="202" t="str">
        <f t="shared" si="1417"/>
        <v/>
      </c>
      <c r="Q4639" s="22"/>
      <c r="R4639" s="22"/>
      <c r="S4639" s="22"/>
      <c r="T4639" s="22"/>
      <c r="U4639" s="22"/>
      <c r="V4639" s="22"/>
      <c r="W4639" s="22"/>
      <c r="X4639" s="104"/>
      <c r="Y4639" s="195" t="str">
        <f t="shared" si="1432"/>
        <v/>
      </c>
      <c r="Z4639" s="196" t="str">
        <f t="shared" si="1433"/>
        <v/>
      </c>
      <c r="AA4639" s="22"/>
      <c r="AB4639" s="197" t="str">
        <f t="shared" si="1420"/>
        <v/>
      </c>
      <c r="AC4639" s="198" t="str">
        <f t="shared" si="1421"/>
        <v/>
      </c>
      <c r="AD4639" s="162"/>
      <c r="AE4639" s="199" t="str">
        <f t="shared" si="1422"/>
        <v/>
      </c>
      <c r="AF4639" s="199" t="str">
        <f>IF(AND(COUNTIFS($J$18:J4639,J4639)=1,AE4639=1),1,"")</f>
        <v/>
      </c>
      <c r="AG4639" s="199" t="str">
        <f>IF(C4639="","",IF(AND(COUNTIFS($J$18:J4639,J4639)=1,C4639&lt;&gt;""),1,""))</f>
        <v/>
      </c>
      <c r="AH4639" s="199" t="str">
        <f>IF(G4639="","",IF(AND(COUNTIFS($J$18:J4639,J4639)=1,G4639&lt;&gt;""),1,""))</f>
        <v/>
      </c>
      <c r="AI4639" s="200">
        <f t="shared" si="1423"/>
        <v>0</v>
      </c>
      <c r="AJ4639" s="200">
        <f t="shared" si="1424"/>
        <v>0</v>
      </c>
      <c r="AK4639" s="201" t="str">
        <f t="shared" si="1425"/>
        <v/>
      </c>
      <c r="AL4639" s="24"/>
      <c r="AM4639" s="24"/>
      <c r="AN4639" s="24"/>
      <c r="AO4639" s="24"/>
      <c r="AP4639" s="165" t="str">
        <f t="shared" si="1426"/>
        <v/>
      </c>
      <c r="AQ4639" s="203" t="str">
        <f t="shared" si="1427"/>
        <v/>
      </c>
      <c r="AR4639" s="206">
        <f t="shared" si="1428"/>
        <v>0</v>
      </c>
      <c r="AS4639" s="22" t="str">
        <f t="shared" si="1429"/>
        <v/>
      </c>
      <c r="AT4639" s="24" t="str">
        <f t="shared" si="1430"/>
        <v/>
      </c>
      <c r="AU4639" s="22" t="s">
        <v>3240</v>
      </c>
    </row>
    <row r="4640" spans="1:47">
      <c r="A4640" s="246" t="str">
        <f t="shared" si="1418"/>
        <v/>
      </c>
      <c r="B4640" s="23"/>
      <c r="C4640" s="23"/>
      <c r="D4640" s="202" t="str">
        <f t="shared" si="1419"/>
        <v/>
      </c>
      <c r="E4640" s="33" t="str">
        <f t="shared" si="1431"/>
        <v/>
      </c>
      <c r="F4640" s="23"/>
      <c r="G4640" s="23"/>
      <c r="H4640" s="29"/>
      <c r="I4640" s="204" t="str">
        <f t="shared" ref="I4640:I4703" si="1434">IFERROR(IF(F4640="","",IF(F4640="TBA","TBA",IF(F4640="Cancel","Cancel",IF(AND(G4640&gt;=10,G4640&lt;=12),"Q3",IF(AND(G4640&gt;=1,G4640&lt;=3),"Q4",IF(AND(G4640&gt;=7,G4640&lt;=9),"Q2",IF(AND(G4640&gt;=4,G4640&lt;=6),"Q1"))))))),"")</f>
        <v/>
      </c>
      <c r="J4640" s="188"/>
      <c r="K4640" s="29"/>
      <c r="L4640" s="24"/>
      <c r="M4640" s="22"/>
      <c r="N4640" s="22"/>
      <c r="O4640" s="22"/>
      <c r="P4640" s="202" t="str">
        <f t="shared" si="1417"/>
        <v/>
      </c>
      <c r="Q4640" s="22"/>
      <c r="R4640" s="22"/>
      <c r="S4640" s="22"/>
      <c r="T4640" s="22"/>
      <c r="U4640" s="22"/>
      <c r="V4640" s="22"/>
      <c r="W4640" s="22"/>
      <c r="X4640" s="104"/>
      <c r="Y4640" s="195" t="str">
        <f t="shared" si="1432"/>
        <v/>
      </c>
      <c r="Z4640" s="196" t="str">
        <f t="shared" si="1433"/>
        <v/>
      </c>
      <c r="AA4640" s="22"/>
      <c r="AB4640" s="197" t="str">
        <f t="shared" si="1420"/>
        <v/>
      </c>
      <c r="AC4640" s="198" t="str">
        <f t="shared" si="1421"/>
        <v/>
      </c>
      <c r="AD4640" s="162"/>
      <c r="AE4640" s="199" t="str">
        <f t="shared" si="1422"/>
        <v/>
      </c>
      <c r="AF4640" s="199" t="str">
        <f>IF(AND(COUNTIFS($J$18:J4640,J4640)=1,AE4640=1),1,"")</f>
        <v/>
      </c>
      <c r="AG4640" s="199" t="str">
        <f>IF(C4640="","",IF(AND(COUNTIFS($J$18:J4640,J4640)=1,C4640&lt;&gt;""),1,""))</f>
        <v/>
      </c>
      <c r="AH4640" s="199" t="str">
        <f>IF(G4640="","",IF(AND(COUNTIFS($J$18:J4640,J4640)=1,G4640&lt;&gt;""),1,""))</f>
        <v/>
      </c>
      <c r="AI4640" s="200">
        <f t="shared" si="1423"/>
        <v>0</v>
      </c>
      <c r="AJ4640" s="200">
        <f t="shared" si="1424"/>
        <v>0</v>
      </c>
      <c r="AK4640" s="201" t="str">
        <f t="shared" si="1425"/>
        <v/>
      </c>
      <c r="AL4640" s="24"/>
      <c r="AM4640" s="24"/>
      <c r="AN4640" s="24"/>
      <c r="AO4640" s="24"/>
      <c r="AP4640" s="165" t="str">
        <f t="shared" si="1426"/>
        <v/>
      </c>
      <c r="AQ4640" s="203" t="str">
        <f t="shared" si="1427"/>
        <v/>
      </c>
      <c r="AR4640" s="206">
        <f t="shared" si="1428"/>
        <v>0</v>
      </c>
      <c r="AS4640" s="22" t="str">
        <f t="shared" si="1429"/>
        <v/>
      </c>
      <c r="AT4640" s="24" t="str">
        <f t="shared" si="1430"/>
        <v/>
      </c>
      <c r="AU4640" s="22" t="s">
        <v>3240</v>
      </c>
    </row>
    <row r="4641" spans="1:47">
      <c r="A4641" s="246" t="str">
        <f t="shared" si="1418"/>
        <v/>
      </c>
      <c r="B4641" s="23"/>
      <c r="C4641" s="23"/>
      <c r="D4641" s="202" t="str">
        <f t="shared" si="1419"/>
        <v/>
      </c>
      <c r="E4641" s="33" t="str">
        <f t="shared" si="1431"/>
        <v/>
      </c>
      <c r="F4641" s="23"/>
      <c r="G4641" s="23"/>
      <c r="H4641" s="29"/>
      <c r="I4641" s="204" t="str">
        <f t="shared" si="1434"/>
        <v/>
      </c>
      <c r="J4641" s="188"/>
      <c r="K4641" s="29"/>
      <c r="L4641" s="24"/>
      <c r="M4641" s="22"/>
      <c r="N4641" s="22"/>
      <c r="O4641" s="22"/>
      <c r="P4641" s="202" t="str">
        <f t="shared" ref="P4641:P4704" si="1435">IF(M4641="","",IF(AND(N4641&gt;0,L4641&lt;&gt;""),"MAIN UNIT",IF(AND(O4641&gt;0,L4641&lt;&gt;""),"SERVICE/ PARTS","C66 SERVICE/OTHERS")))</f>
        <v/>
      </c>
      <c r="Q4641" s="22"/>
      <c r="R4641" s="22"/>
      <c r="S4641" s="22"/>
      <c r="T4641" s="22"/>
      <c r="U4641" s="22"/>
      <c r="V4641" s="22"/>
      <c r="W4641" s="22"/>
      <c r="X4641" s="104"/>
      <c r="Y4641" s="195" t="str">
        <f t="shared" si="1432"/>
        <v/>
      </c>
      <c r="Z4641" s="196" t="str">
        <f t="shared" si="1433"/>
        <v/>
      </c>
      <c r="AA4641" s="22"/>
      <c r="AB4641" s="197" t="str">
        <f t="shared" si="1420"/>
        <v/>
      </c>
      <c r="AC4641" s="198" t="str">
        <f t="shared" si="1421"/>
        <v/>
      </c>
      <c r="AD4641" s="162"/>
      <c r="AE4641" s="199" t="str">
        <f t="shared" si="1422"/>
        <v/>
      </c>
      <c r="AF4641" s="199" t="str">
        <f>IF(AND(COUNTIFS($J$18:J4641,J4641)=1,AE4641=1),1,"")</f>
        <v/>
      </c>
      <c r="AG4641" s="199" t="str">
        <f>IF(C4641="","",IF(AND(COUNTIFS($J$18:J4641,J4641)=1,C4641&lt;&gt;""),1,""))</f>
        <v/>
      </c>
      <c r="AH4641" s="199" t="str">
        <f>IF(G4641="","",IF(AND(COUNTIFS($J$18:J4641,J4641)=1,G4641&lt;&gt;""),1,""))</f>
        <v/>
      </c>
      <c r="AI4641" s="200">
        <f t="shared" si="1423"/>
        <v>0</v>
      </c>
      <c r="AJ4641" s="200">
        <f t="shared" si="1424"/>
        <v>0</v>
      </c>
      <c r="AK4641" s="201" t="str">
        <f t="shared" si="1425"/>
        <v/>
      </c>
      <c r="AL4641" s="24"/>
      <c r="AM4641" s="24"/>
      <c r="AN4641" s="24"/>
      <c r="AO4641" s="24"/>
      <c r="AP4641" s="165" t="str">
        <f t="shared" si="1426"/>
        <v/>
      </c>
      <c r="AQ4641" s="203" t="str">
        <f t="shared" si="1427"/>
        <v/>
      </c>
      <c r="AR4641" s="206">
        <f t="shared" si="1428"/>
        <v>0</v>
      </c>
      <c r="AS4641" s="22" t="str">
        <f t="shared" si="1429"/>
        <v/>
      </c>
      <c r="AT4641" s="24" t="str">
        <f t="shared" si="1430"/>
        <v/>
      </c>
      <c r="AU4641" s="22" t="s">
        <v>3240</v>
      </c>
    </row>
    <row r="4642" spans="1:47">
      <c r="A4642" s="246" t="str">
        <f t="shared" ref="A4642:A4705" si="1436">IF(C4642="cancel","cancel",IFERROR(IF(D4642="Q4","FY "&amp;RIGHT(B4642,2)-1&amp;"/"&amp;RIGHT(B4642,2),"FY "&amp;RIGHT(B4642,2)&amp;"/"&amp;RIGHT(B4642,2)+1),""))</f>
        <v/>
      </c>
      <c r="B4642" s="23"/>
      <c r="C4642" s="23"/>
      <c r="D4642" s="202" t="str">
        <f t="shared" ref="D4642:D4705" si="1437">IF(B4642="","",IF(AND(C4642&gt;=10,C4642&lt;=12),"Q3",IF(AND(C4642&gt;=1,C4642&lt;=3),"Q4",IF(AND(C4642&gt;=7,C4642&lt;=9),"Q2",IF(AND(C4642&gt;=4,C4642&lt;=6),"Q1")))))</f>
        <v/>
      </c>
      <c r="E4642" s="33" t="str">
        <f t="shared" si="1431"/>
        <v/>
      </c>
      <c r="F4642" s="23"/>
      <c r="G4642" s="23"/>
      <c r="H4642" s="29"/>
      <c r="I4642" s="204" t="str">
        <f t="shared" si="1434"/>
        <v/>
      </c>
      <c r="J4642" s="188"/>
      <c r="K4642" s="29"/>
      <c r="L4642" s="24"/>
      <c r="M4642" s="22"/>
      <c r="N4642" s="22"/>
      <c r="O4642" s="22"/>
      <c r="P4642" s="202" t="str">
        <f t="shared" si="1435"/>
        <v/>
      </c>
      <c r="Q4642" s="22"/>
      <c r="R4642" s="22"/>
      <c r="S4642" s="22"/>
      <c r="T4642" s="22"/>
      <c r="U4642" s="22"/>
      <c r="V4642" s="22"/>
      <c r="W4642" s="22"/>
      <c r="X4642" s="104"/>
      <c r="Y4642" s="195" t="str">
        <f t="shared" si="1432"/>
        <v/>
      </c>
      <c r="Z4642" s="196" t="str">
        <f t="shared" si="1433"/>
        <v/>
      </c>
      <c r="AA4642" s="22"/>
      <c r="AB4642" s="197" t="str">
        <f t="shared" ref="AB4642:AB4705" si="1438">IF(AND(R4642&lt;&gt;"C66",R4642&lt;&gt;""),Z4642/Y4642*AA4642,"")</f>
        <v/>
      </c>
      <c r="AC4642" s="198" t="str">
        <f t="shared" ref="AC4642:AC4705" si="1439">IF(R4642&lt;&gt;"",AB4642*AD4642,"")</f>
        <v/>
      </c>
      <c r="AD4642" s="162"/>
      <c r="AE4642" s="199" t="str">
        <f t="shared" ref="AE4642:AE4705" si="1440">IF(Q4642="","",IF(Q4642="Yes",1,0))</f>
        <v/>
      </c>
      <c r="AF4642" s="199" t="str">
        <f>IF(AND(COUNTIFS($J$18:J4642,J4642)=1,AE4642=1),1,"")</f>
        <v/>
      </c>
      <c r="AG4642" s="199" t="str">
        <f>IF(C4642="","",IF(AND(COUNTIFS($J$18:J4642,J4642)=1,C4642&lt;&gt;""),1,""))</f>
        <v/>
      </c>
      <c r="AH4642" s="199" t="str">
        <f>IF(G4642="","",IF(AND(COUNTIFS($J$18:J4642,J4642)=1,G4642&lt;&gt;""),1,""))</f>
        <v/>
      </c>
      <c r="AI4642" s="200">
        <f t="shared" ref="AI4642:AI4705" si="1441">IF(P4642="C66 SERVICE","",SUMIFS(AB:AB,F:F,F4642,G:G,G4642,E:E,E4642))</f>
        <v>0</v>
      </c>
      <c r="AJ4642" s="200">
        <f t="shared" ref="AJ4642:AJ4705" si="1442">IF(P4642="C66 SERVICE","",SUMIFS(AC:AC,F:F,F4642,G:G,G4642,E:E,E4642))</f>
        <v>0</v>
      </c>
      <c r="AK4642" s="201" t="str">
        <f t="shared" ref="AK4642:AK4705" si="1443">IF(AJ4642&gt;0,AJ4642/AI4642,"")</f>
        <v/>
      </c>
      <c r="AL4642" s="24"/>
      <c r="AM4642" s="24"/>
      <c r="AN4642" s="24"/>
      <c r="AO4642" s="24"/>
      <c r="AP4642" s="165" t="str">
        <f t="shared" ref="AP4642:AP4705" si="1444">IF(F4642="","",F4642&amp;G4642)</f>
        <v/>
      </c>
      <c r="AQ4642" s="203" t="str">
        <f t="shared" ref="AQ4642:AQ4705" si="1445">IF(W4642="","",F4642&amp;G4642&amp;W4642)</f>
        <v/>
      </c>
      <c r="AR4642" s="206">
        <f t="shared" ref="AR4642:AR4705" si="1446">IFERROR(IF(AND(M4642="YAMAHA", R4642="C28"), "YAMAHA_Non_Mounter", IF(AND(M4642="YAMAHA", R4642="C49"), "YAMAHA_Mounter", M4642)),"")</f>
        <v>0</v>
      </c>
      <c r="AS4642" s="22" t="str">
        <f t="shared" ref="AS4642:AS4705" si="1447">IFERROR(IF(OR(G4642="TBA", G4642=""), "", DATEDIF(DATE(B4642, C4642, 1), DATE(F4642, G4642, 1), "M")),"")</f>
        <v/>
      </c>
      <c r="AT4642" s="24" t="str">
        <f t="shared" ref="AT4642:AT4705" si="1448">IF(ISNUMBER(AS4642), IF(AS4642&gt;=0, IF(AS4642&lt;=3, "0-3 months", IF(AS4642&lt;=6, "4-6 months", "&gt; 6 months"))), "")</f>
        <v/>
      </c>
      <c r="AU4642" s="22" t="s">
        <v>3240</v>
      </c>
    </row>
    <row r="4643" spans="1:47">
      <c r="A4643" s="246" t="str">
        <f t="shared" si="1436"/>
        <v/>
      </c>
      <c r="B4643" s="23"/>
      <c r="C4643" s="23"/>
      <c r="D4643" s="202" t="str">
        <f t="shared" si="1437"/>
        <v/>
      </c>
      <c r="E4643" s="33" t="str">
        <f t="shared" si="1431"/>
        <v/>
      </c>
      <c r="F4643" s="23"/>
      <c r="G4643" s="23"/>
      <c r="H4643" s="29"/>
      <c r="I4643" s="204" t="str">
        <f t="shared" si="1434"/>
        <v/>
      </c>
      <c r="J4643" s="188"/>
      <c r="K4643" s="29"/>
      <c r="L4643" s="24"/>
      <c r="M4643" s="22"/>
      <c r="N4643" s="22"/>
      <c r="O4643" s="22"/>
      <c r="P4643" s="202" t="str">
        <f t="shared" si="1435"/>
        <v/>
      </c>
      <c r="Q4643" s="22"/>
      <c r="R4643" s="22"/>
      <c r="S4643" s="22"/>
      <c r="T4643" s="22"/>
      <c r="U4643" s="22"/>
      <c r="V4643" s="22"/>
      <c r="W4643" s="22"/>
      <c r="X4643" s="104"/>
      <c r="Y4643" s="195" t="str">
        <f t="shared" si="1432"/>
        <v/>
      </c>
      <c r="Z4643" s="196" t="str">
        <f t="shared" si="1433"/>
        <v/>
      </c>
      <c r="AA4643" s="22"/>
      <c r="AB4643" s="197" t="str">
        <f t="shared" si="1438"/>
        <v/>
      </c>
      <c r="AC4643" s="198" t="str">
        <f t="shared" si="1439"/>
        <v/>
      </c>
      <c r="AD4643" s="162"/>
      <c r="AE4643" s="199" t="str">
        <f t="shared" si="1440"/>
        <v/>
      </c>
      <c r="AF4643" s="199" t="str">
        <f>IF(AND(COUNTIFS($J$18:J4643,J4643)=1,AE4643=1),1,"")</f>
        <v/>
      </c>
      <c r="AG4643" s="199" t="str">
        <f>IF(C4643="","",IF(AND(COUNTIFS($J$18:J4643,J4643)=1,C4643&lt;&gt;""),1,""))</f>
        <v/>
      </c>
      <c r="AH4643" s="199" t="str">
        <f>IF(G4643="","",IF(AND(COUNTIFS($J$18:J4643,J4643)=1,G4643&lt;&gt;""),1,""))</f>
        <v/>
      </c>
      <c r="AI4643" s="200">
        <f t="shared" si="1441"/>
        <v>0</v>
      </c>
      <c r="AJ4643" s="200">
        <f t="shared" si="1442"/>
        <v>0</v>
      </c>
      <c r="AK4643" s="201" t="str">
        <f t="shared" si="1443"/>
        <v/>
      </c>
      <c r="AL4643" s="24"/>
      <c r="AM4643" s="24"/>
      <c r="AN4643" s="24"/>
      <c r="AO4643" s="24"/>
      <c r="AP4643" s="165" t="str">
        <f t="shared" si="1444"/>
        <v/>
      </c>
      <c r="AQ4643" s="203" t="str">
        <f t="shared" si="1445"/>
        <v/>
      </c>
      <c r="AR4643" s="206">
        <f t="shared" si="1446"/>
        <v>0</v>
      </c>
      <c r="AS4643" s="22" t="str">
        <f t="shared" si="1447"/>
        <v/>
      </c>
      <c r="AT4643" s="24" t="str">
        <f t="shared" si="1448"/>
        <v/>
      </c>
      <c r="AU4643" s="22" t="s">
        <v>3240</v>
      </c>
    </row>
    <row r="4644" spans="1:47">
      <c r="A4644" s="246" t="str">
        <f t="shared" si="1436"/>
        <v/>
      </c>
      <c r="B4644" s="23"/>
      <c r="C4644" s="23"/>
      <c r="D4644" s="202" t="str">
        <f t="shared" si="1437"/>
        <v/>
      </c>
      <c r="E4644" s="33" t="str">
        <f t="shared" si="1431"/>
        <v/>
      </c>
      <c r="F4644" s="23"/>
      <c r="G4644" s="23"/>
      <c r="H4644" s="29"/>
      <c r="I4644" s="204" t="str">
        <f t="shared" si="1434"/>
        <v/>
      </c>
      <c r="J4644" s="188"/>
      <c r="K4644" s="29"/>
      <c r="L4644" s="24"/>
      <c r="M4644" s="22"/>
      <c r="N4644" s="22"/>
      <c r="O4644" s="22"/>
      <c r="P4644" s="202" t="str">
        <f t="shared" si="1435"/>
        <v/>
      </c>
      <c r="Q4644" s="22"/>
      <c r="R4644" s="22"/>
      <c r="S4644" s="22"/>
      <c r="T4644" s="22"/>
      <c r="U4644" s="22"/>
      <c r="V4644" s="22"/>
      <c r="W4644" s="22"/>
      <c r="X4644" s="104"/>
      <c r="Y4644" s="195" t="str">
        <f t="shared" si="1432"/>
        <v/>
      </c>
      <c r="Z4644" s="196" t="str">
        <f t="shared" si="1433"/>
        <v/>
      </c>
      <c r="AA4644" s="22"/>
      <c r="AB4644" s="197" t="str">
        <f t="shared" si="1438"/>
        <v/>
      </c>
      <c r="AC4644" s="198" t="str">
        <f t="shared" si="1439"/>
        <v/>
      </c>
      <c r="AD4644" s="162"/>
      <c r="AE4644" s="199" t="str">
        <f t="shared" si="1440"/>
        <v/>
      </c>
      <c r="AF4644" s="199" t="str">
        <f>IF(AND(COUNTIFS($J$18:J4644,J4644)=1,AE4644=1),1,"")</f>
        <v/>
      </c>
      <c r="AG4644" s="199" t="str">
        <f>IF(C4644="","",IF(AND(COUNTIFS($J$18:J4644,J4644)=1,C4644&lt;&gt;""),1,""))</f>
        <v/>
      </c>
      <c r="AH4644" s="199" t="str">
        <f>IF(G4644="","",IF(AND(COUNTIFS($J$18:J4644,J4644)=1,G4644&lt;&gt;""),1,""))</f>
        <v/>
      </c>
      <c r="AI4644" s="200">
        <f t="shared" si="1441"/>
        <v>0</v>
      </c>
      <c r="AJ4644" s="200">
        <f t="shared" si="1442"/>
        <v>0</v>
      </c>
      <c r="AK4644" s="201" t="str">
        <f t="shared" si="1443"/>
        <v/>
      </c>
      <c r="AL4644" s="24"/>
      <c r="AM4644" s="24"/>
      <c r="AN4644" s="24"/>
      <c r="AO4644" s="24"/>
      <c r="AP4644" s="165" t="str">
        <f t="shared" si="1444"/>
        <v/>
      </c>
      <c r="AQ4644" s="203" t="str">
        <f t="shared" si="1445"/>
        <v/>
      </c>
      <c r="AR4644" s="206">
        <f t="shared" si="1446"/>
        <v>0</v>
      </c>
      <c r="AS4644" s="22" t="str">
        <f t="shared" si="1447"/>
        <v/>
      </c>
      <c r="AT4644" s="24" t="str">
        <f t="shared" si="1448"/>
        <v/>
      </c>
      <c r="AU4644" s="22" t="s">
        <v>3240</v>
      </c>
    </row>
    <row r="4645" spans="1:47">
      <c r="A4645" s="246" t="str">
        <f t="shared" si="1436"/>
        <v/>
      </c>
      <c r="B4645" s="23"/>
      <c r="C4645" s="23"/>
      <c r="D4645" s="202" t="str">
        <f t="shared" si="1437"/>
        <v/>
      </c>
      <c r="E4645" s="33" t="str">
        <f t="shared" si="1431"/>
        <v/>
      </c>
      <c r="F4645" s="23"/>
      <c r="G4645" s="23"/>
      <c r="H4645" s="29"/>
      <c r="I4645" s="204" t="str">
        <f t="shared" si="1434"/>
        <v/>
      </c>
      <c r="J4645" s="188"/>
      <c r="K4645" s="29"/>
      <c r="L4645" s="24"/>
      <c r="M4645" s="22"/>
      <c r="N4645" s="22"/>
      <c r="O4645" s="22"/>
      <c r="P4645" s="202" t="str">
        <f t="shared" si="1435"/>
        <v/>
      </c>
      <c r="Q4645" s="22"/>
      <c r="R4645" s="22"/>
      <c r="S4645" s="22"/>
      <c r="T4645" s="22"/>
      <c r="U4645" s="22"/>
      <c r="V4645" s="22"/>
      <c r="W4645" s="22"/>
      <c r="X4645" s="104"/>
      <c r="Y4645" s="195" t="str">
        <f t="shared" si="1432"/>
        <v/>
      </c>
      <c r="Z4645" s="196" t="str">
        <f t="shared" si="1433"/>
        <v/>
      </c>
      <c r="AA4645" s="22"/>
      <c r="AB4645" s="197" t="str">
        <f t="shared" si="1438"/>
        <v/>
      </c>
      <c r="AC4645" s="198" t="str">
        <f t="shared" si="1439"/>
        <v/>
      </c>
      <c r="AD4645" s="162"/>
      <c r="AE4645" s="199" t="str">
        <f t="shared" si="1440"/>
        <v/>
      </c>
      <c r="AF4645" s="199" t="str">
        <f>IF(AND(COUNTIFS($J$18:J4645,J4645)=1,AE4645=1),1,"")</f>
        <v/>
      </c>
      <c r="AG4645" s="199" t="str">
        <f>IF(C4645="","",IF(AND(COUNTIFS($J$18:J4645,J4645)=1,C4645&lt;&gt;""),1,""))</f>
        <v/>
      </c>
      <c r="AH4645" s="199" t="str">
        <f>IF(G4645="","",IF(AND(COUNTIFS($J$18:J4645,J4645)=1,G4645&lt;&gt;""),1,""))</f>
        <v/>
      </c>
      <c r="AI4645" s="200">
        <f t="shared" si="1441"/>
        <v>0</v>
      </c>
      <c r="AJ4645" s="200">
        <f t="shared" si="1442"/>
        <v>0</v>
      </c>
      <c r="AK4645" s="201" t="str">
        <f t="shared" si="1443"/>
        <v/>
      </c>
      <c r="AL4645" s="24"/>
      <c r="AM4645" s="24"/>
      <c r="AN4645" s="24"/>
      <c r="AO4645" s="24"/>
      <c r="AP4645" s="165" t="str">
        <f t="shared" si="1444"/>
        <v/>
      </c>
      <c r="AQ4645" s="203" t="str">
        <f t="shared" si="1445"/>
        <v/>
      </c>
      <c r="AR4645" s="206">
        <f t="shared" si="1446"/>
        <v>0</v>
      </c>
      <c r="AS4645" s="22" t="str">
        <f t="shared" si="1447"/>
        <v/>
      </c>
      <c r="AT4645" s="24" t="str">
        <f t="shared" si="1448"/>
        <v/>
      </c>
      <c r="AU4645" s="22" t="s">
        <v>3240</v>
      </c>
    </row>
    <row r="4646" spans="1:47">
      <c r="A4646" s="246" t="str">
        <f t="shared" si="1436"/>
        <v/>
      </c>
      <c r="B4646" s="23"/>
      <c r="C4646" s="23"/>
      <c r="D4646" s="202" t="str">
        <f t="shared" si="1437"/>
        <v/>
      </c>
      <c r="E4646" s="33" t="str">
        <f t="shared" si="1431"/>
        <v/>
      </c>
      <c r="F4646" s="23"/>
      <c r="G4646" s="23"/>
      <c r="H4646" s="29"/>
      <c r="I4646" s="204" t="str">
        <f t="shared" si="1434"/>
        <v/>
      </c>
      <c r="J4646" s="188"/>
      <c r="K4646" s="29"/>
      <c r="L4646" s="24"/>
      <c r="M4646" s="22"/>
      <c r="N4646" s="22"/>
      <c r="O4646" s="22"/>
      <c r="P4646" s="202" t="str">
        <f t="shared" si="1435"/>
        <v/>
      </c>
      <c r="Q4646" s="22"/>
      <c r="R4646" s="22"/>
      <c r="S4646" s="22"/>
      <c r="T4646" s="22"/>
      <c r="U4646" s="22"/>
      <c r="V4646" s="22"/>
      <c r="W4646" s="22"/>
      <c r="X4646" s="104"/>
      <c r="Y4646" s="195" t="str">
        <f t="shared" si="1432"/>
        <v/>
      </c>
      <c r="Z4646" s="196" t="str">
        <f t="shared" si="1433"/>
        <v/>
      </c>
      <c r="AA4646" s="22"/>
      <c r="AB4646" s="197" t="str">
        <f t="shared" si="1438"/>
        <v/>
      </c>
      <c r="AC4646" s="198" t="str">
        <f t="shared" si="1439"/>
        <v/>
      </c>
      <c r="AD4646" s="162"/>
      <c r="AE4646" s="199" t="str">
        <f t="shared" si="1440"/>
        <v/>
      </c>
      <c r="AF4646" s="199" t="str">
        <f>IF(AND(COUNTIFS($J$18:J4646,J4646)=1,AE4646=1),1,"")</f>
        <v/>
      </c>
      <c r="AG4646" s="199" t="str">
        <f>IF(C4646="","",IF(AND(COUNTIFS($J$18:J4646,J4646)=1,C4646&lt;&gt;""),1,""))</f>
        <v/>
      </c>
      <c r="AH4646" s="199" t="str">
        <f>IF(G4646="","",IF(AND(COUNTIFS($J$18:J4646,J4646)=1,G4646&lt;&gt;""),1,""))</f>
        <v/>
      </c>
      <c r="AI4646" s="200">
        <f t="shared" si="1441"/>
        <v>0</v>
      </c>
      <c r="AJ4646" s="200">
        <f t="shared" si="1442"/>
        <v>0</v>
      </c>
      <c r="AK4646" s="201" t="str">
        <f t="shared" si="1443"/>
        <v/>
      </c>
      <c r="AL4646" s="24"/>
      <c r="AM4646" s="24"/>
      <c r="AN4646" s="24"/>
      <c r="AO4646" s="24"/>
      <c r="AP4646" s="165" t="str">
        <f t="shared" si="1444"/>
        <v/>
      </c>
      <c r="AQ4646" s="203" t="str">
        <f t="shared" si="1445"/>
        <v/>
      </c>
      <c r="AR4646" s="206">
        <f t="shared" si="1446"/>
        <v>0</v>
      </c>
      <c r="AS4646" s="22" t="str">
        <f t="shared" si="1447"/>
        <v/>
      </c>
      <c r="AT4646" s="24" t="str">
        <f t="shared" si="1448"/>
        <v/>
      </c>
      <c r="AU4646" s="22" t="s">
        <v>3240</v>
      </c>
    </row>
    <row r="4647" spans="1:47">
      <c r="A4647" s="246" t="str">
        <f t="shared" si="1436"/>
        <v/>
      </c>
      <c r="B4647" s="23"/>
      <c r="C4647" s="23"/>
      <c r="D4647" s="202" t="str">
        <f t="shared" si="1437"/>
        <v/>
      </c>
      <c r="E4647" s="33" t="str">
        <f t="shared" si="1431"/>
        <v/>
      </c>
      <c r="F4647" s="23"/>
      <c r="G4647" s="23"/>
      <c r="H4647" s="29"/>
      <c r="I4647" s="204" t="str">
        <f t="shared" si="1434"/>
        <v/>
      </c>
      <c r="J4647" s="188"/>
      <c r="K4647" s="29"/>
      <c r="L4647" s="24"/>
      <c r="M4647" s="22"/>
      <c r="N4647" s="22"/>
      <c r="O4647" s="22"/>
      <c r="P4647" s="202" t="str">
        <f t="shared" si="1435"/>
        <v/>
      </c>
      <c r="Q4647" s="22"/>
      <c r="R4647" s="22"/>
      <c r="S4647" s="22"/>
      <c r="T4647" s="22"/>
      <c r="U4647" s="22"/>
      <c r="V4647" s="22"/>
      <c r="W4647" s="22"/>
      <c r="X4647" s="104"/>
      <c r="Y4647" s="195" t="str">
        <f t="shared" si="1432"/>
        <v/>
      </c>
      <c r="Z4647" s="196" t="str">
        <f t="shared" si="1433"/>
        <v/>
      </c>
      <c r="AA4647" s="22"/>
      <c r="AB4647" s="197" t="str">
        <f t="shared" si="1438"/>
        <v/>
      </c>
      <c r="AC4647" s="198" t="str">
        <f t="shared" si="1439"/>
        <v/>
      </c>
      <c r="AD4647" s="162"/>
      <c r="AE4647" s="199" t="str">
        <f t="shared" si="1440"/>
        <v/>
      </c>
      <c r="AF4647" s="199" t="str">
        <f>IF(AND(COUNTIFS($J$18:J4647,J4647)=1,AE4647=1),1,"")</f>
        <v/>
      </c>
      <c r="AG4647" s="199" t="str">
        <f>IF(C4647="","",IF(AND(COUNTIFS($J$18:J4647,J4647)=1,C4647&lt;&gt;""),1,""))</f>
        <v/>
      </c>
      <c r="AH4647" s="199" t="str">
        <f>IF(G4647="","",IF(AND(COUNTIFS($J$18:J4647,J4647)=1,G4647&lt;&gt;""),1,""))</f>
        <v/>
      </c>
      <c r="AI4647" s="200">
        <f t="shared" si="1441"/>
        <v>0</v>
      </c>
      <c r="AJ4647" s="200">
        <f t="shared" si="1442"/>
        <v>0</v>
      </c>
      <c r="AK4647" s="201" t="str">
        <f t="shared" si="1443"/>
        <v/>
      </c>
      <c r="AL4647" s="24"/>
      <c r="AM4647" s="24"/>
      <c r="AN4647" s="24"/>
      <c r="AO4647" s="24"/>
      <c r="AP4647" s="165" t="str">
        <f t="shared" si="1444"/>
        <v/>
      </c>
      <c r="AQ4647" s="203" t="str">
        <f t="shared" si="1445"/>
        <v/>
      </c>
      <c r="AR4647" s="206">
        <f t="shared" si="1446"/>
        <v>0</v>
      </c>
      <c r="AS4647" s="22" t="str">
        <f t="shared" si="1447"/>
        <v/>
      </c>
      <c r="AT4647" s="24" t="str">
        <f t="shared" si="1448"/>
        <v/>
      </c>
      <c r="AU4647" s="22" t="s">
        <v>3240</v>
      </c>
    </row>
    <row r="4648" spans="1:47">
      <c r="A4648" s="246" t="str">
        <f t="shared" si="1436"/>
        <v/>
      </c>
      <c r="B4648" s="23"/>
      <c r="C4648" s="23"/>
      <c r="D4648" s="202" t="str">
        <f t="shared" si="1437"/>
        <v/>
      </c>
      <c r="E4648" s="33" t="str">
        <f t="shared" si="1431"/>
        <v/>
      </c>
      <c r="F4648" s="23"/>
      <c r="G4648" s="23"/>
      <c r="H4648" s="29"/>
      <c r="I4648" s="204" t="str">
        <f t="shared" si="1434"/>
        <v/>
      </c>
      <c r="J4648" s="188"/>
      <c r="K4648" s="29"/>
      <c r="L4648" s="24"/>
      <c r="M4648" s="22"/>
      <c r="N4648" s="22"/>
      <c r="O4648" s="22"/>
      <c r="P4648" s="202" t="str">
        <f t="shared" si="1435"/>
        <v/>
      </c>
      <c r="Q4648" s="22"/>
      <c r="R4648" s="22"/>
      <c r="S4648" s="22"/>
      <c r="T4648" s="22"/>
      <c r="U4648" s="22"/>
      <c r="V4648" s="22"/>
      <c r="W4648" s="22"/>
      <c r="X4648" s="104"/>
      <c r="Y4648" s="195" t="str">
        <f t="shared" si="1432"/>
        <v/>
      </c>
      <c r="Z4648" s="196" t="str">
        <f t="shared" si="1433"/>
        <v/>
      </c>
      <c r="AA4648" s="22"/>
      <c r="AB4648" s="197" t="str">
        <f t="shared" si="1438"/>
        <v/>
      </c>
      <c r="AC4648" s="198" t="str">
        <f t="shared" si="1439"/>
        <v/>
      </c>
      <c r="AD4648" s="162"/>
      <c r="AE4648" s="199" t="str">
        <f t="shared" si="1440"/>
        <v/>
      </c>
      <c r="AF4648" s="199" t="str">
        <f>IF(AND(COUNTIFS($J$18:J4648,J4648)=1,AE4648=1),1,"")</f>
        <v/>
      </c>
      <c r="AG4648" s="199" t="str">
        <f>IF(C4648="","",IF(AND(COUNTIFS($J$18:J4648,J4648)=1,C4648&lt;&gt;""),1,""))</f>
        <v/>
      </c>
      <c r="AH4648" s="199" t="str">
        <f>IF(G4648="","",IF(AND(COUNTIFS($J$18:J4648,J4648)=1,G4648&lt;&gt;""),1,""))</f>
        <v/>
      </c>
      <c r="AI4648" s="200">
        <f t="shared" si="1441"/>
        <v>0</v>
      </c>
      <c r="AJ4648" s="200">
        <f t="shared" si="1442"/>
        <v>0</v>
      </c>
      <c r="AK4648" s="201" t="str">
        <f t="shared" si="1443"/>
        <v/>
      </c>
      <c r="AL4648" s="24"/>
      <c r="AM4648" s="24"/>
      <c r="AN4648" s="24"/>
      <c r="AO4648" s="24"/>
      <c r="AP4648" s="165" t="str">
        <f t="shared" si="1444"/>
        <v/>
      </c>
      <c r="AQ4648" s="203" t="str">
        <f t="shared" si="1445"/>
        <v/>
      </c>
      <c r="AR4648" s="206">
        <f t="shared" si="1446"/>
        <v>0</v>
      </c>
      <c r="AS4648" s="22" t="str">
        <f t="shared" si="1447"/>
        <v/>
      </c>
      <c r="AT4648" s="24" t="str">
        <f t="shared" si="1448"/>
        <v/>
      </c>
      <c r="AU4648" s="22" t="s">
        <v>3240</v>
      </c>
    </row>
    <row r="4649" spans="1:47">
      <c r="A4649" s="246" t="str">
        <f t="shared" si="1436"/>
        <v/>
      </c>
      <c r="B4649" s="23"/>
      <c r="C4649" s="23"/>
      <c r="D4649" s="202" t="str">
        <f t="shared" si="1437"/>
        <v/>
      </c>
      <c r="E4649" s="33" t="str">
        <f t="shared" si="1431"/>
        <v/>
      </c>
      <c r="F4649" s="23"/>
      <c r="G4649" s="23"/>
      <c r="H4649" s="29"/>
      <c r="I4649" s="204" t="str">
        <f t="shared" si="1434"/>
        <v/>
      </c>
      <c r="J4649" s="188"/>
      <c r="K4649" s="29"/>
      <c r="L4649" s="24"/>
      <c r="M4649" s="22"/>
      <c r="N4649" s="22"/>
      <c r="O4649" s="22"/>
      <c r="P4649" s="202" t="str">
        <f t="shared" si="1435"/>
        <v/>
      </c>
      <c r="Q4649" s="22"/>
      <c r="R4649" s="22"/>
      <c r="S4649" s="22"/>
      <c r="T4649" s="22"/>
      <c r="U4649" s="22"/>
      <c r="V4649" s="22"/>
      <c r="W4649" s="22"/>
      <c r="X4649" s="104"/>
      <c r="Y4649" s="195" t="str">
        <f t="shared" si="1432"/>
        <v/>
      </c>
      <c r="Z4649" s="196" t="str">
        <f t="shared" si="1433"/>
        <v/>
      </c>
      <c r="AA4649" s="22"/>
      <c r="AB4649" s="197" t="str">
        <f t="shared" si="1438"/>
        <v/>
      </c>
      <c r="AC4649" s="198" t="str">
        <f t="shared" si="1439"/>
        <v/>
      </c>
      <c r="AD4649" s="162"/>
      <c r="AE4649" s="199" t="str">
        <f t="shared" si="1440"/>
        <v/>
      </c>
      <c r="AF4649" s="199" t="str">
        <f>IF(AND(COUNTIFS($J$18:J4649,J4649)=1,AE4649=1),1,"")</f>
        <v/>
      </c>
      <c r="AG4649" s="199" t="str">
        <f>IF(C4649="","",IF(AND(COUNTIFS($J$18:J4649,J4649)=1,C4649&lt;&gt;""),1,""))</f>
        <v/>
      </c>
      <c r="AH4649" s="199" t="str">
        <f>IF(G4649="","",IF(AND(COUNTIFS($J$18:J4649,J4649)=1,G4649&lt;&gt;""),1,""))</f>
        <v/>
      </c>
      <c r="AI4649" s="200">
        <f t="shared" si="1441"/>
        <v>0</v>
      </c>
      <c r="AJ4649" s="200">
        <f t="shared" si="1442"/>
        <v>0</v>
      </c>
      <c r="AK4649" s="201" t="str">
        <f t="shared" si="1443"/>
        <v/>
      </c>
      <c r="AL4649" s="24"/>
      <c r="AM4649" s="24"/>
      <c r="AN4649" s="24"/>
      <c r="AO4649" s="24"/>
      <c r="AP4649" s="165" t="str">
        <f t="shared" si="1444"/>
        <v/>
      </c>
      <c r="AQ4649" s="203" t="str">
        <f t="shared" si="1445"/>
        <v/>
      </c>
      <c r="AR4649" s="206">
        <f t="shared" si="1446"/>
        <v>0</v>
      </c>
      <c r="AS4649" s="22" t="str">
        <f t="shared" si="1447"/>
        <v/>
      </c>
      <c r="AT4649" s="24" t="str">
        <f t="shared" si="1448"/>
        <v/>
      </c>
      <c r="AU4649" s="22" t="s">
        <v>3240</v>
      </c>
    </row>
    <row r="4650" spans="1:47">
      <c r="A4650" s="246" t="str">
        <f t="shared" si="1436"/>
        <v/>
      </c>
      <c r="B4650" s="23"/>
      <c r="C4650" s="23"/>
      <c r="D4650" s="202" t="str">
        <f t="shared" si="1437"/>
        <v/>
      </c>
      <c r="E4650" s="33" t="str">
        <f t="shared" si="1431"/>
        <v/>
      </c>
      <c r="F4650" s="23"/>
      <c r="G4650" s="23"/>
      <c r="H4650" s="29"/>
      <c r="I4650" s="204" t="str">
        <f t="shared" si="1434"/>
        <v/>
      </c>
      <c r="J4650" s="188"/>
      <c r="K4650" s="29"/>
      <c r="L4650" s="24"/>
      <c r="M4650" s="22"/>
      <c r="N4650" s="22"/>
      <c r="O4650" s="22"/>
      <c r="P4650" s="202" t="str">
        <f t="shared" si="1435"/>
        <v/>
      </c>
      <c r="Q4650" s="22"/>
      <c r="R4650" s="22"/>
      <c r="S4650" s="22"/>
      <c r="T4650" s="22"/>
      <c r="U4650" s="22"/>
      <c r="V4650" s="22"/>
      <c r="W4650" s="22"/>
      <c r="X4650" s="104"/>
      <c r="Y4650" s="195" t="str">
        <f t="shared" si="1432"/>
        <v/>
      </c>
      <c r="Z4650" s="196" t="str">
        <f t="shared" si="1433"/>
        <v/>
      </c>
      <c r="AA4650" s="22"/>
      <c r="AB4650" s="197" t="str">
        <f t="shared" si="1438"/>
        <v/>
      </c>
      <c r="AC4650" s="198" t="str">
        <f t="shared" si="1439"/>
        <v/>
      </c>
      <c r="AD4650" s="162"/>
      <c r="AE4650" s="199" t="str">
        <f t="shared" si="1440"/>
        <v/>
      </c>
      <c r="AF4650" s="199" t="str">
        <f>IF(AND(COUNTIFS($J$18:J4650,J4650)=1,AE4650=1),1,"")</f>
        <v/>
      </c>
      <c r="AG4650" s="199" t="str">
        <f>IF(C4650="","",IF(AND(COUNTIFS($J$18:J4650,J4650)=1,C4650&lt;&gt;""),1,""))</f>
        <v/>
      </c>
      <c r="AH4650" s="199" t="str">
        <f>IF(G4650="","",IF(AND(COUNTIFS($J$18:J4650,J4650)=1,G4650&lt;&gt;""),1,""))</f>
        <v/>
      </c>
      <c r="AI4650" s="200">
        <f t="shared" si="1441"/>
        <v>0</v>
      </c>
      <c r="AJ4650" s="200">
        <f t="shared" si="1442"/>
        <v>0</v>
      </c>
      <c r="AK4650" s="201" t="str">
        <f t="shared" si="1443"/>
        <v/>
      </c>
      <c r="AL4650" s="24"/>
      <c r="AM4650" s="24"/>
      <c r="AN4650" s="24"/>
      <c r="AO4650" s="24"/>
      <c r="AP4650" s="165" t="str">
        <f t="shared" si="1444"/>
        <v/>
      </c>
      <c r="AQ4650" s="203" t="str">
        <f t="shared" si="1445"/>
        <v/>
      </c>
      <c r="AR4650" s="206">
        <f t="shared" si="1446"/>
        <v>0</v>
      </c>
      <c r="AS4650" s="22" t="str">
        <f t="shared" si="1447"/>
        <v/>
      </c>
      <c r="AT4650" s="24" t="str">
        <f t="shared" si="1448"/>
        <v/>
      </c>
      <c r="AU4650" s="22" t="s">
        <v>3240</v>
      </c>
    </row>
    <row r="4651" spans="1:47">
      <c r="A4651" s="246" t="str">
        <f t="shared" si="1436"/>
        <v/>
      </c>
      <c r="B4651" s="23"/>
      <c r="C4651" s="23"/>
      <c r="D4651" s="202" t="str">
        <f t="shared" si="1437"/>
        <v/>
      </c>
      <c r="E4651" s="33" t="str">
        <f t="shared" si="1431"/>
        <v/>
      </c>
      <c r="F4651" s="23"/>
      <c r="G4651" s="23"/>
      <c r="H4651" s="29"/>
      <c r="I4651" s="204" t="str">
        <f t="shared" si="1434"/>
        <v/>
      </c>
      <c r="J4651" s="188"/>
      <c r="K4651" s="29"/>
      <c r="L4651" s="24"/>
      <c r="M4651" s="22"/>
      <c r="N4651" s="22"/>
      <c r="O4651" s="22"/>
      <c r="P4651" s="202" t="str">
        <f t="shared" si="1435"/>
        <v/>
      </c>
      <c r="Q4651" s="22"/>
      <c r="R4651" s="22"/>
      <c r="S4651" s="22"/>
      <c r="T4651" s="22"/>
      <c r="U4651" s="22"/>
      <c r="V4651" s="22"/>
      <c r="W4651" s="22"/>
      <c r="X4651" s="104"/>
      <c r="Y4651" s="195" t="str">
        <f t="shared" si="1432"/>
        <v/>
      </c>
      <c r="Z4651" s="196" t="str">
        <f t="shared" si="1433"/>
        <v/>
      </c>
      <c r="AA4651" s="22"/>
      <c r="AB4651" s="197" t="str">
        <f t="shared" si="1438"/>
        <v/>
      </c>
      <c r="AC4651" s="198" t="str">
        <f t="shared" si="1439"/>
        <v/>
      </c>
      <c r="AD4651" s="162"/>
      <c r="AE4651" s="199" t="str">
        <f t="shared" si="1440"/>
        <v/>
      </c>
      <c r="AF4651" s="199" t="str">
        <f>IF(AND(COUNTIFS($J$18:J4651,J4651)=1,AE4651=1),1,"")</f>
        <v/>
      </c>
      <c r="AG4651" s="199" t="str">
        <f>IF(C4651="","",IF(AND(COUNTIFS($J$18:J4651,J4651)=1,C4651&lt;&gt;""),1,""))</f>
        <v/>
      </c>
      <c r="AH4651" s="199" t="str">
        <f>IF(G4651="","",IF(AND(COUNTIFS($J$18:J4651,J4651)=1,G4651&lt;&gt;""),1,""))</f>
        <v/>
      </c>
      <c r="AI4651" s="200">
        <f t="shared" si="1441"/>
        <v>0</v>
      </c>
      <c r="AJ4651" s="200">
        <f t="shared" si="1442"/>
        <v>0</v>
      </c>
      <c r="AK4651" s="201" t="str">
        <f t="shared" si="1443"/>
        <v/>
      </c>
      <c r="AL4651" s="24"/>
      <c r="AM4651" s="24"/>
      <c r="AN4651" s="24"/>
      <c r="AO4651" s="24"/>
      <c r="AP4651" s="165" t="str">
        <f t="shared" si="1444"/>
        <v/>
      </c>
      <c r="AQ4651" s="203" t="str">
        <f t="shared" si="1445"/>
        <v/>
      </c>
      <c r="AR4651" s="206">
        <f t="shared" si="1446"/>
        <v>0</v>
      </c>
      <c r="AS4651" s="22" t="str">
        <f t="shared" si="1447"/>
        <v/>
      </c>
      <c r="AT4651" s="24" t="str">
        <f t="shared" si="1448"/>
        <v/>
      </c>
      <c r="AU4651" s="22" t="s">
        <v>3240</v>
      </c>
    </row>
    <row r="4652" spans="1:47">
      <c r="A4652" s="246" t="str">
        <f t="shared" si="1436"/>
        <v/>
      </c>
      <c r="B4652" s="23"/>
      <c r="C4652" s="23"/>
      <c r="D4652" s="202" t="str">
        <f t="shared" si="1437"/>
        <v/>
      </c>
      <c r="E4652" s="33" t="str">
        <f t="shared" si="1431"/>
        <v/>
      </c>
      <c r="F4652" s="23"/>
      <c r="G4652" s="23"/>
      <c r="H4652" s="29"/>
      <c r="I4652" s="204" t="str">
        <f t="shared" si="1434"/>
        <v/>
      </c>
      <c r="J4652" s="188"/>
      <c r="K4652" s="29"/>
      <c r="L4652" s="24"/>
      <c r="M4652" s="22"/>
      <c r="N4652" s="22"/>
      <c r="O4652" s="22"/>
      <c r="P4652" s="202" t="str">
        <f t="shared" si="1435"/>
        <v/>
      </c>
      <c r="Q4652" s="22"/>
      <c r="R4652" s="22"/>
      <c r="S4652" s="22"/>
      <c r="T4652" s="22"/>
      <c r="U4652" s="22"/>
      <c r="V4652" s="22"/>
      <c r="W4652" s="22"/>
      <c r="X4652" s="104"/>
      <c r="Y4652" s="195" t="str">
        <f t="shared" si="1432"/>
        <v/>
      </c>
      <c r="Z4652" s="196" t="str">
        <f t="shared" si="1433"/>
        <v/>
      </c>
      <c r="AA4652" s="22"/>
      <c r="AB4652" s="197" t="str">
        <f t="shared" si="1438"/>
        <v/>
      </c>
      <c r="AC4652" s="198" t="str">
        <f t="shared" si="1439"/>
        <v/>
      </c>
      <c r="AD4652" s="162"/>
      <c r="AE4652" s="199" t="str">
        <f t="shared" si="1440"/>
        <v/>
      </c>
      <c r="AF4652" s="199" t="str">
        <f>IF(AND(COUNTIFS($J$18:J4652,J4652)=1,AE4652=1),1,"")</f>
        <v/>
      </c>
      <c r="AG4652" s="199" t="str">
        <f>IF(C4652="","",IF(AND(COUNTIFS($J$18:J4652,J4652)=1,C4652&lt;&gt;""),1,""))</f>
        <v/>
      </c>
      <c r="AH4652" s="199" t="str">
        <f>IF(G4652="","",IF(AND(COUNTIFS($J$18:J4652,J4652)=1,G4652&lt;&gt;""),1,""))</f>
        <v/>
      </c>
      <c r="AI4652" s="200">
        <f t="shared" si="1441"/>
        <v>0</v>
      </c>
      <c r="AJ4652" s="200">
        <f t="shared" si="1442"/>
        <v>0</v>
      </c>
      <c r="AK4652" s="201" t="str">
        <f t="shared" si="1443"/>
        <v/>
      </c>
      <c r="AL4652" s="24"/>
      <c r="AM4652" s="24"/>
      <c r="AN4652" s="24"/>
      <c r="AO4652" s="24"/>
      <c r="AP4652" s="165" t="str">
        <f t="shared" si="1444"/>
        <v/>
      </c>
      <c r="AQ4652" s="203" t="str">
        <f t="shared" si="1445"/>
        <v/>
      </c>
      <c r="AR4652" s="206">
        <f t="shared" si="1446"/>
        <v>0</v>
      </c>
      <c r="AS4652" s="22" t="str">
        <f t="shared" si="1447"/>
        <v/>
      </c>
      <c r="AT4652" s="24" t="str">
        <f t="shared" si="1448"/>
        <v/>
      </c>
      <c r="AU4652" s="22" t="s">
        <v>3240</v>
      </c>
    </row>
    <row r="4653" spans="1:47">
      <c r="A4653" s="246" t="str">
        <f t="shared" si="1436"/>
        <v/>
      </c>
      <c r="B4653" s="23"/>
      <c r="C4653" s="23"/>
      <c r="D4653" s="202" t="str">
        <f t="shared" si="1437"/>
        <v/>
      </c>
      <c r="E4653" s="33" t="str">
        <f t="shared" si="1431"/>
        <v/>
      </c>
      <c r="F4653" s="23"/>
      <c r="G4653" s="23"/>
      <c r="H4653" s="29"/>
      <c r="I4653" s="204" t="str">
        <f t="shared" si="1434"/>
        <v/>
      </c>
      <c r="J4653" s="188"/>
      <c r="K4653" s="29"/>
      <c r="L4653" s="24"/>
      <c r="M4653" s="22"/>
      <c r="N4653" s="22"/>
      <c r="O4653" s="22"/>
      <c r="P4653" s="202" t="str">
        <f t="shared" si="1435"/>
        <v/>
      </c>
      <c r="Q4653" s="22"/>
      <c r="R4653" s="22"/>
      <c r="S4653" s="22"/>
      <c r="T4653" s="22"/>
      <c r="U4653" s="22"/>
      <c r="V4653" s="22"/>
      <c r="W4653" s="22"/>
      <c r="X4653" s="104"/>
      <c r="Y4653" s="195" t="str">
        <f t="shared" si="1432"/>
        <v/>
      </c>
      <c r="Z4653" s="196" t="str">
        <f t="shared" si="1433"/>
        <v/>
      </c>
      <c r="AA4653" s="22"/>
      <c r="AB4653" s="197" t="str">
        <f t="shared" si="1438"/>
        <v/>
      </c>
      <c r="AC4653" s="198" t="str">
        <f t="shared" si="1439"/>
        <v/>
      </c>
      <c r="AD4653" s="162"/>
      <c r="AE4653" s="199" t="str">
        <f t="shared" si="1440"/>
        <v/>
      </c>
      <c r="AF4653" s="199" t="str">
        <f>IF(AND(COUNTIFS($J$18:J4653,J4653)=1,AE4653=1),1,"")</f>
        <v/>
      </c>
      <c r="AG4653" s="199" t="str">
        <f>IF(C4653="","",IF(AND(COUNTIFS($J$18:J4653,J4653)=1,C4653&lt;&gt;""),1,""))</f>
        <v/>
      </c>
      <c r="AH4653" s="199" t="str">
        <f>IF(G4653="","",IF(AND(COUNTIFS($J$18:J4653,J4653)=1,G4653&lt;&gt;""),1,""))</f>
        <v/>
      </c>
      <c r="AI4653" s="200">
        <f t="shared" si="1441"/>
        <v>0</v>
      </c>
      <c r="AJ4653" s="200">
        <f t="shared" si="1442"/>
        <v>0</v>
      </c>
      <c r="AK4653" s="201" t="str">
        <f t="shared" si="1443"/>
        <v/>
      </c>
      <c r="AL4653" s="24"/>
      <c r="AM4653" s="24"/>
      <c r="AN4653" s="24"/>
      <c r="AO4653" s="24"/>
      <c r="AP4653" s="165" t="str">
        <f t="shared" si="1444"/>
        <v/>
      </c>
      <c r="AQ4653" s="203" t="str">
        <f t="shared" si="1445"/>
        <v/>
      </c>
      <c r="AR4653" s="206">
        <f t="shared" si="1446"/>
        <v>0</v>
      </c>
      <c r="AS4653" s="22" t="str">
        <f t="shared" si="1447"/>
        <v/>
      </c>
      <c r="AT4653" s="24" t="str">
        <f t="shared" si="1448"/>
        <v/>
      </c>
      <c r="AU4653" s="22" t="s">
        <v>3240</v>
      </c>
    </row>
    <row r="4654" spans="1:47">
      <c r="A4654" s="246" t="str">
        <f t="shared" si="1436"/>
        <v/>
      </c>
      <c r="B4654" s="23"/>
      <c r="C4654" s="23"/>
      <c r="D4654" s="202" t="str">
        <f t="shared" si="1437"/>
        <v/>
      </c>
      <c r="E4654" s="33" t="str">
        <f t="shared" si="1431"/>
        <v/>
      </c>
      <c r="F4654" s="23"/>
      <c r="G4654" s="23"/>
      <c r="H4654" s="29"/>
      <c r="I4654" s="204" t="str">
        <f t="shared" si="1434"/>
        <v/>
      </c>
      <c r="J4654" s="188"/>
      <c r="K4654" s="29"/>
      <c r="L4654" s="24"/>
      <c r="M4654" s="22"/>
      <c r="N4654" s="22"/>
      <c r="O4654" s="22"/>
      <c r="P4654" s="202" t="str">
        <f t="shared" si="1435"/>
        <v/>
      </c>
      <c r="Q4654" s="22"/>
      <c r="R4654" s="22"/>
      <c r="S4654" s="22"/>
      <c r="T4654" s="22"/>
      <c r="U4654" s="22"/>
      <c r="V4654" s="22"/>
      <c r="W4654" s="22"/>
      <c r="X4654" s="104"/>
      <c r="Y4654" s="195" t="str">
        <f t="shared" si="1432"/>
        <v/>
      </c>
      <c r="Z4654" s="196" t="str">
        <f t="shared" si="1433"/>
        <v/>
      </c>
      <c r="AA4654" s="22"/>
      <c r="AB4654" s="197" t="str">
        <f t="shared" si="1438"/>
        <v/>
      </c>
      <c r="AC4654" s="198" t="str">
        <f t="shared" si="1439"/>
        <v/>
      </c>
      <c r="AD4654" s="162"/>
      <c r="AE4654" s="199" t="str">
        <f t="shared" si="1440"/>
        <v/>
      </c>
      <c r="AF4654" s="199" t="str">
        <f>IF(AND(COUNTIFS($J$18:J4654,J4654)=1,AE4654=1),1,"")</f>
        <v/>
      </c>
      <c r="AG4654" s="199" t="str">
        <f>IF(C4654="","",IF(AND(COUNTIFS($J$18:J4654,J4654)=1,C4654&lt;&gt;""),1,""))</f>
        <v/>
      </c>
      <c r="AH4654" s="199" t="str">
        <f>IF(G4654="","",IF(AND(COUNTIFS($J$18:J4654,J4654)=1,G4654&lt;&gt;""),1,""))</f>
        <v/>
      </c>
      <c r="AI4654" s="200">
        <f t="shared" si="1441"/>
        <v>0</v>
      </c>
      <c r="AJ4654" s="200">
        <f t="shared" si="1442"/>
        <v>0</v>
      </c>
      <c r="AK4654" s="201" t="str">
        <f t="shared" si="1443"/>
        <v/>
      </c>
      <c r="AL4654" s="24"/>
      <c r="AM4654" s="24"/>
      <c r="AN4654" s="24"/>
      <c r="AO4654" s="24"/>
      <c r="AP4654" s="165" t="str">
        <f t="shared" si="1444"/>
        <v/>
      </c>
      <c r="AQ4654" s="203" t="str">
        <f t="shared" si="1445"/>
        <v/>
      </c>
      <c r="AR4654" s="206">
        <f t="shared" si="1446"/>
        <v>0</v>
      </c>
      <c r="AS4654" s="22" t="str">
        <f t="shared" si="1447"/>
        <v/>
      </c>
      <c r="AT4654" s="24" t="str">
        <f t="shared" si="1448"/>
        <v/>
      </c>
      <c r="AU4654" s="22" t="s">
        <v>3240</v>
      </c>
    </row>
    <row r="4655" spans="1:47">
      <c r="A4655" s="246" t="str">
        <f t="shared" si="1436"/>
        <v/>
      </c>
      <c r="B4655" s="23"/>
      <c r="C4655" s="23"/>
      <c r="D4655" s="202" t="str">
        <f t="shared" si="1437"/>
        <v/>
      </c>
      <c r="E4655" s="33" t="str">
        <f t="shared" si="1431"/>
        <v/>
      </c>
      <c r="F4655" s="23"/>
      <c r="G4655" s="23"/>
      <c r="H4655" s="29"/>
      <c r="I4655" s="204" t="str">
        <f t="shared" si="1434"/>
        <v/>
      </c>
      <c r="J4655" s="188"/>
      <c r="K4655" s="29"/>
      <c r="L4655" s="24"/>
      <c r="M4655" s="22"/>
      <c r="N4655" s="22"/>
      <c r="O4655" s="22"/>
      <c r="P4655" s="202" t="str">
        <f t="shared" si="1435"/>
        <v/>
      </c>
      <c r="Q4655" s="22"/>
      <c r="R4655" s="22"/>
      <c r="S4655" s="22"/>
      <c r="T4655" s="22"/>
      <c r="U4655" s="22"/>
      <c r="V4655" s="22"/>
      <c r="W4655" s="22"/>
      <c r="X4655" s="104"/>
      <c r="Y4655" s="195" t="str">
        <f t="shared" si="1432"/>
        <v/>
      </c>
      <c r="Z4655" s="196" t="str">
        <f t="shared" si="1433"/>
        <v/>
      </c>
      <c r="AA4655" s="22"/>
      <c r="AB4655" s="197" t="str">
        <f t="shared" si="1438"/>
        <v/>
      </c>
      <c r="AC4655" s="198" t="str">
        <f t="shared" si="1439"/>
        <v/>
      </c>
      <c r="AD4655" s="162"/>
      <c r="AE4655" s="199" t="str">
        <f t="shared" si="1440"/>
        <v/>
      </c>
      <c r="AF4655" s="199" t="str">
        <f>IF(AND(COUNTIFS($J$18:J4655,J4655)=1,AE4655=1),1,"")</f>
        <v/>
      </c>
      <c r="AG4655" s="199" t="str">
        <f>IF(C4655="","",IF(AND(COUNTIFS($J$18:J4655,J4655)=1,C4655&lt;&gt;""),1,""))</f>
        <v/>
      </c>
      <c r="AH4655" s="199" t="str">
        <f>IF(G4655="","",IF(AND(COUNTIFS($J$18:J4655,J4655)=1,G4655&lt;&gt;""),1,""))</f>
        <v/>
      </c>
      <c r="AI4655" s="200">
        <f t="shared" si="1441"/>
        <v>0</v>
      </c>
      <c r="AJ4655" s="200">
        <f t="shared" si="1442"/>
        <v>0</v>
      </c>
      <c r="AK4655" s="201" t="str">
        <f t="shared" si="1443"/>
        <v/>
      </c>
      <c r="AL4655" s="24"/>
      <c r="AM4655" s="24"/>
      <c r="AN4655" s="24"/>
      <c r="AO4655" s="24"/>
      <c r="AP4655" s="165" t="str">
        <f t="shared" si="1444"/>
        <v/>
      </c>
      <c r="AQ4655" s="203" t="str">
        <f t="shared" si="1445"/>
        <v/>
      </c>
      <c r="AR4655" s="206">
        <f t="shared" si="1446"/>
        <v>0</v>
      </c>
      <c r="AS4655" s="22" t="str">
        <f t="shared" si="1447"/>
        <v/>
      </c>
      <c r="AT4655" s="24" t="str">
        <f t="shared" si="1448"/>
        <v/>
      </c>
      <c r="AU4655" s="22" t="s">
        <v>3240</v>
      </c>
    </row>
    <row r="4656" spans="1:47">
      <c r="A4656" s="246" t="str">
        <f t="shared" si="1436"/>
        <v/>
      </c>
      <c r="B4656" s="23"/>
      <c r="C4656" s="23"/>
      <c r="D4656" s="202" t="str">
        <f t="shared" si="1437"/>
        <v/>
      </c>
      <c r="E4656" s="33" t="str">
        <f t="shared" si="1431"/>
        <v/>
      </c>
      <c r="F4656" s="23"/>
      <c r="G4656" s="23"/>
      <c r="H4656" s="29"/>
      <c r="I4656" s="204" t="str">
        <f t="shared" si="1434"/>
        <v/>
      </c>
      <c r="J4656" s="188"/>
      <c r="K4656" s="29"/>
      <c r="L4656" s="24"/>
      <c r="M4656" s="22"/>
      <c r="N4656" s="22"/>
      <c r="O4656" s="22"/>
      <c r="P4656" s="202" t="str">
        <f t="shared" si="1435"/>
        <v/>
      </c>
      <c r="Q4656" s="22"/>
      <c r="R4656" s="22"/>
      <c r="S4656" s="22"/>
      <c r="T4656" s="22"/>
      <c r="U4656" s="22"/>
      <c r="V4656" s="22"/>
      <c r="W4656" s="22"/>
      <c r="X4656" s="104"/>
      <c r="Y4656" s="195" t="str">
        <f t="shared" si="1432"/>
        <v/>
      </c>
      <c r="Z4656" s="196" t="str">
        <f t="shared" si="1433"/>
        <v/>
      </c>
      <c r="AA4656" s="22"/>
      <c r="AB4656" s="197" t="str">
        <f t="shared" si="1438"/>
        <v/>
      </c>
      <c r="AC4656" s="198" t="str">
        <f t="shared" si="1439"/>
        <v/>
      </c>
      <c r="AD4656" s="162"/>
      <c r="AE4656" s="199" t="str">
        <f t="shared" si="1440"/>
        <v/>
      </c>
      <c r="AF4656" s="199" t="str">
        <f>IF(AND(COUNTIFS($J$18:J4656,J4656)=1,AE4656=1),1,"")</f>
        <v/>
      </c>
      <c r="AG4656" s="199" t="str">
        <f>IF(C4656="","",IF(AND(COUNTIFS($J$18:J4656,J4656)=1,C4656&lt;&gt;""),1,""))</f>
        <v/>
      </c>
      <c r="AH4656" s="199" t="str">
        <f>IF(G4656="","",IF(AND(COUNTIFS($J$18:J4656,J4656)=1,G4656&lt;&gt;""),1,""))</f>
        <v/>
      </c>
      <c r="AI4656" s="200">
        <f t="shared" si="1441"/>
        <v>0</v>
      </c>
      <c r="AJ4656" s="200">
        <f t="shared" si="1442"/>
        <v>0</v>
      </c>
      <c r="AK4656" s="201" t="str">
        <f t="shared" si="1443"/>
        <v/>
      </c>
      <c r="AL4656" s="24"/>
      <c r="AM4656" s="24"/>
      <c r="AN4656" s="24"/>
      <c r="AO4656" s="24"/>
      <c r="AP4656" s="165" t="str">
        <f t="shared" si="1444"/>
        <v/>
      </c>
      <c r="AQ4656" s="203" t="str">
        <f t="shared" si="1445"/>
        <v/>
      </c>
      <c r="AR4656" s="206">
        <f t="shared" si="1446"/>
        <v>0</v>
      </c>
      <c r="AS4656" s="22" t="str">
        <f t="shared" si="1447"/>
        <v/>
      </c>
      <c r="AT4656" s="24" t="str">
        <f t="shared" si="1448"/>
        <v/>
      </c>
      <c r="AU4656" s="22" t="s">
        <v>3240</v>
      </c>
    </row>
    <row r="4657" spans="1:47">
      <c r="A4657" s="246" t="str">
        <f t="shared" si="1436"/>
        <v/>
      </c>
      <c r="B4657" s="23"/>
      <c r="C4657" s="23"/>
      <c r="D4657" s="202" t="str">
        <f t="shared" si="1437"/>
        <v/>
      </c>
      <c r="E4657" s="33" t="str">
        <f t="shared" si="1431"/>
        <v/>
      </c>
      <c r="F4657" s="23"/>
      <c r="G4657" s="23"/>
      <c r="H4657" s="29"/>
      <c r="I4657" s="204" t="str">
        <f t="shared" si="1434"/>
        <v/>
      </c>
      <c r="J4657" s="188"/>
      <c r="K4657" s="29"/>
      <c r="L4657" s="24"/>
      <c r="M4657" s="22"/>
      <c r="N4657" s="22"/>
      <c r="O4657" s="22"/>
      <c r="P4657" s="202" t="str">
        <f t="shared" si="1435"/>
        <v/>
      </c>
      <c r="Q4657" s="22"/>
      <c r="R4657" s="22"/>
      <c r="S4657" s="22"/>
      <c r="T4657" s="22"/>
      <c r="U4657" s="22"/>
      <c r="V4657" s="22"/>
      <c r="W4657" s="22"/>
      <c r="X4657" s="104"/>
      <c r="Y4657" s="195" t="str">
        <f t="shared" si="1432"/>
        <v/>
      </c>
      <c r="Z4657" s="196" t="str">
        <f t="shared" si="1433"/>
        <v/>
      </c>
      <c r="AA4657" s="22"/>
      <c r="AB4657" s="197" t="str">
        <f t="shared" si="1438"/>
        <v/>
      </c>
      <c r="AC4657" s="198" t="str">
        <f t="shared" si="1439"/>
        <v/>
      </c>
      <c r="AD4657" s="162"/>
      <c r="AE4657" s="199" t="str">
        <f t="shared" si="1440"/>
        <v/>
      </c>
      <c r="AF4657" s="199" t="str">
        <f>IF(AND(COUNTIFS($J$18:J4657,J4657)=1,AE4657=1),1,"")</f>
        <v/>
      </c>
      <c r="AG4657" s="199" t="str">
        <f>IF(C4657="","",IF(AND(COUNTIFS($J$18:J4657,J4657)=1,C4657&lt;&gt;""),1,""))</f>
        <v/>
      </c>
      <c r="AH4657" s="199" t="str">
        <f>IF(G4657="","",IF(AND(COUNTIFS($J$18:J4657,J4657)=1,G4657&lt;&gt;""),1,""))</f>
        <v/>
      </c>
      <c r="AI4657" s="200">
        <f t="shared" si="1441"/>
        <v>0</v>
      </c>
      <c r="AJ4657" s="200">
        <f t="shared" si="1442"/>
        <v>0</v>
      </c>
      <c r="AK4657" s="201" t="str">
        <f t="shared" si="1443"/>
        <v/>
      </c>
      <c r="AL4657" s="24"/>
      <c r="AM4657" s="24"/>
      <c r="AN4657" s="24"/>
      <c r="AO4657" s="24"/>
      <c r="AP4657" s="165" t="str">
        <f t="shared" si="1444"/>
        <v/>
      </c>
      <c r="AQ4657" s="203" t="str">
        <f t="shared" si="1445"/>
        <v/>
      </c>
      <c r="AR4657" s="206">
        <f t="shared" si="1446"/>
        <v>0</v>
      </c>
      <c r="AS4657" s="22" t="str">
        <f t="shared" si="1447"/>
        <v/>
      </c>
      <c r="AT4657" s="24" t="str">
        <f t="shared" si="1448"/>
        <v/>
      </c>
      <c r="AU4657" s="22" t="s">
        <v>3240</v>
      </c>
    </row>
    <row r="4658" spans="1:47">
      <c r="A4658" s="246" t="str">
        <f t="shared" si="1436"/>
        <v/>
      </c>
      <c r="B4658" s="23"/>
      <c r="C4658" s="23"/>
      <c r="D4658" s="202" t="str">
        <f t="shared" si="1437"/>
        <v/>
      </c>
      <c r="E4658" s="33" t="str">
        <f t="shared" si="1431"/>
        <v/>
      </c>
      <c r="F4658" s="23"/>
      <c r="G4658" s="23"/>
      <c r="H4658" s="29"/>
      <c r="I4658" s="204" t="str">
        <f t="shared" si="1434"/>
        <v/>
      </c>
      <c r="J4658" s="188"/>
      <c r="K4658" s="29"/>
      <c r="L4658" s="24"/>
      <c r="M4658" s="22"/>
      <c r="N4658" s="22"/>
      <c r="O4658" s="22"/>
      <c r="P4658" s="202" t="str">
        <f t="shared" si="1435"/>
        <v/>
      </c>
      <c r="Q4658" s="22"/>
      <c r="R4658" s="22"/>
      <c r="S4658" s="22"/>
      <c r="T4658" s="22"/>
      <c r="U4658" s="22"/>
      <c r="V4658" s="22"/>
      <c r="W4658" s="22"/>
      <c r="X4658" s="104"/>
      <c r="Y4658" s="195" t="str">
        <f t="shared" si="1432"/>
        <v/>
      </c>
      <c r="Z4658" s="196" t="str">
        <f t="shared" si="1433"/>
        <v/>
      </c>
      <c r="AA4658" s="22"/>
      <c r="AB4658" s="197" t="str">
        <f t="shared" si="1438"/>
        <v/>
      </c>
      <c r="AC4658" s="198" t="str">
        <f t="shared" si="1439"/>
        <v/>
      </c>
      <c r="AD4658" s="162"/>
      <c r="AE4658" s="199" t="str">
        <f t="shared" si="1440"/>
        <v/>
      </c>
      <c r="AF4658" s="199" t="str">
        <f>IF(AND(COUNTIFS($J$18:J4658,J4658)=1,AE4658=1),1,"")</f>
        <v/>
      </c>
      <c r="AG4658" s="199" t="str">
        <f>IF(C4658="","",IF(AND(COUNTIFS($J$18:J4658,J4658)=1,C4658&lt;&gt;""),1,""))</f>
        <v/>
      </c>
      <c r="AH4658" s="199" t="str">
        <f>IF(G4658="","",IF(AND(COUNTIFS($J$18:J4658,J4658)=1,G4658&lt;&gt;""),1,""))</f>
        <v/>
      </c>
      <c r="AI4658" s="200">
        <f t="shared" si="1441"/>
        <v>0</v>
      </c>
      <c r="AJ4658" s="200">
        <f t="shared" si="1442"/>
        <v>0</v>
      </c>
      <c r="AK4658" s="201" t="str">
        <f t="shared" si="1443"/>
        <v/>
      </c>
      <c r="AL4658" s="24"/>
      <c r="AM4658" s="24"/>
      <c r="AN4658" s="24"/>
      <c r="AO4658" s="24"/>
      <c r="AP4658" s="165" t="str">
        <f t="shared" si="1444"/>
        <v/>
      </c>
      <c r="AQ4658" s="203" t="str">
        <f t="shared" si="1445"/>
        <v/>
      </c>
      <c r="AR4658" s="206">
        <f t="shared" si="1446"/>
        <v>0</v>
      </c>
      <c r="AS4658" s="22" t="str">
        <f t="shared" si="1447"/>
        <v/>
      </c>
      <c r="AT4658" s="24" t="str">
        <f t="shared" si="1448"/>
        <v/>
      </c>
      <c r="AU4658" s="22" t="s">
        <v>3240</v>
      </c>
    </row>
    <row r="4659" spans="1:47">
      <c r="A4659" s="246" t="str">
        <f t="shared" si="1436"/>
        <v/>
      </c>
      <c r="B4659" s="23"/>
      <c r="C4659" s="23"/>
      <c r="D4659" s="202" t="str">
        <f t="shared" si="1437"/>
        <v/>
      </c>
      <c r="E4659" s="33" t="str">
        <f t="shared" si="1431"/>
        <v/>
      </c>
      <c r="F4659" s="23"/>
      <c r="G4659" s="23"/>
      <c r="H4659" s="29"/>
      <c r="I4659" s="204" t="str">
        <f t="shared" si="1434"/>
        <v/>
      </c>
      <c r="J4659" s="188"/>
      <c r="K4659" s="29"/>
      <c r="L4659" s="24"/>
      <c r="M4659" s="22"/>
      <c r="N4659" s="22"/>
      <c r="O4659" s="22"/>
      <c r="P4659" s="202" t="str">
        <f t="shared" si="1435"/>
        <v/>
      </c>
      <c r="Q4659" s="22"/>
      <c r="R4659" s="22"/>
      <c r="S4659" s="22"/>
      <c r="T4659" s="22"/>
      <c r="U4659" s="22"/>
      <c r="V4659" s="22"/>
      <c r="W4659" s="22"/>
      <c r="X4659" s="104"/>
      <c r="Y4659" s="195" t="str">
        <f t="shared" si="1432"/>
        <v/>
      </c>
      <c r="Z4659" s="196" t="str">
        <f t="shared" si="1433"/>
        <v/>
      </c>
      <c r="AA4659" s="22"/>
      <c r="AB4659" s="197" t="str">
        <f t="shared" si="1438"/>
        <v/>
      </c>
      <c r="AC4659" s="198" t="str">
        <f t="shared" si="1439"/>
        <v/>
      </c>
      <c r="AD4659" s="162"/>
      <c r="AE4659" s="199" t="str">
        <f t="shared" si="1440"/>
        <v/>
      </c>
      <c r="AF4659" s="199" t="str">
        <f>IF(AND(COUNTIFS($J$18:J4659,J4659)=1,AE4659=1),1,"")</f>
        <v/>
      </c>
      <c r="AG4659" s="199" t="str">
        <f>IF(C4659="","",IF(AND(COUNTIFS($J$18:J4659,J4659)=1,C4659&lt;&gt;""),1,""))</f>
        <v/>
      </c>
      <c r="AH4659" s="199" t="str">
        <f>IF(G4659="","",IF(AND(COUNTIFS($J$18:J4659,J4659)=1,G4659&lt;&gt;""),1,""))</f>
        <v/>
      </c>
      <c r="AI4659" s="200">
        <f t="shared" si="1441"/>
        <v>0</v>
      </c>
      <c r="AJ4659" s="200">
        <f t="shared" si="1442"/>
        <v>0</v>
      </c>
      <c r="AK4659" s="201" t="str">
        <f t="shared" si="1443"/>
        <v/>
      </c>
      <c r="AL4659" s="24"/>
      <c r="AM4659" s="24"/>
      <c r="AN4659" s="24"/>
      <c r="AO4659" s="24"/>
      <c r="AP4659" s="165" t="str">
        <f t="shared" si="1444"/>
        <v/>
      </c>
      <c r="AQ4659" s="203" t="str">
        <f t="shared" si="1445"/>
        <v/>
      </c>
      <c r="AR4659" s="206">
        <f t="shared" si="1446"/>
        <v>0</v>
      </c>
      <c r="AS4659" s="22" t="str">
        <f t="shared" si="1447"/>
        <v/>
      </c>
      <c r="AT4659" s="24" t="str">
        <f t="shared" si="1448"/>
        <v/>
      </c>
      <c r="AU4659" s="22" t="s">
        <v>3240</v>
      </c>
    </row>
    <row r="4660" spans="1:47">
      <c r="A4660" s="246" t="str">
        <f t="shared" si="1436"/>
        <v/>
      </c>
      <c r="B4660" s="23"/>
      <c r="C4660" s="23"/>
      <c r="D4660" s="202" t="str">
        <f t="shared" si="1437"/>
        <v/>
      </c>
      <c r="E4660" s="33" t="str">
        <f t="shared" si="1431"/>
        <v/>
      </c>
      <c r="F4660" s="23"/>
      <c r="G4660" s="23"/>
      <c r="H4660" s="29"/>
      <c r="I4660" s="204" t="str">
        <f t="shared" si="1434"/>
        <v/>
      </c>
      <c r="J4660" s="188"/>
      <c r="K4660" s="29"/>
      <c r="L4660" s="24"/>
      <c r="M4660" s="22"/>
      <c r="N4660" s="22"/>
      <c r="O4660" s="22"/>
      <c r="P4660" s="202" t="str">
        <f t="shared" si="1435"/>
        <v/>
      </c>
      <c r="Q4660" s="22"/>
      <c r="R4660" s="22"/>
      <c r="S4660" s="22"/>
      <c r="T4660" s="22"/>
      <c r="U4660" s="22"/>
      <c r="V4660" s="22"/>
      <c r="W4660" s="22"/>
      <c r="X4660" s="104"/>
      <c r="Y4660" s="195" t="str">
        <f t="shared" si="1432"/>
        <v/>
      </c>
      <c r="Z4660" s="196" t="str">
        <f t="shared" si="1433"/>
        <v/>
      </c>
      <c r="AA4660" s="22"/>
      <c r="AB4660" s="197" t="str">
        <f t="shared" si="1438"/>
        <v/>
      </c>
      <c r="AC4660" s="198" t="str">
        <f t="shared" si="1439"/>
        <v/>
      </c>
      <c r="AD4660" s="162"/>
      <c r="AE4660" s="199" t="str">
        <f t="shared" si="1440"/>
        <v/>
      </c>
      <c r="AF4660" s="199" t="str">
        <f>IF(AND(COUNTIFS($J$18:J4660,J4660)=1,AE4660=1),1,"")</f>
        <v/>
      </c>
      <c r="AG4660" s="199" t="str">
        <f>IF(C4660="","",IF(AND(COUNTIFS($J$18:J4660,J4660)=1,C4660&lt;&gt;""),1,""))</f>
        <v/>
      </c>
      <c r="AH4660" s="199" t="str">
        <f>IF(G4660="","",IF(AND(COUNTIFS($J$18:J4660,J4660)=1,G4660&lt;&gt;""),1,""))</f>
        <v/>
      </c>
      <c r="AI4660" s="200">
        <f t="shared" si="1441"/>
        <v>0</v>
      </c>
      <c r="AJ4660" s="200">
        <f t="shared" si="1442"/>
        <v>0</v>
      </c>
      <c r="AK4660" s="201" t="str">
        <f t="shared" si="1443"/>
        <v/>
      </c>
      <c r="AL4660" s="24"/>
      <c r="AM4660" s="24"/>
      <c r="AN4660" s="24"/>
      <c r="AO4660" s="24"/>
      <c r="AP4660" s="165" t="str">
        <f t="shared" si="1444"/>
        <v/>
      </c>
      <c r="AQ4660" s="203" t="str">
        <f t="shared" si="1445"/>
        <v/>
      </c>
      <c r="AR4660" s="206">
        <f t="shared" si="1446"/>
        <v>0</v>
      </c>
      <c r="AS4660" s="22" t="str">
        <f t="shared" si="1447"/>
        <v/>
      </c>
      <c r="AT4660" s="24" t="str">
        <f t="shared" si="1448"/>
        <v/>
      </c>
      <c r="AU4660" s="22" t="s">
        <v>3240</v>
      </c>
    </row>
    <row r="4661" spans="1:47">
      <c r="A4661" s="246" t="str">
        <f t="shared" si="1436"/>
        <v/>
      </c>
      <c r="B4661" s="23"/>
      <c r="C4661" s="23"/>
      <c r="D4661" s="202" t="str">
        <f t="shared" si="1437"/>
        <v/>
      </c>
      <c r="E4661" s="33" t="str">
        <f t="shared" si="1431"/>
        <v/>
      </c>
      <c r="F4661" s="23"/>
      <c r="G4661" s="23"/>
      <c r="H4661" s="29"/>
      <c r="I4661" s="204" t="str">
        <f t="shared" si="1434"/>
        <v/>
      </c>
      <c r="J4661" s="188"/>
      <c r="K4661" s="29"/>
      <c r="L4661" s="24"/>
      <c r="M4661" s="22"/>
      <c r="N4661" s="22"/>
      <c r="O4661" s="22"/>
      <c r="P4661" s="202" t="str">
        <f t="shared" si="1435"/>
        <v/>
      </c>
      <c r="Q4661" s="22"/>
      <c r="R4661" s="22"/>
      <c r="S4661" s="22"/>
      <c r="T4661" s="22"/>
      <c r="U4661" s="22"/>
      <c r="V4661" s="22"/>
      <c r="W4661" s="22"/>
      <c r="X4661" s="104"/>
      <c r="Y4661" s="195" t="str">
        <f t="shared" si="1432"/>
        <v/>
      </c>
      <c r="Z4661" s="196" t="str">
        <f t="shared" si="1433"/>
        <v/>
      </c>
      <c r="AA4661" s="22"/>
      <c r="AB4661" s="197" t="str">
        <f t="shared" si="1438"/>
        <v/>
      </c>
      <c r="AC4661" s="198" t="str">
        <f t="shared" si="1439"/>
        <v/>
      </c>
      <c r="AD4661" s="162"/>
      <c r="AE4661" s="199" t="str">
        <f t="shared" si="1440"/>
        <v/>
      </c>
      <c r="AF4661" s="199" t="str">
        <f>IF(AND(COUNTIFS($J$18:J4661,J4661)=1,AE4661=1),1,"")</f>
        <v/>
      </c>
      <c r="AG4661" s="199" t="str">
        <f>IF(C4661="","",IF(AND(COUNTIFS($J$18:J4661,J4661)=1,C4661&lt;&gt;""),1,""))</f>
        <v/>
      </c>
      <c r="AH4661" s="199" t="str">
        <f>IF(G4661="","",IF(AND(COUNTIFS($J$18:J4661,J4661)=1,G4661&lt;&gt;""),1,""))</f>
        <v/>
      </c>
      <c r="AI4661" s="200">
        <f t="shared" si="1441"/>
        <v>0</v>
      </c>
      <c r="AJ4661" s="200">
        <f t="shared" si="1442"/>
        <v>0</v>
      </c>
      <c r="AK4661" s="201" t="str">
        <f t="shared" si="1443"/>
        <v/>
      </c>
      <c r="AL4661" s="24"/>
      <c r="AM4661" s="24"/>
      <c r="AN4661" s="24"/>
      <c r="AO4661" s="24"/>
      <c r="AP4661" s="165" t="str">
        <f t="shared" si="1444"/>
        <v/>
      </c>
      <c r="AQ4661" s="203" t="str">
        <f t="shared" si="1445"/>
        <v/>
      </c>
      <c r="AR4661" s="206">
        <f t="shared" si="1446"/>
        <v>0</v>
      </c>
      <c r="AS4661" s="22" t="str">
        <f t="shared" si="1447"/>
        <v/>
      </c>
      <c r="AT4661" s="24" t="str">
        <f t="shared" si="1448"/>
        <v/>
      </c>
      <c r="AU4661" s="22" t="s">
        <v>3240</v>
      </c>
    </row>
    <row r="4662" spans="1:47">
      <c r="A4662" s="246" t="str">
        <f t="shared" si="1436"/>
        <v/>
      </c>
      <c r="B4662" s="23"/>
      <c r="C4662" s="23"/>
      <c r="D4662" s="202" t="str">
        <f t="shared" si="1437"/>
        <v/>
      </c>
      <c r="E4662" s="33" t="str">
        <f t="shared" si="1431"/>
        <v/>
      </c>
      <c r="F4662" s="23"/>
      <c r="G4662" s="23"/>
      <c r="H4662" s="29"/>
      <c r="I4662" s="204" t="str">
        <f t="shared" si="1434"/>
        <v/>
      </c>
      <c r="J4662" s="188"/>
      <c r="K4662" s="29"/>
      <c r="L4662" s="24"/>
      <c r="M4662" s="22"/>
      <c r="N4662" s="22"/>
      <c r="O4662" s="22"/>
      <c r="P4662" s="202" t="str">
        <f t="shared" si="1435"/>
        <v/>
      </c>
      <c r="Q4662" s="22"/>
      <c r="R4662" s="22"/>
      <c r="S4662" s="22"/>
      <c r="T4662" s="22"/>
      <c r="U4662" s="22"/>
      <c r="V4662" s="22"/>
      <c r="W4662" s="22"/>
      <c r="X4662" s="104"/>
      <c r="Y4662" s="195" t="str">
        <f t="shared" si="1432"/>
        <v/>
      </c>
      <c r="Z4662" s="196" t="str">
        <f t="shared" si="1433"/>
        <v/>
      </c>
      <c r="AA4662" s="22"/>
      <c r="AB4662" s="197" t="str">
        <f t="shared" si="1438"/>
        <v/>
      </c>
      <c r="AC4662" s="198" t="str">
        <f t="shared" si="1439"/>
        <v/>
      </c>
      <c r="AD4662" s="162"/>
      <c r="AE4662" s="199" t="str">
        <f t="shared" si="1440"/>
        <v/>
      </c>
      <c r="AF4662" s="199" t="str">
        <f>IF(AND(COUNTIFS($J$18:J4662,J4662)=1,AE4662=1),1,"")</f>
        <v/>
      </c>
      <c r="AG4662" s="199" t="str">
        <f>IF(C4662="","",IF(AND(COUNTIFS($J$18:J4662,J4662)=1,C4662&lt;&gt;""),1,""))</f>
        <v/>
      </c>
      <c r="AH4662" s="199" t="str">
        <f>IF(G4662="","",IF(AND(COUNTIFS($J$18:J4662,J4662)=1,G4662&lt;&gt;""),1,""))</f>
        <v/>
      </c>
      <c r="AI4662" s="200">
        <f t="shared" si="1441"/>
        <v>0</v>
      </c>
      <c r="AJ4662" s="200">
        <f t="shared" si="1442"/>
        <v>0</v>
      </c>
      <c r="AK4662" s="201" t="str">
        <f t="shared" si="1443"/>
        <v/>
      </c>
      <c r="AL4662" s="24"/>
      <c r="AM4662" s="24"/>
      <c r="AN4662" s="24"/>
      <c r="AO4662" s="24"/>
      <c r="AP4662" s="165" t="str">
        <f t="shared" si="1444"/>
        <v/>
      </c>
      <c r="AQ4662" s="203" t="str">
        <f t="shared" si="1445"/>
        <v/>
      </c>
      <c r="AR4662" s="206">
        <f t="shared" si="1446"/>
        <v>0</v>
      </c>
      <c r="AS4662" s="22" t="str">
        <f t="shared" si="1447"/>
        <v/>
      </c>
      <c r="AT4662" s="24" t="str">
        <f t="shared" si="1448"/>
        <v/>
      </c>
      <c r="AU4662" s="22" t="s">
        <v>3240</v>
      </c>
    </row>
    <row r="4663" spans="1:47">
      <c r="A4663" s="246" t="str">
        <f t="shared" si="1436"/>
        <v/>
      </c>
      <c r="B4663" s="23"/>
      <c r="C4663" s="23"/>
      <c r="D4663" s="202" t="str">
        <f t="shared" si="1437"/>
        <v/>
      </c>
      <c r="E4663" s="33" t="str">
        <f t="shared" si="1431"/>
        <v/>
      </c>
      <c r="F4663" s="23"/>
      <c r="G4663" s="23"/>
      <c r="H4663" s="29"/>
      <c r="I4663" s="204" t="str">
        <f t="shared" si="1434"/>
        <v/>
      </c>
      <c r="J4663" s="188"/>
      <c r="K4663" s="29"/>
      <c r="L4663" s="24"/>
      <c r="M4663" s="22"/>
      <c r="N4663" s="22"/>
      <c r="O4663" s="22"/>
      <c r="P4663" s="202" t="str">
        <f t="shared" si="1435"/>
        <v/>
      </c>
      <c r="Q4663" s="22"/>
      <c r="R4663" s="22"/>
      <c r="S4663" s="22"/>
      <c r="T4663" s="22"/>
      <c r="U4663" s="22"/>
      <c r="V4663" s="22"/>
      <c r="W4663" s="22"/>
      <c r="X4663" s="104"/>
      <c r="Y4663" s="195" t="str">
        <f t="shared" si="1432"/>
        <v/>
      </c>
      <c r="Z4663" s="196" t="str">
        <f t="shared" si="1433"/>
        <v/>
      </c>
      <c r="AA4663" s="22"/>
      <c r="AB4663" s="197" t="str">
        <f t="shared" si="1438"/>
        <v/>
      </c>
      <c r="AC4663" s="198" t="str">
        <f t="shared" si="1439"/>
        <v/>
      </c>
      <c r="AD4663" s="162"/>
      <c r="AE4663" s="199" t="str">
        <f t="shared" si="1440"/>
        <v/>
      </c>
      <c r="AF4663" s="199" t="str">
        <f>IF(AND(COUNTIFS($J$18:J4663,J4663)=1,AE4663=1),1,"")</f>
        <v/>
      </c>
      <c r="AG4663" s="199" t="str">
        <f>IF(C4663="","",IF(AND(COUNTIFS($J$18:J4663,J4663)=1,C4663&lt;&gt;""),1,""))</f>
        <v/>
      </c>
      <c r="AH4663" s="199" t="str">
        <f>IF(G4663="","",IF(AND(COUNTIFS($J$18:J4663,J4663)=1,G4663&lt;&gt;""),1,""))</f>
        <v/>
      </c>
      <c r="AI4663" s="200">
        <f t="shared" si="1441"/>
        <v>0</v>
      </c>
      <c r="AJ4663" s="200">
        <f t="shared" si="1442"/>
        <v>0</v>
      </c>
      <c r="AK4663" s="201" t="str">
        <f t="shared" si="1443"/>
        <v/>
      </c>
      <c r="AL4663" s="24"/>
      <c r="AM4663" s="24"/>
      <c r="AN4663" s="24"/>
      <c r="AO4663" s="24"/>
      <c r="AP4663" s="165" t="str">
        <f t="shared" si="1444"/>
        <v/>
      </c>
      <c r="AQ4663" s="203" t="str">
        <f t="shared" si="1445"/>
        <v/>
      </c>
      <c r="AR4663" s="206">
        <f t="shared" si="1446"/>
        <v>0</v>
      </c>
      <c r="AS4663" s="22" t="str">
        <f t="shared" si="1447"/>
        <v/>
      </c>
      <c r="AT4663" s="24" t="str">
        <f t="shared" si="1448"/>
        <v/>
      </c>
      <c r="AU4663" s="22" t="s">
        <v>3240</v>
      </c>
    </row>
    <row r="4664" spans="1:47">
      <c r="A4664" s="246" t="str">
        <f t="shared" si="1436"/>
        <v/>
      </c>
      <c r="B4664" s="23"/>
      <c r="C4664" s="23"/>
      <c r="D4664" s="202" t="str">
        <f t="shared" si="1437"/>
        <v/>
      </c>
      <c r="E4664" s="33" t="str">
        <f t="shared" si="1431"/>
        <v/>
      </c>
      <c r="F4664" s="23"/>
      <c r="G4664" s="23"/>
      <c r="H4664" s="29"/>
      <c r="I4664" s="204" t="str">
        <f t="shared" si="1434"/>
        <v/>
      </c>
      <c r="J4664" s="188"/>
      <c r="K4664" s="29"/>
      <c r="L4664" s="24"/>
      <c r="M4664" s="22"/>
      <c r="N4664" s="22"/>
      <c r="O4664" s="22"/>
      <c r="P4664" s="202" t="str">
        <f t="shared" si="1435"/>
        <v/>
      </c>
      <c r="Q4664" s="22"/>
      <c r="R4664" s="22"/>
      <c r="S4664" s="22"/>
      <c r="T4664" s="22"/>
      <c r="U4664" s="22"/>
      <c r="V4664" s="22"/>
      <c r="W4664" s="22"/>
      <c r="X4664" s="104"/>
      <c r="Y4664" s="195" t="str">
        <f t="shared" si="1432"/>
        <v/>
      </c>
      <c r="Z4664" s="196" t="str">
        <f t="shared" si="1433"/>
        <v/>
      </c>
      <c r="AA4664" s="22"/>
      <c r="AB4664" s="197" t="str">
        <f t="shared" si="1438"/>
        <v/>
      </c>
      <c r="AC4664" s="198" t="str">
        <f t="shared" si="1439"/>
        <v/>
      </c>
      <c r="AD4664" s="162"/>
      <c r="AE4664" s="199" t="str">
        <f t="shared" si="1440"/>
        <v/>
      </c>
      <c r="AF4664" s="199" t="str">
        <f>IF(AND(COUNTIFS($J$18:J4664,J4664)=1,AE4664=1),1,"")</f>
        <v/>
      </c>
      <c r="AG4664" s="199" t="str">
        <f>IF(C4664="","",IF(AND(COUNTIFS($J$18:J4664,J4664)=1,C4664&lt;&gt;""),1,""))</f>
        <v/>
      </c>
      <c r="AH4664" s="199" t="str">
        <f>IF(G4664="","",IF(AND(COUNTIFS($J$18:J4664,J4664)=1,G4664&lt;&gt;""),1,""))</f>
        <v/>
      </c>
      <c r="AI4664" s="200">
        <f t="shared" si="1441"/>
        <v>0</v>
      </c>
      <c r="AJ4664" s="200">
        <f t="shared" si="1442"/>
        <v>0</v>
      </c>
      <c r="AK4664" s="201" t="str">
        <f t="shared" si="1443"/>
        <v/>
      </c>
      <c r="AL4664" s="24"/>
      <c r="AM4664" s="24"/>
      <c r="AN4664" s="24"/>
      <c r="AO4664" s="24"/>
      <c r="AP4664" s="165" t="str">
        <f t="shared" si="1444"/>
        <v/>
      </c>
      <c r="AQ4664" s="203" t="str">
        <f t="shared" si="1445"/>
        <v/>
      </c>
      <c r="AR4664" s="206">
        <f t="shared" si="1446"/>
        <v>0</v>
      </c>
      <c r="AS4664" s="22" t="str">
        <f t="shared" si="1447"/>
        <v/>
      </c>
      <c r="AT4664" s="24" t="str">
        <f t="shared" si="1448"/>
        <v/>
      </c>
      <c r="AU4664" s="22" t="s">
        <v>3240</v>
      </c>
    </row>
    <row r="4665" spans="1:47">
      <c r="A4665" s="246" t="str">
        <f t="shared" si="1436"/>
        <v/>
      </c>
      <c r="B4665" s="23"/>
      <c r="C4665" s="23"/>
      <c r="D4665" s="202" t="str">
        <f t="shared" si="1437"/>
        <v/>
      </c>
      <c r="E4665" s="33" t="str">
        <f t="shared" si="1431"/>
        <v/>
      </c>
      <c r="F4665" s="23"/>
      <c r="G4665" s="23"/>
      <c r="H4665" s="29"/>
      <c r="I4665" s="204" t="str">
        <f t="shared" si="1434"/>
        <v/>
      </c>
      <c r="J4665" s="188"/>
      <c r="K4665" s="29"/>
      <c r="L4665" s="24"/>
      <c r="M4665" s="22"/>
      <c r="N4665" s="22"/>
      <c r="O4665" s="22"/>
      <c r="P4665" s="202" t="str">
        <f t="shared" si="1435"/>
        <v/>
      </c>
      <c r="Q4665" s="22"/>
      <c r="R4665" s="22"/>
      <c r="S4665" s="22"/>
      <c r="T4665" s="22"/>
      <c r="U4665" s="22"/>
      <c r="V4665" s="22"/>
      <c r="W4665" s="22"/>
      <c r="X4665" s="104"/>
      <c r="Y4665" s="195" t="str">
        <f t="shared" si="1432"/>
        <v/>
      </c>
      <c r="Z4665" s="196" t="str">
        <f t="shared" si="1433"/>
        <v/>
      </c>
      <c r="AA4665" s="22"/>
      <c r="AB4665" s="197" t="str">
        <f t="shared" si="1438"/>
        <v/>
      </c>
      <c r="AC4665" s="198" t="str">
        <f t="shared" si="1439"/>
        <v/>
      </c>
      <c r="AD4665" s="162"/>
      <c r="AE4665" s="199" t="str">
        <f t="shared" si="1440"/>
        <v/>
      </c>
      <c r="AF4665" s="199" t="str">
        <f>IF(AND(COUNTIFS($J$18:J4665,J4665)=1,AE4665=1),1,"")</f>
        <v/>
      </c>
      <c r="AG4665" s="199" t="str">
        <f>IF(C4665="","",IF(AND(COUNTIFS($J$18:J4665,J4665)=1,C4665&lt;&gt;""),1,""))</f>
        <v/>
      </c>
      <c r="AH4665" s="199" t="str">
        <f>IF(G4665="","",IF(AND(COUNTIFS($J$18:J4665,J4665)=1,G4665&lt;&gt;""),1,""))</f>
        <v/>
      </c>
      <c r="AI4665" s="200">
        <f t="shared" si="1441"/>
        <v>0</v>
      </c>
      <c r="AJ4665" s="200">
        <f t="shared" si="1442"/>
        <v>0</v>
      </c>
      <c r="AK4665" s="201" t="str">
        <f t="shared" si="1443"/>
        <v/>
      </c>
      <c r="AL4665" s="24"/>
      <c r="AM4665" s="24"/>
      <c r="AN4665" s="24"/>
      <c r="AO4665" s="24"/>
      <c r="AP4665" s="165" t="str">
        <f t="shared" si="1444"/>
        <v/>
      </c>
      <c r="AQ4665" s="203" t="str">
        <f t="shared" si="1445"/>
        <v/>
      </c>
      <c r="AR4665" s="206">
        <f t="shared" si="1446"/>
        <v>0</v>
      </c>
      <c r="AS4665" s="22" t="str">
        <f t="shared" si="1447"/>
        <v/>
      </c>
      <c r="AT4665" s="24" t="str">
        <f t="shared" si="1448"/>
        <v/>
      </c>
      <c r="AU4665" s="22" t="s">
        <v>3240</v>
      </c>
    </row>
    <row r="4666" spans="1:47">
      <c r="A4666" s="246" t="str">
        <f t="shared" si="1436"/>
        <v/>
      </c>
      <c r="B4666" s="23"/>
      <c r="C4666" s="23"/>
      <c r="D4666" s="202" t="str">
        <f t="shared" si="1437"/>
        <v/>
      </c>
      <c r="E4666" s="33" t="str">
        <f t="shared" si="1431"/>
        <v/>
      </c>
      <c r="F4666" s="23"/>
      <c r="G4666" s="23"/>
      <c r="H4666" s="29"/>
      <c r="I4666" s="204" t="str">
        <f t="shared" si="1434"/>
        <v/>
      </c>
      <c r="J4666" s="188"/>
      <c r="K4666" s="29"/>
      <c r="L4666" s="24"/>
      <c r="M4666" s="22"/>
      <c r="N4666" s="22"/>
      <c r="O4666" s="22"/>
      <c r="P4666" s="202" t="str">
        <f t="shared" si="1435"/>
        <v/>
      </c>
      <c r="Q4666" s="22"/>
      <c r="R4666" s="22"/>
      <c r="S4666" s="22"/>
      <c r="T4666" s="22"/>
      <c r="U4666" s="22"/>
      <c r="V4666" s="22"/>
      <c r="W4666" s="22"/>
      <c r="X4666" s="104"/>
      <c r="Y4666" s="195" t="str">
        <f t="shared" si="1432"/>
        <v/>
      </c>
      <c r="Z4666" s="196" t="str">
        <f t="shared" si="1433"/>
        <v/>
      </c>
      <c r="AA4666" s="22"/>
      <c r="AB4666" s="197" t="str">
        <f t="shared" si="1438"/>
        <v/>
      </c>
      <c r="AC4666" s="198" t="str">
        <f t="shared" si="1439"/>
        <v/>
      </c>
      <c r="AD4666" s="162"/>
      <c r="AE4666" s="199" t="str">
        <f t="shared" si="1440"/>
        <v/>
      </c>
      <c r="AF4666" s="199" t="str">
        <f>IF(AND(COUNTIFS($J$18:J4666,J4666)=1,AE4666=1),1,"")</f>
        <v/>
      </c>
      <c r="AG4666" s="199" t="str">
        <f>IF(C4666="","",IF(AND(COUNTIFS($J$18:J4666,J4666)=1,C4666&lt;&gt;""),1,""))</f>
        <v/>
      </c>
      <c r="AH4666" s="199" t="str">
        <f>IF(G4666="","",IF(AND(COUNTIFS($J$18:J4666,J4666)=1,G4666&lt;&gt;""),1,""))</f>
        <v/>
      </c>
      <c r="AI4666" s="200">
        <f t="shared" si="1441"/>
        <v>0</v>
      </c>
      <c r="AJ4666" s="200">
        <f t="shared" si="1442"/>
        <v>0</v>
      </c>
      <c r="AK4666" s="201" t="str">
        <f t="shared" si="1443"/>
        <v/>
      </c>
      <c r="AL4666" s="24"/>
      <c r="AM4666" s="24"/>
      <c r="AN4666" s="24"/>
      <c r="AO4666" s="24"/>
      <c r="AP4666" s="165" t="str">
        <f t="shared" si="1444"/>
        <v/>
      </c>
      <c r="AQ4666" s="203" t="str">
        <f t="shared" si="1445"/>
        <v/>
      </c>
      <c r="AR4666" s="206">
        <f t="shared" si="1446"/>
        <v>0</v>
      </c>
      <c r="AS4666" s="22" t="str">
        <f t="shared" si="1447"/>
        <v/>
      </c>
      <c r="AT4666" s="24" t="str">
        <f t="shared" si="1448"/>
        <v/>
      </c>
      <c r="AU4666" s="22" t="s">
        <v>3240</v>
      </c>
    </row>
    <row r="4667" spans="1:47">
      <c r="A4667" s="246" t="str">
        <f t="shared" si="1436"/>
        <v/>
      </c>
      <c r="B4667" s="23"/>
      <c r="C4667" s="23"/>
      <c r="D4667" s="202" t="str">
        <f t="shared" si="1437"/>
        <v/>
      </c>
      <c r="E4667" s="33" t="str">
        <f t="shared" si="1431"/>
        <v/>
      </c>
      <c r="F4667" s="23"/>
      <c r="G4667" s="23"/>
      <c r="H4667" s="29"/>
      <c r="I4667" s="204" t="str">
        <f t="shared" si="1434"/>
        <v/>
      </c>
      <c r="J4667" s="188"/>
      <c r="K4667" s="29"/>
      <c r="L4667" s="24"/>
      <c r="M4667" s="22"/>
      <c r="N4667" s="22"/>
      <c r="O4667" s="22"/>
      <c r="P4667" s="202" t="str">
        <f t="shared" si="1435"/>
        <v/>
      </c>
      <c r="Q4667" s="22"/>
      <c r="R4667" s="22"/>
      <c r="S4667" s="22"/>
      <c r="T4667" s="22"/>
      <c r="U4667" s="22"/>
      <c r="V4667" s="22"/>
      <c r="W4667" s="22"/>
      <c r="X4667" s="104"/>
      <c r="Y4667" s="195" t="str">
        <f t="shared" si="1432"/>
        <v/>
      </c>
      <c r="Z4667" s="196" t="str">
        <f t="shared" si="1433"/>
        <v/>
      </c>
      <c r="AA4667" s="22"/>
      <c r="AB4667" s="197" t="str">
        <f t="shared" si="1438"/>
        <v/>
      </c>
      <c r="AC4667" s="198" t="str">
        <f t="shared" si="1439"/>
        <v/>
      </c>
      <c r="AD4667" s="162"/>
      <c r="AE4667" s="199" t="str">
        <f t="shared" si="1440"/>
        <v/>
      </c>
      <c r="AF4667" s="199" t="str">
        <f>IF(AND(COUNTIFS($J$18:J4667,J4667)=1,AE4667=1),1,"")</f>
        <v/>
      </c>
      <c r="AG4667" s="199" t="str">
        <f>IF(C4667="","",IF(AND(COUNTIFS($J$18:J4667,J4667)=1,C4667&lt;&gt;""),1,""))</f>
        <v/>
      </c>
      <c r="AH4667" s="199" t="str">
        <f>IF(G4667="","",IF(AND(COUNTIFS($J$18:J4667,J4667)=1,G4667&lt;&gt;""),1,""))</f>
        <v/>
      </c>
      <c r="AI4667" s="200">
        <f t="shared" si="1441"/>
        <v>0</v>
      </c>
      <c r="AJ4667" s="200">
        <f t="shared" si="1442"/>
        <v>0</v>
      </c>
      <c r="AK4667" s="201" t="str">
        <f t="shared" si="1443"/>
        <v/>
      </c>
      <c r="AL4667" s="24"/>
      <c r="AM4667" s="24"/>
      <c r="AN4667" s="24"/>
      <c r="AO4667" s="24"/>
      <c r="AP4667" s="165" t="str">
        <f t="shared" si="1444"/>
        <v/>
      </c>
      <c r="AQ4667" s="203" t="str">
        <f t="shared" si="1445"/>
        <v/>
      </c>
      <c r="AR4667" s="206">
        <f t="shared" si="1446"/>
        <v>0</v>
      </c>
      <c r="AS4667" s="22" t="str">
        <f t="shared" si="1447"/>
        <v/>
      </c>
      <c r="AT4667" s="24" t="str">
        <f t="shared" si="1448"/>
        <v/>
      </c>
      <c r="AU4667" s="22" t="s">
        <v>3240</v>
      </c>
    </row>
    <row r="4668" spans="1:47">
      <c r="A4668" s="246" t="str">
        <f t="shared" si="1436"/>
        <v/>
      </c>
      <c r="B4668" s="23"/>
      <c r="C4668" s="23"/>
      <c r="D4668" s="202" t="str">
        <f t="shared" si="1437"/>
        <v/>
      </c>
      <c r="E4668" s="33" t="str">
        <f t="shared" si="1431"/>
        <v/>
      </c>
      <c r="F4668" s="23"/>
      <c r="G4668" s="23"/>
      <c r="H4668" s="29"/>
      <c r="I4668" s="204" t="str">
        <f t="shared" si="1434"/>
        <v/>
      </c>
      <c r="J4668" s="188"/>
      <c r="K4668" s="29"/>
      <c r="L4668" s="24"/>
      <c r="M4668" s="22"/>
      <c r="N4668" s="22"/>
      <c r="O4668" s="22"/>
      <c r="P4668" s="202" t="str">
        <f t="shared" si="1435"/>
        <v/>
      </c>
      <c r="Q4668" s="22"/>
      <c r="R4668" s="22"/>
      <c r="S4668" s="22"/>
      <c r="T4668" s="22"/>
      <c r="U4668" s="22"/>
      <c r="V4668" s="22"/>
      <c r="W4668" s="22"/>
      <c r="X4668" s="104"/>
      <c r="Y4668" s="195" t="str">
        <f t="shared" si="1432"/>
        <v/>
      </c>
      <c r="Z4668" s="196" t="str">
        <f t="shared" si="1433"/>
        <v/>
      </c>
      <c r="AA4668" s="22"/>
      <c r="AB4668" s="197" t="str">
        <f t="shared" si="1438"/>
        <v/>
      </c>
      <c r="AC4668" s="198" t="str">
        <f t="shared" si="1439"/>
        <v/>
      </c>
      <c r="AD4668" s="162"/>
      <c r="AE4668" s="199" t="str">
        <f t="shared" si="1440"/>
        <v/>
      </c>
      <c r="AF4668" s="199" t="str">
        <f>IF(AND(COUNTIFS($J$18:J4668,J4668)=1,AE4668=1),1,"")</f>
        <v/>
      </c>
      <c r="AG4668" s="199" t="str">
        <f>IF(C4668="","",IF(AND(COUNTIFS($J$18:J4668,J4668)=1,C4668&lt;&gt;""),1,""))</f>
        <v/>
      </c>
      <c r="AH4668" s="199" t="str">
        <f>IF(G4668="","",IF(AND(COUNTIFS($J$18:J4668,J4668)=1,G4668&lt;&gt;""),1,""))</f>
        <v/>
      </c>
      <c r="AI4668" s="200">
        <f t="shared" si="1441"/>
        <v>0</v>
      </c>
      <c r="AJ4668" s="200">
        <f t="shared" si="1442"/>
        <v>0</v>
      </c>
      <c r="AK4668" s="201" t="str">
        <f t="shared" si="1443"/>
        <v/>
      </c>
      <c r="AL4668" s="24"/>
      <c r="AM4668" s="24"/>
      <c r="AN4668" s="24"/>
      <c r="AO4668" s="24"/>
      <c r="AP4668" s="165" t="str">
        <f t="shared" si="1444"/>
        <v/>
      </c>
      <c r="AQ4668" s="203" t="str">
        <f t="shared" si="1445"/>
        <v/>
      </c>
      <c r="AR4668" s="206">
        <f t="shared" si="1446"/>
        <v>0</v>
      </c>
      <c r="AS4668" s="22" t="str">
        <f t="shared" si="1447"/>
        <v/>
      </c>
      <c r="AT4668" s="24" t="str">
        <f t="shared" si="1448"/>
        <v/>
      </c>
      <c r="AU4668" s="22" t="s">
        <v>3240</v>
      </c>
    </row>
    <row r="4669" spans="1:47">
      <c r="A4669" s="246" t="str">
        <f t="shared" si="1436"/>
        <v/>
      </c>
      <c r="B4669" s="23"/>
      <c r="C4669" s="23"/>
      <c r="D4669" s="202" t="str">
        <f t="shared" si="1437"/>
        <v/>
      </c>
      <c r="E4669" s="33" t="str">
        <f t="shared" si="1431"/>
        <v/>
      </c>
      <c r="F4669" s="23"/>
      <c r="G4669" s="23"/>
      <c r="H4669" s="29"/>
      <c r="I4669" s="204" t="str">
        <f t="shared" si="1434"/>
        <v/>
      </c>
      <c r="J4669" s="188"/>
      <c r="K4669" s="29"/>
      <c r="L4669" s="24"/>
      <c r="M4669" s="22"/>
      <c r="N4669" s="22"/>
      <c r="O4669" s="22"/>
      <c r="P4669" s="202" t="str">
        <f t="shared" si="1435"/>
        <v/>
      </c>
      <c r="Q4669" s="22"/>
      <c r="R4669" s="22"/>
      <c r="S4669" s="22"/>
      <c r="T4669" s="22"/>
      <c r="U4669" s="22"/>
      <c r="V4669" s="22"/>
      <c r="W4669" s="22"/>
      <c r="X4669" s="104"/>
      <c r="Y4669" s="195" t="str">
        <f t="shared" si="1432"/>
        <v/>
      </c>
      <c r="Z4669" s="196" t="str">
        <f t="shared" si="1433"/>
        <v/>
      </c>
      <c r="AA4669" s="22"/>
      <c r="AB4669" s="197" t="str">
        <f t="shared" si="1438"/>
        <v/>
      </c>
      <c r="AC4669" s="198" t="str">
        <f t="shared" si="1439"/>
        <v/>
      </c>
      <c r="AD4669" s="162"/>
      <c r="AE4669" s="199" t="str">
        <f t="shared" si="1440"/>
        <v/>
      </c>
      <c r="AF4669" s="199" t="str">
        <f>IF(AND(COUNTIFS($J$18:J4669,J4669)=1,AE4669=1),1,"")</f>
        <v/>
      </c>
      <c r="AG4669" s="199" t="str">
        <f>IF(C4669="","",IF(AND(COUNTIFS($J$18:J4669,J4669)=1,C4669&lt;&gt;""),1,""))</f>
        <v/>
      </c>
      <c r="AH4669" s="199" t="str">
        <f>IF(G4669="","",IF(AND(COUNTIFS($J$18:J4669,J4669)=1,G4669&lt;&gt;""),1,""))</f>
        <v/>
      </c>
      <c r="AI4669" s="200">
        <f t="shared" si="1441"/>
        <v>0</v>
      </c>
      <c r="AJ4669" s="200">
        <f t="shared" si="1442"/>
        <v>0</v>
      </c>
      <c r="AK4669" s="201" t="str">
        <f t="shared" si="1443"/>
        <v/>
      </c>
      <c r="AL4669" s="24"/>
      <c r="AM4669" s="24"/>
      <c r="AN4669" s="24"/>
      <c r="AO4669" s="24"/>
      <c r="AP4669" s="165" t="str">
        <f t="shared" si="1444"/>
        <v/>
      </c>
      <c r="AQ4669" s="203" t="str">
        <f t="shared" si="1445"/>
        <v/>
      </c>
      <c r="AR4669" s="206">
        <f t="shared" si="1446"/>
        <v>0</v>
      </c>
      <c r="AS4669" s="22" t="str">
        <f t="shared" si="1447"/>
        <v/>
      </c>
      <c r="AT4669" s="24" t="str">
        <f t="shared" si="1448"/>
        <v/>
      </c>
      <c r="AU4669" s="22" t="s">
        <v>3240</v>
      </c>
    </row>
    <row r="4670" spans="1:47">
      <c r="A4670" s="246" t="str">
        <f t="shared" si="1436"/>
        <v/>
      </c>
      <c r="B4670" s="23"/>
      <c r="C4670" s="23"/>
      <c r="D4670" s="202" t="str">
        <f t="shared" si="1437"/>
        <v/>
      </c>
      <c r="E4670" s="33" t="str">
        <f t="shared" si="1431"/>
        <v/>
      </c>
      <c r="F4670" s="23"/>
      <c r="G4670" s="23"/>
      <c r="H4670" s="29"/>
      <c r="I4670" s="204" t="str">
        <f t="shared" si="1434"/>
        <v/>
      </c>
      <c r="J4670" s="188"/>
      <c r="K4670" s="29"/>
      <c r="L4670" s="24"/>
      <c r="M4670" s="22"/>
      <c r="N4670" s="22"/>
      <c r="O4670" s="22"/>
      <c r="P4670" s="202" t="str">
        <f t="shared" si="1435"/>
        <v/>
      </c>
      <c r="Q4670" s="22"/>
      <c r="R4670" s="22"/>
      <c r="S4670" s="22"/>
      <c r="T4670" s="22"/>
      <c r="U4670" s="22"/>
      <c r="V4670" s="22"/>
      <c r="W4670" s="22"/>
      <c r="X4670" s="104"/>
      <c r="Y4670" s="195" t="str">
        <f t="shared" si="1432"/>
        <v/>
      </c>
      <c r="Z4670" s="196" t="str">
        <f t="shared" si="1433"/>
        <v/>
      </c>
      <c r="AA4670" s="22"/>
      <c r="AB4670" s="197" t="str">
        <f t="shared" si="1438"/>
        <v/>
      </c>
      <c r="AC4670" s="198" t="str">
        <f t="shared" si="1439"/>
        <v/>
      </c>
      <c r="AD4670" s="162"/>
      <c r="AE4670" s="199" t="str">
        <f t="shared" si="1440"/>
        <v/>
      </c>
      <c r="AF4670" s="199" t="str">
        <f>IF(AND(COUNTIFS($J$18:J4670,J4670)=1,AE4670=1),1,"")</f>
        <v/>
      </c>
      <c r="AG4670" s="199" t="str">
        <f>IF(C4670="","",IF(AND(COUNTIFS($J$18:J4670,J4670)=1,C4670&lt;&gt;""),1,""))</f>
        <v/>
      </c>
      <c r="AH4670" s="199" t="str">
        <f>IF(G4670="","",IF(AND(COUNTIFS($J$18:J4670,J4670)=1,G4670&lt;&gt;""),1,""))</f>
        <v/>
      </c>
      <c r="AI4670" s="200">
        <f t="shared" si="1441"/>
        <v>0</v>
      </c>
      <c r="AJ4670" s="200">
        <f t="shared" si="1442"/>
        <v>0</v>
      </c>
      <c r="AK4670" s="201" t="str">
        <f t="shared" si="1443"/>
        <v/>
      </c>
      <c r="AL4670" s="24"/>
      <c r="AM4670" s="24"/>
      <c r="AN4670" s="24"/>
      <c r="AO4670" s="24"/>
      <c r="AP4670" s="165" t="str">
        <f t="shared" si="1444"/>
        <v/>
      </c>
      <c r="AQ4670" s="203" t="str">
        <f t="shared" si="1445"/>
        <v/>
      </c>
      <c r="AR4670" s="206">
        <f t="shared" si="1446"/>
        <v>0</v>
      </c>
      <c r="AS4670" s="22" t="str">
        <f t="shared" si="1447"/>
        <v/>
      </c>
      <c r="AT4670" s="24" t="str">
        <f t="shared" si="1448"/>
        <v/>
      </c>
      <c r="AU4670" s="22" t="s">
        <v>3240</v>
      </c>
    </row>
    <row r="4671" spans="1:47">
      <c r="A4671" s="246" t="str">
        <f t="shared" si="1436"/>
        <v/>
      </c>
      <c r="B4671" s="23"/>
      <c r="C4671" s="23"/>
      <c r="D4671" s="202" t="str">
        <f t="shared" si="1437"/>
        <v/>
      </c>
      <c r="E4671" s="33" t="str">
        <f t="shared" si="1431"/>
        <v/>
      </c>
      <c r="F4671" s="23"/>
      <c r="G4671" s="23"/>
      <c r="H4671" s="29"/>
      <c r="I4671" s="204" t="str">
        <f t="shared" si="1434"/>
        <v/>
      </c>
      <c r="J4671" s="188"/>
      <c r="K4671" s="29"/>
      <c r="L4671" s="24"/>
      <c r="M4671" s="22"/>
      <c r="N4671" s="22"/>
      <c r="O4671" s="22"/>
      <c r="P4671" s="202" t="str">
        <f t="shared" si="1435"/>
        <v/>
      </c>
      <c r="Q4671" s="22"/>
      <c r="R4671" s="22"/>
      <c r="S4671" s="22"/>
      <c r="T4671" s="22"/>
      <c r="U4671" s="22"/>
      <c r="V4671" s="22"/>
      <c r="W4671" s="22"/>
      <c r="X4671" s="104"/>
      <c r="Y4671" s="195" t="str">
        <f t="shared" si="1432"/>
        <v/>
      </c>
      <c r="Z4671" s="196" t="str">
        <f t="shared" si="1433"/>
        <v/>
      </c>
      <c r="AA4671" s="22"/>
      <c r="AB4671" s="197" t="str">
        <f t="shared" si="1438"/>
        <v/>
      </c>
      <c r="AC4671" s="198" t="str">
        <f t="shared" si="1439"/>
        <v/>
      </c>
      <c r="AD4671" s="162"/>
      <c r="AE4671" s="199" t="str">
        <f t="shared" si="1440"/>
        <v/>
      </c>
      <c r="AF4671" s="199" t="str">
        <f>IF(AND(COUNTIFS($J$18:J4671,J4671)=1,AE4671=1),1,"")</f>
        <v/>
      </c>
      <c r="AG4671" s="199" t="str">
        <f>IF(C4671="","",IF(AND(COUNTIFS($J$18:J4671,J4671)=1,C4671&lt;&gt;""),1,""))</f>
        <v/>
      </c>
      <c r="AH4671" s="199" t="str">
        <f>IF(G4671="","",IF(AND(COUNTIFS($J$18:J4671,J4671)=1,G4671&lt;&gt;""),1,""))</f>
        <v/>
      </c>
      <c r="AI4671" s="200">
        <f t="shared" si="1441"/>
        <v>0</v>
      </c>
      <c r="AJ4671" s="200">
        <f t="shared" si="1442"/>
        <v>0</v>
      </c>
      <c r="AK4671" s="201" t="str">
        <f t="shared" si="1443"/>
        <v/>
      </c>
      <c r="AL4671" s="24"/>
      <c r="AM4671" s="24"/>
      <c r="AN4671" s="24"/>
      <c r="AO4671" s="24"/>
      <c r="AP4671" s="165" t="str">
        <f t="shared" si="1444"/>
        <v/>
      </c>
      <c r="AQ4671" s="203" t="str">
        <f t="shared" si="1445"/>
        <v/>
      </c>
      <c r="AR4671" s="206">
        <f t="shared" si="1446"/>
        <v>0</v>
      </c>
      <c r="AS4671" s="22" t="str">
        <f t="shared" si="1447"/>
        <v/>
      </c>
      <c r="AT4671" s="24" t="str">
        <f t="shared" si="1448"/>
        <v/>
      </c>
      <c r="AU4671" s="22" t="s">
        <v>3240</v>
      </c>
    </row>
    <row r="4672" spans="1:47">
      <c r="A4672" s="246" t="str">
        <f t="shared" si="1436"/>
        <v/>
      </c>
      <c r="B4672" s="23"/>
      <c r="C4672" s="23"/>
      <c r="D4672" s="202" t="str">
        <f t="shared" si="1437"/>
        <v/>
      </c>
      <c r="E4672" s="33" t="str">
        <f t="shared" si="1431"/>
        <v/>
      </c>
      <c r="F4672" s="23"/>
      <c r="G4672" s="23"/>
      <c r="H4672" s="29"/>
      <c r="I4672" s="204" t="str">
        <f t="shared" si="1434"/>
        <v/>
      </c>
      <c r="J4672" s="188"/>
      <c r="K4672" s="29"/>
      <c r="L4672" s="24"/>
      <c r="M4672" s="22"/>
      <c r="N4672" s="22"/>
      <c r="O4672" s="22"/>
      <c r="P4672" s="202" t="str">
        <f t="shared" si="1435"/>
        <v/>
      </c>
      <c r="Q4672" s="22"/>
      <c r="R4672" s="22"/>
      <c r="S4672" s="22"/>
      <c r="T4672" s="22"/>
      <c r="U4672" s="22"/>
      <c r="V4672" s="22"/>
      <c r="W4672" s="22"/>
      <c r="X4672" s="104"/>
      <c r="Y4672" s="195" t="str">
        <f t="shared" si="1432"/>
        <v/>
      </c>
      <c r="Z4672" s="196" t="str">
        <f t="shared" si="1433"/>
        <v/>
      </c>
      <c r="AA4672" s="22"/>
      <c r="AB4672" s="197" t="str">
        <f t="shared" si="1438"/>
        <v/>
      </c>
      <c r="AC4672" s="198" t="str">
        <f t="shared" si="1439"/>
        <v/>
      </c>
      <c r="AD4672" s="162"/>
      <c r="AE4672" s="199" t="str">
        <f t="shared" si="1440"/>
        <v/>
      </c>
      <c r="AF4672" s="199" t="str">
        <f>IF(AND(COUNTIFS($J$18:J4672,J4672)=1,AE4672=1),1,"")</f>
        <v/>
      </c>
      <c r="AG4672" s="199" t="str">
        <f>IF(C4672="","",IF(AND(COUNTIFS($J$18:J4672,J4672)=1,C4672&lt;&gt;""),1,""))</f>
        <v/>
      </c>
      <c r="AH4672" s="199" t="str">
        <f>IF(G4672="","",IF(AND(COUNTIFS($J$18:J4672,J4672)=1,G4672&lt;&gt;""),1,""))</f>
        <v/>
      </c>
      <c r="AI4672" s="200">
        <f t="shared" si="1441"/>
        <v>0</v>
      </c>
      <c r="AJ4672" s="200">
        <f t="shared" si="1442"/>
        <v>0</v>
      </c>
      <c r="AK4672" s="201" t="str">
        <f t="shared" si="1443"/>
        <v/>
      </c>
      <c r="AL4672" s="24"/>
      <c r="AM4672" s="24"/>
      <c r="AN4672" s="24"/>
      <c r="AO4672" s="24"/>
      <c r="AP4672" s="165" t="str">
        <f t="shared" si="1444"/>
        <v/>
      </c>
      <c r="AQ4672" s="203" t="str">
        <f t="shared" si="1445"/>
        <v/>
      </c>
      <c r="AR4672" s="206">
        <f t="shared" si="1446"/>
        <v>0</v>
      </c>
      <c r="AS4672" s="22" t="str">
        <f t="shared" si="1447"/>
        <v/>
      </c>
      <c r="AT4672" s="24" t="str">
        <f t="shared" si="1448"/>
        <v/>
      </c>
      <c r="AU4672" s="22" t="s">
        <v>3240</v>
      </c>
    </row>
    <row r="4673" spans="1:47">
      <c r="A4673" s="246" t="str">
        <f t="shared" si="1436"/>
        <v/>
      </c>
      <c r="B4673" s="23"/>
      <c r="C4673" s="23"/>
      <c r="D4673" s="202" t="str">
        <f t="shared" si="1437"/>
        <v/>
      </c>
      <c r="E4673" s="33" t="str">
        <f t="shared" si="1431"/>
        <v/>
      </c>
      <c r="F4673" s="23"/>
      <c r="G4673" s="23"/>
      <c r="H4673" s="29"/>
      <c r="I4673" s="204" t="str">
        <f t="shared" si="1434"/>
        <v/>
      </c>
      <c r="J4673" s="188"/>
      <c r="K4673" s="29"/>
      <c r="L4673" s="24"/>
      <c r="M4673" s="22"/>
      <c r="N4673" s="22"/>
      <c r="O4673" s="22"/>
      <c r="P4673" s="202" t="str">
        <f t="shared" si="1435"/>
        <v/>
      </c>
      <c r="Q4673" s="22"/>
      <c r="R4673" s="22"/>
      <c r="S4673" s="22"/>
      <c r="T4673" s="22"/>
      <c r="U4673" s="22"/>
      <c r="V4673" s="22"/>
      <c r="W4673" s="22"/>
      <c r="X4673" s="104"/>
      <c r="Y4673" s="195" t="str">
        <f t="shared" si="1432"/>
        <v/>
      </c>
      <c r="Z4673" s="196" t="str">
        <f t="shared" si="1433"/>
        <v/>
      </c>
      <c r="AA4673" s="22"/>
      <c r="AB4673" s="197" t="str">
        <f t="shared" si="1438"/>
        <v/>
      </c>
      <c r="AC4673" s="198" t="str">
        <f t="shared" si="1439"/>
        <v/>
      </c>
      <c r="AD4673" s="162"/>
      <c r="AE4673" s="199" t="str">
        <f t="shared" si="1440"/>
        <v/>
      </c>
      <c r="AF4673" s="199" t="str">
        <f>IF(AND(COUNTIFS($J$18:J4673,J4673)=1,AE4673=1),1,"")</f>
        <v/>
      </c>
      <c r="AG4673" s="199" t="str">
        <f>IF(C4673="","",IF(AND(COUNTIFS($J$18:J4673,J4673)=1,C4673&lt;&gt;""),1,""))</f>
        <v/>
      </c>
      <c r="AH4673" s="199" t="str">
        <f>IF(G4673="","",IF(AND(COUNTIFS($J$18:J4673,J4673)=1,G4673&lt;&gt;""),1,""))</f>
        <v/>
      </c>
      <c r="AI4673" s="200">
        <f t="shared" si="1441"/>
        <v>0</v>
      </c>
      <c r="AJ4673" s="200">
        <f t="shared" si="1442"/>
        <v>0</v>
      </c>
      <c r="AK4673" s="201" t="str">
        <f t="shared" si="1443"/>
        <v/>
      </c>
      <c r="AL4673" s="24"/>
      <c r="AM4673" s="24"/>
      <c r="AN4673" s="24"/>
      <c r="AO4673" s="24"/>
      <c r="AP4673" s="165" t="str">
        <f t="shared" si="1444"/>
        <v/>
      </c>
      <c r="AQ4673" s="203" t="str">
        <f t="shared" si="1445"/>
        <v/>
      </c>
      <c r="AR4673" s="206">
        <f t="shared" si="1446"/>
        <v>0</v>
      </c>
      <c r="AS4673" s="22" t="str">
        <f t="shared" si="1447"/>
        <v/>
      </c>
      <c r="AT4673" s="24" t="str">
        <f t="shared" si="1448"/>
        <v/>
      </c>
      <c r="AU4673" s="22" t="s">
        <v>3240</v>
      </c>
    </row>
    <row r="4674" spans="1:47">
      <c r="A4674" s="246" t="str">
        <f t="shared" si="1436"/>
        <v/>
      </c>
      <c r="B4674" s="23"/>
      <c r="C4674" s="23"/>
      <c r="D4674" s="202" t="str">
        <f t="shared" si="1437"/>
        <v/>
      </c>
      <c r="E4674" s="33" t="str">
        <f t="shared" si="1431"/>
        <v/>
      </c>
      <c r="F4674" s="23"/>
      <c r="G4674" s="23"/>
      <c r="H4674" s="29"/>
      <c r="I4674" s="204" t="str">
        <f t="shared" si="1434"/>
        <v/>
      </c>
      <c r="J4674" s="188"/>
      <c r="K4674" s="29"/>
      <c r="L4674" s="24"/>
      <c r="M4674" s="22"/>
      <c r="N4674" s="22"/>
      <c r="O4674" s="22"/>
      <c r="P4674" s="202" t="str">
        <f t="shared" si="1435"/>
        <v/>
      </c>
      <c r="Q4674" s="22"/>
      <c r="R4674" s="22"/>
      <c r="S4674" s="22"/>
      <c r="T4674" s="22"/>
      <c r="U4674" s="22"/>
      <c r="V4674" s="22"/>
      <c r="W4674" s="22"/>
      <c r="X4674" s="104"/>
      <c r="Y4674" s="195" t="str">
        <f t="shared" si="1432"/>
        <v/>
      </c>
      <c r="Z4674" s="196" t="str">
        <f t="shared" si="1433"/>
        <v/>
      </c>
      <c r="AA4674" s="22"/>
      <c r="AB4674" s="197" t="str">
        <f t="shared" si="1438"/>
        <v/>
      </c>
      <c r="AC4674" s="198" t="str">
        <f t="shared" si="1439"/>
        <v/>
      </c>
      <c r="AD4674" s="162"/>
      <c r="AE4674" s="199" t="str">
        <f t="shared" si="1440"/>
        <v/>
      </c>
      <c r="AF4674" s="199" t="str">
        <f>IF(AND(COUNTIFS($J$18:J4674,J4674)=1,AE4674=1),1,"")</f>
        <v/>
      </c>
      <c r="AG4674" s="199" t="str">
        <f>IF(C4674="","",IF(AND(COUNTIFS($J$18:J4674,J4674)=1,C4674&lt;&gt;""),1,""))</f>
        <v/>
      </c>
      <c r="AH4674" s="199" t="str">
        <f>IF(G4674="","",IF(AND(COUNTIFS($J$18:J4674,J4674)=1,G4674&lt;&gt;""),1,""))</f>
        <v/>
      </c>
      <c r="AI4674" s="200">
        <f t="shared" si="1441"/>
        <v>0</v>
      </c>
      <c r="AJ4674" s="200">
        <f t="shared" si="1442"/>
        <v>0</v>
      </c>
      <c r="AK4674" s="201" t="str">
        <f t="shared" si="1443"/>
        <v/>
      </c>
      <c r="AL4674" s="24"/>
      <c r="AM4674" s="24"/>
      <c r="AN4674" s="24"/>
      <c r="AO4674" s="24"/>
      <c r="AP4674" s="165" t="str">
        <f t="shared" si="1444"/>
        <v/>
      </c>
      <c r="AQ4674" s="203" t="str">
        <f t="shared" si="1445"/>
        <v/>
      </c>
      <c r="AR4674" s="206">
        <f t="shared" si="1446"/>
        <v>0</v>
      </c>
      <c r="AS4674" s="22" t="str">
        <f t="shared" si="1447"/>
        <v/>
      </c>
      <c r="AT4674" s="24" t="str">
        <f t="shared" si="1448"/>
        <v/>
      </c>
      <c r="AU4674" s="22" t="s">
        <v>3240</v>
      </c>
    </row>
    <row r="4675" spans="1:47">
      <c r="A4675" s="246" t="str">
        <f t="shared" si="1436"/>
        <v/>
      </c>
      <c r="B4675" s="23"/>
      <c r="C4675" s="23"/>
      <c r="D4675" s="202" t="str">
        <f t="shared" si="1437"/>
        <v/>
      </c>
      <c r="E4675" s="33" t="str">
        <f t="shared" si="1431"/>
        <v/>
      </c>
      <c r="F4675" s="23"/>
      <c r="G4675" s="23"/>
      <c r="H4675" s="29"/>
      <c r="I4675" s="204" t="str">
        <f t="shared" si="1434"/>
        <v/>
      </c>
      <c r="J4675" s="188"/>
      <c r="K4675" s="29"/>
      <c r="L4675" s="24"/>
      <c r="M4675" s="22"/>
      <c r="N4675" s="22"/>
      <c r="O4675" s="22"/>
      <c r="P4675" s="202" t="str">
        <f t="shared" si="1435"/>
        <v/>
      </c>
      <c r="Q4675" s="22"/>
      <c r="R4675" s="22"/>
      <c r="S4675" s="22"/>
      <c r="T4675" s="22"/>
      <c r="U4675" s="22"/>
      <c r="V4675" s="22"/>
      <c r="W4675" s="22"/>
      <c r="X4675" s="104"/>
      <c r="Y4675" s="195" t="str">
        <f t="shared" si="1432"/>
        <v/>
      </c>
      <c r="Z4675" s="196" t="str">
        <f t="shared" si="1433"/>
        <v/>
      </c>
      <c r="AA4675" s="22"/>
      <c r="AB4675" s="197" t="str">
        <f t="shared" si="1438"/>
        <v/>
      </c>
      <c r="AC4675" s="198" t="str">
        <f t="shared" si="1439"/>
        <v/>
      </c>
      <c r="AD4675" s="162"/>
      <c r="AE4675" s="199" t="str">
        <f t="shared" si="1440"/>
        <v/>
      </c>
      <c r="AF4675" s="199" t="str">
        <f>IF(AND(COUNTIFS($J$18:J4675,J4675)=1,AE4675=1),1,"")</f>
        <v/>
      </c>
      <c r="AG4675" s="199" t="str">
        <f>IF(C4675="","",IF(AND(COUNTIFS($J$18:J4675,J4675)=1,C4675&lt;&gt;""),1,""))</f>
        <v/>
      </c>
      <c r="AH4675" s="199" t="str">
        <f>IF(G4675="","",IF(AND(COUNTIFS($J$18:J4675,J4675)=1,G4675&lt;&gt;""),1,""))</f>
        <v/>
      </c>
      <c r="AI4675" s="200">
        <f t="shared" si="1441"/>
        <v>0</v>
      </c>
      <c r="AJ4675" s="200">
        <f t="shared" si="1442"/>
        <v>0</v>
      </c>
      <c r="AK4675" s="201" t="str">
        <f t="shared" si="1443"/>
        <v/>
      </c>
      <c r="AL4675" s="24"/>
      <c r="AM4675" s="24"/>
      <c r="AN4675" s="24"/>
      <c r="AO4675" s="24"/>
      <c r="AP4675" s="165" t="str">
        <f t="shared" si="1444"/>
        <v/>
      </c>
      <c r="AQ4675" s="203" t="str">
        <f t="shared" si="1445"/>
        <v/>
      </c>
      <c r="AR4675" s="206">
        <f t="shared" si="1446"/>
        <v>0</v>
      </c>
      <c r="AS4675" s="22" t="str">
        <f t="shared" si="1447"/>
        <v/>
      </c>
      <c r="AT4675" s="24" t="str">
        <f t="shared" si="1448"/>
        <v/>
      </c>
      <c r="AU4675" s="22" t="s">
        <v>3240</v>
      </c>
    </row>
    <row r="4676" spans="1:47">
      <c r="A4676" s="246" t="str">
        <f t="shared" si="1436"/>
        <v/>
      </c>
      <c r="B4676" s="23"/>
      <c r="C4676" s="23"/>
      <c r="D4676" s="202" t="str">
        <f t="shared" si="1437"/>
        <v/>
      </c>
      <c r="E4676" s="33" t="str">
        <f t="shared" si="1431"/>
        <v/>
      </c>
      <c r="F4676" s="23"/>
      <c r="G4676" s="23"/>
      <c r="H4676" s="29"/>
      <c r="I4676" s="204" t="str">
        <f t="shared" si="1434"/>
        <v/>
      </c>
      <c r="J4676" s="188"/>
      <c r="K4676" s="29"/>
      <c r="L4676" s="24"/>
      <c r="M4676" s="22"/>
      <c r="N4676" s="22"/>
      <c r="O4676" s="22"/>
      <c r="P4676" s="202" t="str">
        <f t="shared" si="1435"/>
        <v/>
      </c>
      <c r="Q4676" s="22"/>
      <c r="R4676" s="22"/>
      <c r="S4676" s="22"/>
      <c r="T4676" s="22"/>
      <c r="U4676" s="22"/>
      <c r="V4676" s="22"/>
      <c r="W4676" s="22"/>
      <c r="X4676" s="104"/>
      <c r="Y4676" s="195" t="str">
        <f t="shared" si="1432"/>
        <v/>
      </c>
      <c r="Z4676" s="196" t="str">
        <f t="shared" si="1433"/>
        <v/>
      </c>
      <c r="AA4676" s="22"/>
      <c r="AB4676" s="197" t="str">
        <f t="shared" si="1438"/>
        <v/>
      </c>
      <c r="AC4676" s="198" t="str">
        <f t="shared" si="1439"/>
        <v/>
      </c>
      <c r="AD4676" s="162"/>
      <c r="AE4676" s="199" t="str">
        <f t="shared" si="1440"/>
        <v/>
      </c>
      <c r="AF4676" s="199" t="str">
        <f>IF(AND(COUNTIFS($J$18:J4676,J4676)=1,AE4676=1),1,"")</f>
        <v/>
      </c>
      <c r="AG4676" s="199" t="str">
        <f>IF(C4676="","",IF(AND(COUNTIFS($J$18:J4676,J4676)=1,C4676&lt;&gt;""),1,""))</f>
        <v/>
      </c>
      <c r="AH4676" s="199" t="str">
        <f>IF(G4676="","",IF(AND(COUNTIFS($J$18:J4676,J4676)=1,G4676&lt;&gt;""),1,""))</f>
        <v/>
      </c>
      <c r="AI4676" s="200">
        <f t="shared" si="1441"/>
        <v>0</v>
      </c>
      <c r="AJ4676" s="200">
        <f t="shared" si="1442"/>
        <v>0</v>
      </c>
      <c r="AK4676" s="201" t="str">
        <f t="shared" si="1443"/>
        <v/>
      </c>
      <c r="AL4676" s="24"/>
      <c r="AM4676" s="24"/>
      <c r="AN4676" s="24"/>
      <c r="AO4676" s="24"/>
      <c r="AP4676" s="165" t="str">
        <f t="shared" si="1444"/>
        <v/>
      </c>
      <c r="AQ4676" s="203" t="str">
        <f t="shared" si="1445"/>
        <v/>
      </c>
      <c r="AR4676" s="206">
        <f t="shared" si="1446"/>
        <v>0</v>
      </c>
      <c r="AS4676" s="22" t="str">
        <f t="shared" si="1447"/>
        <v/>
      </c>
      <c r="AT4676" s="24" t="str">
        <f t="shared" si="1448"/>
        <v/>
      </c>
      <c r="AU4676" s="22" t="s">
        <v>3240</v>
      </c>
    </row>
    <row r="4677" spans="1:47">
      <c r="A4677" s="246" t="str">
        <f t="shared" si="1436"/>
        <v/>
      </c>
      <c r="B4677" s="23"/>
      <c r="C4677" s="23"/>
      <c r="D4677" s="202" t="str">
        <f t="shared" si="1437"/>
        <v/>
      </c>
      <c r="E4677" s="33" t="str">
        <f t="shared" si="1431"/>
        <v/>
      </c>
      <c r="F4677" s="23"/>
      <c r="G4677" s="23"/>
      <c r="H4677" s="29"/>
      <c r="I4677" s="204" t="str">
        <f t="shared" si="1434"/>
        <v/>
      </c>
      <c r="J4677" s="188"/>
      <c r="K4677" s="29"/>
      <c r="L4677" s="24"/>
      <c r="M4677" s="22"/>
      <c r="N4677" s="22"/>
      <c r="O4677" s="22"/>
      <c r="P4677" s="202" t="str">
        <f t="shared" si="1435"/>
        <v/>
      </c>
      <c r="Q4677" s="22"/>
      <c r="R4677" s="22"/>
      <c r="S4677" s="22"/>
      <c r="T4677" s="22"/>
      <c r="U4677" s="22"/>
      <c r="V4677" s="22"/>
      <c r="W4677" s="22"/>
      <c r="X4677" s="104"/>
      <c r="Y4677" s="195" t="str">
        <f t="shared" si="1432"/>
        <v/>
      </c>
      <c r="Z4677" s="196" t="str">
        <f t="shared" si="1433"/>
        <v/>
      </c>
      <c r="AA4677" s="22"/>
      <c r="AB4677" s="197" t="str">
        <f t="shared" si="1438"/>
        <v/>
      </c>
      <c r="AC4677" s="198" t="str">
        <f t="shared" si="1439"/>
        <v/>
      </c>
      <c r="AD4677" s="162"/>
      <c r="AE4677" s="199" t="str">
        <f t="shared" si="1440"/>
        <v/>
      </c>
      <c r="AF4677" s="199" t="str">
        <f>IF(AND(COUNTIFS($J$18:J4677,J4677)=1,AE4677=1),1,"")</f>
        <v/>
      </c>
      <c r="AG4677" s="199" t="str">
        <f>IF(C4677="","",IF(AND(COUNTIFS($J$18:J4677,J4677)=1,C4677&lt;&gt;""),1,""))</f>
        <v/>
      </c>
      <c r="AH4677" s="199" t="str">
        <f>IF(G4677="","",IF(AND(COUNTIFS($J$18:J4677,J4677)=1,G4677&lt;&gt;""),1,""))</f>
        <v/>
      </c>
      <c r="AI4677" s="200">
        <f t="shared" si="1441"/>
        <v>0</v>
      </c>
      <c r="AJ4677" s="200">
        <f t="shared" si="1442"/>
        <v>0</v>
      </c>
      <c r="AK4677" s="201" t="str">
        <f t="shared" si="1443"/>
        <v/>
      </c>
      <c r="AL4677" s="24"/>
      <c r="AM4677" s="24"/>
      <c r="AN4677" s="24"/>
      <c r="AO4677" s="24"/>
      <c r="AP4677" s="165" t="str">
        <f t="shared" si="1444"/>
        <v/>
      </c>
      <c r="AQ4677" s="203" t="str">
        <f t="shared" si="1445"/>
        <v/>
      </c>
      <c r="AR4677" s="206">
        <f t="shared" si="1446"/>
        <v>0</v>
      </c>
      <c r="AS4677" s="22" t="str">
        <f t="shared" si="1447"/>
        <v/>
      </c>
      <c r="AT4677" s="24" t="str">
        <f t="shared" si="1448"/>
        <v/>
      </c>
      <c r="AU4677" s="22" t="s">
        <v>3240</v>
      </c>
    </row>
    <row r="4678" spans="1:47">
      <c r="A4678" s="246" t="str">
        <f t="shared" si="1436"/>
        <v/>
      </c>
      <c r="B4678" s="23"/>
      <c r="C4678" s="23"/>
      <c r="D4678" s="202" t="str">
        <f t="shared" si="1437"/>
        <v/>
      </c>
      <c r="E4678" s="33" t="str">
        <f t="shared" si="1431"/>
        <v/>
      </c>
      <c r="F4678" s="23"/>
      <c r="G4678" s="23"/>
      <c r="H4678" s="29"/>
      <c r="I4678" s="204" t="str">
        <f t="shared" si="1434"/>
        <v/>
      </c>
      <c r="J4678" s="188"/>
      <c r="K4678" s="29"/>
      <c r="L4678" s="24"/>
      <c r="M4678" s="22"/>
      <c r="N4678" s="22"/>
      <c r="O4678" s="22"/>
      <c r="P4678" s="202" t="str">
        <f t="shared" si="1435"/>
        <v/>
      </c>
      <c r="Q4678" s="22"/>
      <c r="R4678" s="22"/>
      <c r="S4678" s="22"/>
      <c r="T4678" s="22"/>
      <c r="U4678" s="22"/>
      <c r="V4678" s="22"/>
      <c r="W4678" s="22"/>
      <c r="X4678" s="104"/>
      <c r="Y4678" s="195" t="str">
        <f t="shared" si="1432"/>
        <v/>
      </c>
      <c r="Z4678" s="196" t="str">
        <f t="shared" si="1433"/>
        <v/>
      </c>
      <c r="AA4678" s="22"/>
      <c r="AB4678" s="197" t="str">
        <f t="shared" si="1438"/>
        <v/>
      </c>
      <c r="AC4678" s="198" t="str">
        <f t="shared" si="1439"/>
        <v/>
      </c>
      <c r="AD4678" s="162"/>
      <c r="AE4678" s="199" t="str">
        <f t="shared" si="1440"/>
        <v/>
      </c>
      <c r="AF4678" s="199" t="str">
        <f>IF(AND(COUNTIFS($J$18:J4678,J4678)=1,AE4678=1),1,"")</f>
        <v/>
      </c>
      <c r="AG4678" s="199" t="str">
        <f>IF(C4678="","",IF(AND(COUNTIFS($J$18:J4678,J4678)=1,C4678&lt;&gt;""),1,""))</f>
        <v/>
      </c>
      <c r="AH4678" s="199" t="str">
        <f>IF(G4678="","",IF(AND(COUNTIFS($J$18:J4678,J4678)=1,G4678&lt;&gt;""),1,""))</f>
        <v/>
      </c>
      <c r="AI4678" s="200">
        <f t="shared" si="1441"/>
        <v>0</v>
      </c>
      <c r="AJ4678" s="200">
        <f t="shared" si="1442"/>
        <v>0</v>
      </c>
      <c r="AK4678" s="201" t="str">
        <f t="shared" si="1443"/>
        <v/>
      </c>
      <c r="AL4678" s="24"/>
      <c r="AM4678" s="24"/>
      <c r="AN4678" s="24"/>
      <c r="AO4678" s="24"/>
      <c r="AP4678" s="165" t="str">
        <f t="shared" si="1444"/>
        <v/>
      </c>
      <c r="AQ4678" s="203" t="str">
        <f t="shared" si="1445"/>
        <v/>
      </c>
      <c r="AR4678" s="206">
        <f t="shared" si="1446"/>
        <v>0</v>
      </c>
      <c r="AS4678" s="22" t="str">
        <f t="shared" si="1447"/>
        <v/>
      </c>
      <c r="AT4678" s="24" t="str">
        <f t="shared" si="1448"/>
        <v/>
      </c>
      <c r="AU4678" s="22" t="s">
        <v>3240</v>
      </c>
    </row>
    <row r="4679" spans="1:47">
      <c r="A4679" s="246" t="str">
        <f t="shared" si="1436"/>
        <v/>
      </c>
      <c r="B4679" s="23"/>
      <c r="C4679" s="23"/>
      <c r="D4679" s="202" t="str">
        <f t="shared" si="1437"/>
        <v/>
      </c>
      <c r="E4679" s="33" t="str">
        <f t="shared" si="1431"/>
        <v/>
      </c>
      <c r="F4679" s="23"/>
      <c r="G4679" s="23"/>
      <c r="H4679" s="29"/>
      <c r="I4679" s="204" t="str">
        <f t="shared" si="1434"/>
        <v/>
      </c>
      <c r="J4679" s="188"/>
      <c r="K4679" s="29"/>
      <c r="L4679" s="24"/>
      <c r="M4679" s="22"/>
      <c r="N4679" s="22"/>
      <c r="O4679" s="22"/>
      <c r="P4679" s="202" t="str">
        <f t="shared" si="1435"/>
        <v/>
      </c>
      <c r="Q4679" s="22"/>
      <c r="R4679" s="22"/>
      <c r="S4679" s="22"/>
      <c r="T4679" s="22"/>
      <c r="U4679" s="22"/>
      <c r="V4679" s="22"/>
      <c r="W4679" s="22"/>
      <c r="X4679" s="104"/>
      <c r="Y4679" s="195" t="str">
        <f t="shared" si="1432"/>
        <v/>
      </c>
      <c r="Z4679" s="196" t="str">
        <f t="shared" si="1433"/>
        <v/>
      </c>
      <c r="AA4679" s="22"/>
      <c r="AB4679" s="197" t="str">
        <f t="shared" si="1438"/>
        <v/>
      </c>
      <c r="AC4679" s="198" t="str">
        <f t="shared" si="1439"/>
        <v/>
      </c>
      <c r="AD4679" s="162"/>
      <c r="AE4679" s="199" t="str">
        <f t="shared" si="1440"/>
        <v/>
      </c>
      <c r="AF4679" s="199" t="str">
        <f>IF(AND(COUNTIFS($J$18:J4679,J4679)=1,AE4679=1),1,"")</f>
        <v/>
      </c>
      <c r="AG4679" s="199" t="str">
        <f>IF(C4679="","",IF(AND(COUNTIFS($J$18:J4679,J4679)=1,C4679&lt;&gt;""),1,""))</f>
        <v/>
      </c>
      <c r="AH4679" s="199" t="str">
        <f>IF(G4679="","",IF(AND(COUNTIFS($J$18:J4679,J4679)=1,G4679&lt;&gt;""),1,""))</f>
        <v/>
      </c>
      <c r="AI4679" s="200">
        <f t="shared" si="1441"/>
        <v>0</v>
      </c>
      <c r="AJ4679" s="200">
        <f t="shared" si="1442"/>
        <v>0</v>
      </c>
      <c r="AK4679" s="201" t="str">
        <f t="shared" si="1443"/>
        <v/>
      </c>
      <c r="AL4679" s="24"/>
      <c r="AM4679" s="24"/>
      <c r="AN4679" s="24"/>
      <c r="AO4679" s="24"/>
      <c r="AP4679" s="165" t="str">
        <f t="shared" si="1444"/>
        <v/>
      </c>
      <c r="AQ4679" s="203" t="str">
        <f t="shared" si="1445"/>
        <v/>
      </c>
      <c r="AR4679" s="206">
        <f t="shared" si="1446"/>
        <v>0</v>
      </c>
      <c r="AS4679" s="22" t="str">
        <f t="shared" si="1447"/>
        <v/>
      </c>
      <c r="AT4679" s="24" t="str">
        <f t="shared" si="1448"/>
        <v/>
      </c>
      <c r="AU4679" s="22" t="s">
        <v>3240</v>
      </c>
    </row>
    <row r="4680" spans="1:47">
      <c r="A4680" s="246" t="str">
        <f t="shared" si="1436"/>
        <v/>
      </c>
      <c r="B4680" s="23"/>
      <c r="C4680" s="23"/>
      <c r="D4680" s="202" t="str">
        <f t="shared" si="1437"/>
        <v/>
      </c>
      <c r="E4680" s="33" t="str">
        <f t="shared" si="1431"/>
        <v/>
      </c>
      <c r="F4680" s="23"/>
      <c r="G4680" s="23"/>
      <c r="H4680" s="29"/>
      <c r="I4680" s="204" t="str">
        <f t="shared" si="1434"/>
        <v/>
      </c>
      <c r="J4680" s="188"/>
      <c r="K4680" s="29"/>
      <c r="L4680" s="24"/>
      <c r="M4680" s="22"/>
      <c r="N4680" s="22"/>
      <c r="O4680" s="22"/>
      <c r="P4680" s="202" t="str">
        <f t="shared" si="1435"/>
        <v/>
      </c>
      <c r="Q4680" s="22"/>
      <c r="R4680" s="22"/>
      <c r="S4680" s="22"/>
      <c r="T4680" s="22"/>
      <c r="U4680" s="22"/>
      <c r="V4680" s="22"/>
      <c r="W4680" s="22"/>
      <c r="X4680" s="104"/>
      <c r="Y4680" s="195" t="str">
        <f t="shared" si="1432"/>
        <v/>
      </c>
      <c r="Z4680" s="196" t="str">
        <f t="shared" si="1433"/>
        <v/>
      </c>
      <c r="AA4680" s="22"/>
      <c r="AB4680" s="197" t="str">
        <f t="shared" si="1438"/>
        <v/>
      </c>
      <c r="AC4680" s="198" t="str">
        <f t="shared" si="1439"/>
        <v/>
      </c>
      <c r="AD4680" s="162"/>
      <c r="AE4680" s="199" t="str">
        <f t="shared" si="1440"/>
        <v/>
      </c>
      <c r="AF4680" s="199" t="str">
        <f>IF(AND(COUNTIFS($J$18:J4680,J4680)=1,AE4680=1),1,"")</f>
        <v/>
      </c>
      <c r="AG4680" s="199" t="str">
        <f>IF(C4680="","",IF(AND(COUNTIFS($J$18:J4680,J4680)=1,C4680&lt;&gt;""),1,""))</f>
        <v/>
      </c>
      <c r="AH4680" s="199" t="str">
        <f>IF(G4680="","",IF(AND(COUNTIFS($J$18:J4680,J4680)=1,G4680&lt;&gt;""),1,""))</f>
        <v/>
      </c>
      <c r="AI4680" s="200">
        <f t="shared" si="1441"/>
        <v>0</v>
      </c>
      <c r="AJ4680" s="200">
        <f t="shared" si="1442"/>
        <v>0</v>
      </c>
      <c r="AK4680" s="201" t="str">
        <f t="shared" si="1443"/>
        <v/>
      </c>
      <c r="AL4680" s="24"/>
      <c r="AM4680" s="24"/>
      <c r="AN4680" s="24"/>
      <c r="AO4680" s="24"/>
      <c r="AP4680" s="165" t="str">
        <f t="shared" si="1444"/>
        <v/>
      </c>
      <c r="AQ4680" s="203" t="str">
        <f t="shared" si="1445"/>
        <v/>
      </c>
      <c r="AR4680" s="206">
        <f t="shared" si="1446"/>
        <v>0</v>
      </c>
      <c r="AS4680" s="22" t="str">
        <f t="shared" si="1447"/>
        <v/>
      </c>
      <c r="AT4680" s="24" t="str">
        <f t="shared" si="1448"/>
        <v/>
      </c>
      <c r="AU4680" s="22" t="s">
        <v>3240</v>
      </c>
    </row>
    <row r="4681" spans="1:47">
      <c r="A4681" s="246" t="str">
        <f t="shared" si="1436"/>
        <v/>
      </c>
      <c r="B4681" s="23"/>
      <c r="C4681" s="23"/>
      <c r="D4681" s="202" t="str">
        <f t="shared" si="1437"/>
        <v/>
      </c>
      <c r="E4681" s="33" t="str">
        <f t="shared" si="1431"/>
        <v/>
      </c>
      <c r="F4681" s="23"/>
      <c r="G4681" s="23"/>
      <c r="H4681" s="29"/>
      <c r="I4681" s="204" t="str">
        <f t="shared" si="1434"/>
        <v/>
      </c>
      <c r="J4681" s="188"/>
      <c r="K4681" s="29"/>
      <c r="L4681" s="24"/>
      <c r="M4681" s="22"/>
      <c r="N4681" s="22"/>
      <c r="O4681" s="22"/>
      <c r="P4681" s="202" t="str">
        <f t="shared" si="1435"/>
        <v/>
      </c>
      <c r="Q4681" s="22"/>
      <c r="R4681" s="22"/>
      <c r="S4681" s="22"/>
      <c r="T4681" s="22"/>
      <c r="U4681" s="22"/>
      <c r="V4681" s="22"/>
      <c r="W4681" s="22"/>
      <c r="X4681" s="104"/>
      <c r="Y4681" s="195" t="str">
        <f t="shared" si="1432"/>
        <v/>
      </c>
      <c r="Z4681" s="196" t="str">
        <f t="shared" si="1433"/>
        <v/>
      </c>
      <c r="AA4681" s="22"/>
      <c r="AB4681" s="197" t="str">
        <f t="shared" si="1438"/>
        <v/>
      </c>
      <c r="AC4681" s="198" t="str">
        <f t="shared" si="1439"/>
        <v/>
      </c>
      <c r="AD4681" s="162"/>
      <c r="AE4681" s="199" t="str">
        <f t="shared" si="1440"/>
        <v/>
      </c>
      <c r="AF4681" s="199" t="str">
        <f>IF(AND(COUNTIFS($J$18:J4681,J4681)=1,AE4681=1),1,"")</f>
        <v/>
      </c>
      <c r="AG4681" s="199" t="str">
        <f>IF(C4681="","",IF(AND(COUNTIFS($J$18:J4681,J4681)=1,C4681&lt;&gt;""),1,""))</f>
        <v/>
      </c>
      <c r="AH4681" s="199" t="str">
        <f>IF(G4681="","",IF(AND(COUNTIFS($J$18:J4681,J4681)=1,G4681&lt;&gt;""),1,""))</f>
        <v/>
      </c>
      <c r="AI4681" s="200">
        <f t="shared" si="1441"/>
        <v>0</v>
      </c>
      <c r="AJ4681" s="200">
        <f t="shared" si="1442"/>
        <v>0</v>
      </c>
      <c r="AK4681" s="201" t="str">
        <f t="shared" si="1443"/>
        <v/>
      </c>
      <c r="AL4681" s="24"/>
      <c r="AM4681" s="24"/>
      <c r="AN4681" s="24"/>
      <c r="AO4681" s="24"/>
      <c r="AP4681" s="165" t="str">
        <f t="shared" si="1444"/>
        <v/>
      </c>
      <c r="AQ4681" s="203" t="str">
        <f t="shared" si="1445"/>
        <v/>
      </c>
      <c r="AR4681" s="206">
        <f t="shared" si="1446"/>
        <v>0</v>
      </c>
      <c r="AS4681" s="22" t="str">
        <f t="shared" si="1447"/>
        <v/>
      </c>
      <c r="AT4681" s="24" t="str">
        <f t="shared" si="1448"/>
        <v/>
      </c>
      <c r="AU4681" s="22" t="s">
        <v>3240</v>
      </c>
    </row>
    <row r="4682" spans="1:47">
      <c r="A4682" s="246" t="str">
        <f t="shared" si="1436"/>
        <v/>
      </c>
      <c r="B4682" s="23"/>
      <c r="C4682" s="23"/>
      <c r="D4682" s="202" t="str">
        <f t="shared" si="1437"/>
        <v/>
      </c>
      <c r="E4682" s="33" t="str">
        <f t="shared" si="1431"/>
        <v/>
      </c>
      <c r="F4682" s="23"/>
      <c r="G4682" s="23"/>
      <c r="H4682" s="29"/>
      <c r="I4682" s="204" t="str">
        <f t="shared" si="1434"/>
        <v/>
      </c>
      <c r="J4682" s="188"/>
      <c r="K4682" s="29"/>
      <c r="L4682" s="24"/>
      <c r="M4682" s="22"/>
      <c r="N4682" s="22"/>
      <c r="O4682" s="22"/>
      <c r="P4682" s="202" t="str">
        <f t="shared" si="1435"/>
        <v/>
      </c>
      <c r="Q4682" s="22"/>
      <c r="R4682" s="22"/>
      <c r="S4682" s="22"/>
      <c r="T4682" s="22"/>
      <c r="U4682" s="22"/>
      <c r="V4682" s="22"/>
      <c r="W4682" s="22"/>
      <c r="X4682" s="104"/>
      <c r="Y4682" s="195" t="str">
        <f t="shared" si="1432"/>
        <v/>
      </c>
      <c r="Z4682" s="196" t="str">
        <f t="shared" si="1433"/>
        <v/>
      </c>
      <c r="AA4682" s="22"/>
      <c r="AB4682" s="197" t="str">
        <f t="shared" si="1438"/>
        <v/>
      </c>
      <c r="AC4682" s="198" t="str">
        <f t="shared" si="1439"/>
        <v/>
      </c>
      <c r="AD4682" s="162"/>
      <c r="AE4682" s="199" t="str">
        <f t="shared" si="1440"/>
        <v/>
      </c>
      <c r="AF4682" s="199" t="str">
        <f>IF(AND(COUNTIFS($J$18:J4682,J4682)=1,AE4682=1),1,"")</f>
        <v/>
      </c>
      <c r="AG4682" s="199" t="str">
        <f>IF(C4682="","",IF(AND(COUNTIFS($J$18:J4682,J4682)=1,C4682&lt;&gt;""),1,""))</f>
        <v/>
      </c>
      <c r="AH4682" s="199" t="str">
        <f>IF(G4682="","",IF(AND(COUNTIFS($J$18:J4682,J4682)=1,G4682&lt;&gt;""),1,""))</f>
        <v/>
      </c>
      <c r="AI4682" s="200">
        <f t="shared" si="1441"/>
        <v>0</v>
      </c>
      <c r="AJ4682" s="200">
        <f t="shared" si="1442"/>
        <v>0</v>
      </c>
      <c r="AK4682" s="201" t="str">
        <f t="shared" si="1443"/>
        <v/>
      </c>
      <c r="AL4682" s="24"/>
      <c r="AM4682" s="24"/>
      <c r="AN4682" s="24"/>
      <c r="AO4682" s="24"/>
      <c r="AP4682" s="165" t="str">
        <f t="shared" si="1444"/>
        <v/>
      </c>
      <c r="AQ4682" s="203" t="str">
        <f t="shared" si="1445"/>
        <v/>
      </c>
      <c r="AR4682" s="206">
        <f t="shared" si="1446"/>
        <v>0</v>
      </c>
      <c r="AS4682" s="22" t="str">
        <f t="shared" si="1447"/>
        <v/>
      </c>
      <c r="AT4682" s="24" t="str">
        <f t="shared" si="1448"/>
        <v/>
      </c>
      <c r="AU4682" s="22" t="s">
        <v>3240</v>
      </c>
    </row>
    <row r="4683" spans="1:47">
      <c r="A4683" s="246" t="str">
        <f t="shared" si="1436"/>
        <v/>
      </c>
      <c r="B4683" s="23"/>
      <c r="C4683" s="23"/>
      <c r="D4683" s="202" t="str">
        <f t="shared" si="1437"/>
        <v/>
      </c>
      <c r="E4683" s="33" t="str">
        <f t="shared" si="1431"/>
        <v/>
      </c>
      <c r="F4683" s="23"/>
      <c r="G4683" s="23"/>
      <c r="H4683" s="29"/>
      <c r="I4683" s="204" t="str">
        <f t="shared" si="1434"/>
        <v/>
      </c>
      <c r="J4683" s="188"/>
      <c r="K4683" s="29"/>
      <c r="L4683" s="24"/>
      <c r="M4683" s="22"/>
      <c r="N4683" s="22"/>
      <c r="O4683" s="22"/>
      <c r="P4683" s="202" t="str">
        <f t="shared" si="1435"/>
        <v/>
      </c>
      <c r="Q4683" s="22"/>
      <c r="R4683" s="22"/>
      <c r="S4683" s="22"/>
      <c r="T4683" s="22"/>
      <c r="U4683" s="22"/>
      <c r="V4683" s="22"/>
      <c r="W4683" s="22"/>
      <c r="X4683" s="104"/>
      <c r="Y4683" s="195" t="str">
        <f t="shared" si="1432"/>
        <v/>
      </c>
      <c r="Z4683" s="196" t="str">
        <f t="shared" si="1433"/>
        <v/>
      </c>
      <c r="AA4683" s="22"/>
      <c r="AB4683" s="197" t="str">
        <f t="shared" si="1438"/>
        <v/>
      </c>
      <c r="AC4683" s="198" t="str">
        <f t="shared" si="1439"/>
        <v/>
      </c>
      <c r="AD4683" s="162"/>
      <c r="AE4683" s="199" t="str">
        <f t="shared" si="1440"/>
        <v/>
      </c>
      <c r="AF4683" s="199" t="str">
        <f>IF(AND(COUNTIFS($J$18:J4683,J4683)=1,AE4683=1),1,"")</f>
        <v/>
      </c>
      <c r="AG4683" s="199" t="str">
        <f>IF(C4683="","",IF(AND(COUNTIFS($J$18:J4683,J4683)=1,C4683&lt;&gt;""),1,""))</f>
        <v/>
      </c>
      <c r="AH4683" s="199" t="str">
        <f>IF(G4683="","",IF(AND(COUNTIFS($J$18:J4683,J4683)=1,G4683&lt;&gt;""),1,""))</f>
        <v/>
      </c>
      <c r="AI4683" s="200">
        <f t="shared" si="1441"/>
        <v>0</v>
      </c>
      <c r="AJ4683" s="200">
        <f t="shared" si="1442"/>
        <v>0</v>
      </c>
      <c r="AK4683" s="201" t="str">
        <f t="shared" si="1443"/>
        <v/>
      </c>
      <c r="AL4683" s="24"/>
      <c r="AM4683" s="24"/>
      <c r="AN4683" s="24"/>
      <c r="AO4683" s="24"/>
      <c r="AP4683" s="165" t="str">
        <f t="shared" si="1444"/>
        <v/>
      </c>
      <c r="AQ4683" s="203" t="str">
        <f t="shared" si="1445"/>
        <v/>
      </c>
      <c r="AR4683" s="206">
        <f t="shared" si="1446"/>
        <v>0</v>
      </c>
      <c r="AS4683" s="22" t="str">
        <f t="shared" si="1447"/>
        <v/>
      </c>
      <c r="AT4683" s="24" t="str">
        <f t="shared" si="1448"/>
        <v/>
      </c>
      <c r="AU4683" s="22" t="s">
        <v>3240</v>
      </c>
    </row>
    <row r="4684" spans="1:47">
      <c r="A4684" s="246" t="str">
        <f t="shared" si="1436"/>
        <v/>
      </c>
      <c r="B4684" s="23"/>
      <c r="C4684" s="23"/>
      <c r="D4684" s="202" t="str">
        <f t="shared" si="1437"/>
        <v/>
      </c>
      <c r="E4684" s="33" t="str">
        <f t="shared" si="1431"/>
        <v/>
      </c>
      <c r="F4684" s="23"/>
      <c r="G4684" s="23"/>
      <c r="H4684" s="29"/>
      <c r="I4684" s="204" t="str">
        <f t="shared" si="1434"/>
        <v/>
      </c>
      <c r="J4684" s="188"/>
      <c r="K4684" s="29"/>
      <c r="L4684" s="24"/>
      <c r="M4684" s="22"/>
      <c r="N4684" s="22"/>
      <c r="O4684" s="22"/>
      <c r="P4684" s="202" t="str">
        <f t="shared" si="1435"/>
        <v/>
      </c>
      <c r="Q4684" s="22"/>
      <c r="R4684" s="22"/>
      <c r="S4684" s="22"/>
      <c r="T4684" s="22"/>
      <c r="U4684" s="22"/>
      <c r="V4684" s="22"/>
      <c r="W4684" s="22"/>
      <c r="X4684" s="104"/>
      <c r="Y4684" s="195" t="str">
        <f t="shared" si="1432"/>
        <v/>
      </c>
      <c r="Z4684" s="196" t="str">
        <f t="shared" si="1433"/>
        <v/>
      </c>
      <c r="AA4684" s="22"/>
      <c r="AB4684" s="197" t="str">
        <f t="shared" si="1438"/>
        <v/>
      </c>
      <c r="AC4684" s="198" t="str">
        <f t="shared" si="1439"/>
        <v/>
      </c>
      <c r="AD4684" s="162"/>
      <c r="AE4684" s="199" t="str">
        <f t="shared" si="1440"/>
        <v/>
      </c>
      <c r="AF4684" s="199" t="str">
        <f>IF(AND(COUNTIFS($J$18:J4684,J4684)=1,AE4684=1),1,"")</f>
        <v/>
      </c>
      <c r="AG4684" s="199" t="str">
        <f>IF(C4684="","",IF(AND(COUNTIFS($J$18:J4684,J4684)=1,C4684&lt;&gt;""),1,""))</f>
        <v/>
      </c>
      <c r="AH4684" s="199" t="str">
        <f>IF(G4684="","",IF(AND(COUNTIFS($J$18:J4684,J4684)=1,G4684&lt;&gt;""),1,""))</f>
        <v/>
      </c>
      <c r="AI4684" s="200">
        <f t="shared" si="1441"/>
        <v>0</v>
      </c>
      <c r="AJ4684" s="200">
        <f t="shared" si="1442"/>
        <v>0</v>
      </c>
      <c r="AK4684" s="201" t="str">
        <f t="shared" si="1443"/>
        <v/>
      </c>
      <c r="AL4684" s="24"/>
      <c r="AM4684" s="24"/>
      <c r="AN4684" s="24"/>
      <c r="AO4684" s="24"/>
      <c r="AP4684" s="165" t="str">
        <f t="shared" si="1444"/>
        <v/>
      </c>
      <c r="AQ4684" s="203" t="str">
        <f t="shared" si="1445"/>
        <v/>
      </c>
      <c r="AR4684" s="206">
        <f t="shared" si="1446"/>
        <v>0</v>
      </c>
      <c r="AS4684" s="22" t="str">
        <f t="shared" si="1447"/>
        <v/>
      </c>
      <c r="AT4684" s="24" t="str">
        <f t="shared" si="1448"/>
        <v/>
      </c>
      <c r="AU4684" s="22" t="s">
        <v>3240</v>
      </c>
    </row>
    <row r="4685" spans="1:47">
      <c r="A4685" s="246" t="str">
        <f t="shared" si="1436"/>
        <v/>
      </c>
      <c r="B4685" s="23"/>
      <c r="C4685" s="23"/>
      <c r="D4685" s="202" t="str">
        <f t="shared" si="1437"/>
        <v/>
      </c>
      <c r="E4685" s="33" t="str">
        <f t="shared" si="1431"/>
        <v/>
      </c>
      <c r="F4685" s="23"/>
      <c r="G4685" s="23"/>
      <c r="H4685" s="29"/>
      <c r="I4685" s="204" t="str">
        <f t="shared" si="1434"/>
        <v/>
      </c>
      <c r="J4685" s="188"/>
      <c r="K4685" s="29"/>
      <c r="L4685" s="24"/>
      <c r="M4685" s="22"/>
      <c r="N4685" s="22"/>
      <c r="O4685" s="22"/>
      <c r="P4685" s="202" t="str">
        <f t="shared" si="1435"/>
        <v/>
      </c>
      <c r="Q4685" s="22"/>
      <c r="R4685" s="22"/>
      <c r="S4685" s="22"/>
      <c r="T4685" s="22"/>
      <c r="U4685" s="22"/>
      <c r="V4685" s="22"/>
      <c r="W4685" s="22"/>
      <c r="X4685" s="104"/>
      <c r="Y4685" s="195" t="str">
        <f t="shared" si="1432"/>
        <v/>
      </c>
      <c r="Z4685" s="196" t="str">
        <f t="shared" si="1433"/>
        <v/>
      </c>
      <c r="AA4685" s="22"/>
      <c r="AB4685" s="197" t="str">
        <f t="shared" si="1438"/>
        <v/>
      </c>
      <c r="AC4685" s="198" t="str">
        <f t="shared" si="1439"/>
        <v/>
      </c>
      <c r="AD4685" s="162"/>
      <c r="AE4685" s="199" t="str">
        <f t="shared" si="1440"/>
        <v/>
      </c>
      <c r="AF4685" s="199" t="str">
        <f>IF(AND(COUNTIFS($J$18:J4685,J4685)=1,AE4685=1),1,"")</f>
        <v/>
      </c>
      <c r="AG4685" s="199" t="str">
        <f>IF(C4685="","",IF(AND(COUNTIFS($J$18:J4685,J4685)=1,C4685&lt;&gt;""),1,""))</f>
        <v/>
      </c>
      <c r="AH4685" s="199" t="str">
        <f>IF(G4685="","",IF(AND(COUNTIFS($J$18:J4685,J4685)=1,G4685&lt;&gt;""),1,""))</f>
        <v/>
      </c>
      <c r="AI4685" s="200">
        <f t="shared" si="1441"/>
        <v>0</v>
      </c>
      <c r="AJ4685" s="200">
        <f t="shared" si="1442"/>
        <v>0</v>
      </c>
      <c r="AK4685" s="201" t="str">
        <f t="shared" si="1443"/>
        <v/>
      </c>
      <c r="AL4685" s="24"/>
      <c r="AM4685" s="24"/>
      <c r="AN4685" s="24"/>
      <c r="AO4685" s="24"/>
      <c r="AP4685" s="165" t="str">
        <f t="shared" si="1444"/>
        <v/>
      </c>
      <c r="AQ4685" s="203" t="str">
        <f t="shared" si="1445"/>
        <v/>
      </c>
      <c r="AR4685" s="206">
        <f t="shared" si="1446"/>
        <v>0</v>
      </c>
      <c r="AS4685" s="22" t="str">
        <f t="shared" si="1447"/>
        <v/>
      </c>
      <c r="AT4685" s="24" t="str">
        <f t="shared" si="1448"/>
        <v/>
      </c>
      <c r="AU4685" s="22" t="s">
        <v>3240</v>
      </c>
    </row>
    <row r="4686" spans="1:47">
      <c r="A4686" s="246" t="str">
        <f t="shared" si="1436"/>
        <v/>
      </c>
      <c r="B4686" s="23"/>
      <c r="C4686" s="23"/>
      <c r="D4686" s="202" t="str">
        <f t="shared" si="1437"/>
        <v/>
      </c>
      <c r="E4686" s="33" t="str">
        <f t="shared" si="1431"/>
        <v/>
      </c>
      <c r="F4686" s="23"/>
      <c r="G4686" s="23"/>
      <c r="H4686" s="29"/>
      <c r="I4686" s="204" t="str">
        <f t="shared" si="1434"/>
        <v/>
      </c>
      <c r="J4686" s="188"/>
      <c r="K4686" s="29"/>
      <c r="L4686" s="24"/>
      <c r="M4686" s="22"/>
      <c r="N4686" s="22"/>
      <c r="O4686" s="22"/>
      <c r="P4686" s="202" t="str">
        <f t="shared" si="1435"/>
        <v/>
      </c>
      <c r="Q4686" s="22"/>
      <c r="R4686" s="22"/>
      <c r="S4686" s="22"/>
      <c r="T4686" s="22"/>
      <c r="U4686" s="22"/>
      <c r="V4686" s="22"/>
      <c r="W4686" s="22"/>
      <c r="X4686" s="104"/>
      <c r="Y4686" s="195" t="str">
        <f t="shared" si="1432"/>
        <v/>
      </c>
      <c r="Z4686" s="196" t="str">
        <f t="shared" si="1433"/>
        <v/>
      </c>
      <c r="AA4686" s="22"/>
      <c r="AB4686" s="197" t="str">
        <f t="shared" si="1438"/>
        <v/>
      </c>
      <c r="AC4686" s="198" t="str">
        <f t="shared" si="1439"/>
        <v/>
      </c>
      <c r="AD4686" s="162"/>
      <c r="AE4686" s="199" t="str">
        <f t="shared" si="1440"/>
        <v/>
      </c>
      <c r="AF4686" s="199" t="str">
        <f>IF(AND(COUNTIFS($J$18:J4686,J4686)=1,AE4686=1),1,"")</f>
        <v/>
      </c>
      <c r="AG4686" s="199" t="str">
        <f>IF(C4686="","",IF(AND(COUNTIFS($J$18:J4686,J4686)=1,C4686&lt;&gt;""),1,""))</f>
        <v/>
      </c>
      <c r="AH4686" s="199" t="str">
        <f>IF(G4686="","",IF(AND(COUNTIFS($J$18:J4686,J4686)=1,G4686&lt;&gt;""),1,""))</f>
        <v/>
      </c>
      <c r="AI4686" s="200">
        <f t="shared" si="1441"/>
        <v>0</v>
      </c>
      <c r="AJ4686" s="200">
        <f t="shared" si="1442"/>
        <v>0</v>
      </c>
      <c r="AK4686" s="201" t="str">
        <f t="shared" si="1443"/>
        <v/>
      </c>
      <c r="AL4686" s="24"/>
      <c r="AM4686" s="24"/>
      <c r="AN4686" s="24"/>
      <c r="AO4686" s="24"/>
      <c r="AP4686" s="165" t="str">
        <f t="shared" si="1444"/>
        <v/>
      </c>
      <c r="AQ4686" s="203" t="str">
        <f t="shared" si="1445"/>
        <v/>
      </c>
      <c r="AR4686" s="206">
        <f t="shared" si="1446"/>
        <v>0</v>
      </c>
      <c r="AS4686" s="22" t="str">
        <f t="shared" si="1447"/>
        <v/>
      </c>
      <c r="AT4686" s="24" t="str">
        <f t="shared" si="1448"/>
        <v/>
      </c>
      <c r="AU4686" s="22" t="s">
        <v>3240</v>
      </c>
    </row>
    <row r="4687" spans="1:47">
      <c r="A4687" s="246" t="str">
        <f t="shared" si="1436"/>
        <v/>
      </c>
      <c r="B4687" s="23"/>
      <c r="C4687" s="23"/>
      <c r="D4687" s="202" t="str">
        <f t="shared" si="1437"/>
        <v/>
      </c>
      <c r="E4687" s="33" t="str">
        <f t="shared" si="1431"/>
        <v/>
      </c>
      <c r="F4687" s="23"/>
      <c r="G4687" s="23"/>
      <c r="H4687" s="29"/>
      <c r="I4687" s="204" t="str">
        <f t="shared" si="1434"/>
        <v/>
      </c>
      <c r="J4687" s="188"/>
      <c r="K4687" s="29"/>
      <c r="L4687" s="24"/>
      <c r="M4687" s="22"/>
      <c r="N4687" s="22"/>
      <c r="O4687" s="22"/>
      <c r="P4687" s="202" t="str">
        <f t="shared" si="1435"/>
        <v/>
      </c>
      <c r="Q4687" s="22"/>
      <c r="R4687" s="22"/>
      <c r="S4687" s="22"/>
      <c r="T4687" s="22"/>
      <c r="U4687" s="22"/>
      <c r="V4687" s="22"/>
      <c r="W4687" s="22"/>
      <c r="X4687" s="104"/>
      <c r="Y4687" s="195" t="str">
        <f t="shared" si="1432"/>
        <v/>
      </c>
      <c r="Z4687" s="196" t="str">
        <f t="shared" si="1433"/>
        <v/>
      </c>
      <c r="AA4687" s="22"/>
      <c r="AB4687" s="197" t="str">
        <f t="shared" si="1438"/>
        <v/>
      </c>
      <c r="AC4687" s="198" t="str">
        <f t="shared" si="1439"/>
        <v/>
      </c>
      <c r="AD4687" s="162"/>
      <c r="AE4687" s="199" t="str">
        <f t="shared" si="1440"/>
        <v/>
      </c>
      <c r="AF4687" s="199" t="str">
        <f>IF(AND(COUNTIFS($J$18:J4687,J4687)=1,AE4687=1),1,"")</f>
        <v/>
      </c>
      <c r="AG4687" s="199" t="str">
        <f>IF(C4687="","",IF(AND(COUNTIFS($J$18:J4687,J4687)=1,C4687&lt;&gt;""),1,""))</f>
        <v/>
      </c>
      <c r="AH4687" s="199" t="str">
        <f>IF(G4687="","",IF(AND(COUNTIFS($J$18:J4687,J4687)=1,G4687&lt;&gt;""),1,""))</f>
        <v/>
      </c>
      <c r="AI4687" s="200">
        <f t="shared" si="1441"/>
        <v>0</v>
      </c>
      <c r="AJ4687" s="200">
        <f t="shared" si="1442"/>
        <v>0</v>
      </c>
      <c r="AK4687" s="201" t="str">
        <f t="shared" si="1443"/>
        <v/>
      </c>
      <c r="AL4687" s="24"/>
      <c r="AM4687" s="24"/>
      <c r="AN4687" s="24"/>
      <c r="AO4687" s="24"/>
      <c r="AP4687" s="165" t="str">
        <f t="shared" si="1444"/>
        <v/>
      </c>
      <c r="AQ4687" s="203" t="str">
        <f t="shared" si="1445"/>
        <v/>
      </c>
      <c r="AR4687" s="206">
        <f t="shared" si="1446"/>
        <v>0</v>
      </c>
      <c r="AS4687" s="22" t="str">
        <f t="shared" si="1447"/>
        <v/>
      </c>
      <c r="AT4687" s="24" t="str">
        <f t="shared" si="1448"/>
        <v/>
      </c>
      <c r="AU4687" s="22" t="s">
        <v>3240</v>
      </c>
    </row>
    <row r="4688" spans="1:47">
      <c r="A4688" s="246" t="str">
        <f t="shared" si="1436"/>
        <v/>
      </c>
      <c r="B4688" s="23"/>
      <c r="C4688" s="23"/>
      <c r="D4688" s="202" t="str">
        <f t="shared" si="1437"/>
        <v/>
      </c>
      <c r="E4688" s="33" t="str">
        <f t="shared" si="1431"/>
        <v/>
      </c>
      <c r="F4688" s="23"/>
      <c r="G4688" s="23"/>
      <c r="H4688" s="29"/>
      <c r="I4688" s="204" t="str">
        <f t="shared" si="1434"/>
        <v/>
      </c>
      <c r="J4688" s="188"/>
      <c r="K4688" s="29"/>
      <c r="L4688" s="24"/>
      <c r="M4688" s="22"/>
      <c r="N4688" s="22"/>
      <c r="O4688" s="22"/>
      <c r="P4688" s="202" t="str">
        <f t="shared" si="1435"/>
        <v/>
      </c>
      <c r="Q4688" s="22"/>
      <c r="R4688" s="22"/>
      <c r="S4688" s="22"/>
      <c r="T4688" s="22"/>
      <c r="U4688" s="22"/>
      <c r="V4688" s="22"/>
      <c r="W4688" s="22"/>
      <c r="X4688" s="104"/>
      <c r="Y4688" s="195" t="str">
        <f t="shared" si="1432"/>
        <v/>
      </c>
      <c r="Z4688" s="196" t="str">
        <f t="shared" si="1433"/>
        <v/>
      </c>
      <c r="AA4688" s="22"/>
      <c r="AB4688" s="197" t="str">
        <f t="shared" si="1438"/>
        <v/>
      </c>
      <c r="AC4688" s="198" t="str">
        <f t="shared" si="1439"/>
        <v/>
      </c>
      <c r="AD4688" s="162"/>
      <c r="AE4688" s="199" t="str">
        <f t="shared" si="1440"/>
        <v/>
      </c>
      <c r="AF4688" s="199" t="str">
        <f>IF(AND(COUNTIFS($J$18:J4688,J4688)=1,AE4688=1),1,"")</f>
        <v/>
      </c>
      <c r="AG4688" s="199" t="str">
        <f>IF(C4688="","",IF(AND(COUNTIFS($J$18:J4688,J4688)=1,C4688&lt;&gt;""),1,""))</f>
        <v/>
      </c>
      <c r="AH4688" s="199" t="str">
        <f>IF(G4688="","",IF(AND(COUNTIFS($J$18:J4688,J4688)=1,G4688&lt;&gt;""),1,""))</f>
        <v/>
      </c>
      <c r="AI4688" s="200">
        <f t="shared" si="1441"/>
        <v>0</v>
      </c>
      <c r="AJ4688" s="200">
        <f t="shared" si="1442"/>
        <v>0</v>
      </c>
      <c r="AK4688" s="201" t="str">
        <f t="shared" si="1443"/>
        <v/>
      </c>
      <c r="AL4688" s="24"/>
      <c r="AM4688" s="24"/>
      <c r="AN4688" s="24"/>
      <c r="AO4688" s="24"/>
      <c r="AP4688" s="165" t="str">
        <f t="shared" si="1444"/>
        <v/>
      </c>
      <c r="AQ4688" s="203" t="str">
        <f t="shared" si="1445"/>
        <v/>
      </c>
      <c r="AR4688" s="206">
        <f t="shared" si="1446"/>
        <v>0</v>
      </c>
      <c r="AS4688" s="22" t="str">
        <f t="shared" si="1447"/>
        <v/>
      </c>
      <c r="AT4688" s="24" t="str">
        <f t="shared" si="1448"/>
        <v/>
      </c>
      <c r="AU4688" s="22" t="s">
        <v>3240</v>
      </c>
    </row>
    <row r="4689" spans="1:47">
      <c r="A4689" s="246" t="str">
        <f t="shared" si="1436"/>
        <v/>
      </c>
      <c r="B4689" s="23"/>
      <c r="C4689" s="23"/>
      <c r="D4689" s="202" t="str">
        <f t="shared" si="1437"/>
        <v/>
      </c>
      <c r="E4689" s="33" t="str">
        <f t="shared" si="1431"/>
        <v/>
      </c>
      <c r="F4689" s="23"/>
      <c r="G4689" s="23"/>
      <c r="H4689" s="29"/>
      <c r="I4689" s="204" t="str">
        <f t="shared" si="1434"/>
        <v/>
      </c>
      <c r="J4689" s="188"/>
      <c r="K4689" s="29"/>
      <c r="L4689" s="24"/>
      <c r="M4689" s="22"/>
      <c r="N4689" s="22"/>
      <c r="O4689" s="22"/>
      <c r="P4689" s="202" t="str">
        <f t="shared" si="1435"/>
        <v/>
      </c>
      <c r="Q4689" s="22"/>
      <c r="R4689" s="22"/>
      <c r="S4689" s="22"/>
      <c r="T4689" s="22"/>
      <c r="U4689" s="22"/>
      <c r="V4689" s="22"/>
      <c r="W4689" s="22"/>
      <c r="X4689" s="104"/>
      <c r="Y4689" s="195" t="str">
        <f t="shared" si="1432"/>
        <v/>
      </c>
      <c r="Z4689" s="196" t="str">
        <f t="shared" si="1433"/>
        <v/>
      </c>
      <c r="AA4689" s="22"/>
      <c r="AB4689" s="197" t="str">
        <f t="shared" si="1438"/>
        <v/>
      </c>
      <c r="AC4689" s="198" t="str">
        <f t="shared" si="1439"/>
        <v/>
      </c>
      <c r="AD4689" s="162"/>
      <c r="AE4689" s="199" t="str">
        <f t="shared" si="1440"/>
        <v/>
      </c>
      <c r="AF4689" s="199" t="str">
        <f>IF(AND(COUNTIFS($J$18:J4689,J4689)=1,AE4689=1),1,"")</f>
        <v/>
      </c>
      <c r="AG4689" s="199" t="str">
        <f>IF(C4689="","",IF(AND(COUNTIFS($J$18:J4689,J4689)=1,C4689&lt;&gt;""),1,""))</f>
        <v/>
      </c>
      <c r="AH4689" s="199" t="str">
        <f>IF(G4689="","",IF(AND(COUNTIFS($J$18:J4689,J4689)=1,G4689&lt;&gt;""),1,""))</f>
        <v/>
      </c>
      <c r="AI4689" s="200">
        <f t="shared" si="1441"/>
        <v>0</v>
      </c>
      <c r="AJ4689" s="200">
        <f t="shared" si="1442"/>
        <v>0</v>
      </c>
      <c r="AK4689" s="201" t="str">
        <f t="shared" si="1443"/>
        <v/>
      </c>
      <c r="AL4689" s="24"/>
      <c r="AM4689" s="24"/>
      <c r="AN4689" s="24"/>
      <c r="AO4689" s="24"/>
      <c r="AP4689" s="165" t="str">
        <f t="shared" si="1444"/>
        <v/>
      </c>
      <c r="AQ4689" s="203" t="str">
        <f t="shared" si="1445"/>
        <v/>
      </c>
      <c r="AR4689" s="206">
        <f t="shared" si="1446"/>
        <v>0</v>
      </c>
      <c r="AS4689" s="22" t="str">
        <f t="shared" si="1447"/>
        <v/>
      </c>
      <c r="AT4689" s="24" t="str">
        <f t="shared" si="1448"/>
        <v/>
      </c>
      <c r="AU4689" s="22" t="s">
        <v>3240</v>
      </c>
    </row>
    <row r="4690" spans="1:47">
      <c r="A4690" s="246" t="str">
        <f t="shared" si="1436"/>
        <v/>
      </c>
      <c r="B4690" s="23"/>
      <c r="C4690" s="23"/>
      <c r="D4690" s="202" t="str">
        <f t="shared" si="1437"/>
        <v/>
      </c>
      <c r="E4690" s="33" t="str">
        <f t="shared" si="1431"/>
        <v/>
      </c>
      <c r="F4690" s="23"/>
      <c r="G4690" s="23"/>
      <c r="H4690" s="29"/>
      <c r="I4690" s="204" t="str">
        <f t="shared" si="1434"/>
        <v/>
      </c>
      <c r="J4690" s="188"/>
      <c r="K4690" s="29"/>
      <c r="L4690" s="24"/>
      <c r="M4690" s="22"/>
      <c r="N4690" s="22"/>
      <c r="O4690" s="22"/>
      <c r="P4690" s="202" t="str">
        <f t="shared" si="1435"/>
        <v/>
      </c>
      <c r="Q4690" s="22"/>
      <c r="R4690" s="22"/>
      <c r="S4690" s="22"/>
      <c r="T4690" s="22"/>
      <c r="U4690" s="22"/>
      <c r="V4690" s="22"/>
      <c r="W4690" s="22"/>
      <c r="X4690" s="104"/>
      <c r="Y4690" s="195" t="str">
        <f t="shared" si="1432"/>
        <v/>
      </c>
      <c r="Z4690" s="196" t="str">
        <f t="shared" si="1433"/>
        <v/>
      </c>
      <c r="AA4690" s="22"/>
      <c r="AB4690" s="197" t="str">
        <f t="shared" si="1438"/>
        <v/>
      </c>
      <c r="AC4690" s="198" t="str">
        <f t="shared" si="1439"/>
        <v/>
      </c>
      <c r="AD4690" s="162"/>
      <c r="AE4690" s="199" t="str">
        <f t="shared" si="1440"/>
        <v/>
      </c>
      <c r="AF4690" s="199" t="str">
        <f>IF(AND(COUNTIFS($J$18:J4690,J4690)=1,AE4690=1),1,"")</f>
        <v/>
      </c>
      <c r="AG4690" s="199" t="str">
        <f>IF(C4690="","",IF(AND(COUNTIFS($J$18:J4690,J4690)=1,C4690&lt;&gt;""),1,""))</f>
        <v/>
      </c>
      <c r="AH4690" s="199" t="str">
        <f>IF(G4690="","",IF(AND(COUNTIFS($J$18:J4690,J4690)=1,G4690&lt;&gt;""),1,""))</f>
        <v/>
      </c>
      <c r="AI4690" s="200">
        <f t="shared" si="1441"/>
        <v>0</v>
      </c>
      <c r="AJ4690" s="200">
        <f t="shared" si="1442"/>
        <v>0</v>
      </c>
      <c r="AK4690" s="201" t="str">
        <f t="shared" si="1443"/>
        <v/>
      </c>
      <c r="AL4690" s="24"/>
      <c r="AM4690" s="24"/>
      <c r="AN4690" s="24"/>
      <c r="AO4690" s="24"/>
      <c r="AP4690" s="165" t="str">
        <f t="shared" si="1444"/>
        <v/>
      </c>
      <c r="AQ4690" s="203" t="str">
        <f t="shared" si="1445"/>
        <v/>
      </c>
      <c r="AR4690" s="206">
        <f t="shared" si="1446"/>
        <v>0</v>
      </c>
      <c r="AS4690" s="22" t="str">
        <f t="shared" si="1447"/>
        <v/>
      </c>
      <c r="AT4690" s="24" t="str">
        <f t="shared" si="1448"/>
        <v/>
      </c>
      <c r="AU4690" s="22" t="s">
        <v>3240</v>
      </c>
    </row>
    <row r="4691" spans="1:47">
      <c r="A4691" s="246" t="str">
        <f t="shared" si="1436"/>
        <v/>
      </c>
      <c r="B4691" s="23"/>
      <c r="C4691" s="23"/>
      <c r="D4691" s="202" t="str">
        <f t="shared" si="1437"/>
        <v/>
      </c>
      <c r="E4691" s="33" t="str">
        <f t="shared" si="1431"/>
        <v/>
      </c>
      <c r="F4691" s="23"/>
      <c r="G4691" s="23"/>
      <c r="H4691" s="29"/>
      <c r="I4691" s="204" t="str">
        <f t="shared" si="1434"/>
        <v/>
      </c>
      <c r="J4691" s="188"/>
      <c r="K4691" s="29"/>
      <c r="L4691" s="24"/>
      <c r="M4691" s="22"/>
      <c r="N4691" s="22"/>
      <c r="O4691" s="22"/>
      <c r="P4691" s="202" t="str">
        <f t="shared" si="1435"/>
        <v/>
      </c>
      <c r="Q4691" s="22"/>
      <c r="R4691" s="22"/>
      <c r="S4691" s="22"/>
      <c r="T4691" s="22"/>
      <c r="U4691" s="22"/>
      <c r="V4691" s="22"/>
      <c r="W4691" s="22"/>
      <c r="X4691" s="104"/>
      <c r="Y4691" s="195" t="str">
        <f t="shared" si="1432"/>
        <v/>
      </c>
      <c r="Z4691" s="196" t="str">
        <f t="shared" si="1433"/>
        <v/>
      </c>
      <c r="AA4691" s="22"/>
      <c r="AB4691" s="197" t="str">
        <f t="shared" si="1438"/>
        <v/>
      </c>
      <c r="AC4691" s="198" t="str">
        <f t="shared" si="1439"/>
        <v/>
      </c>
      <c r="AD4691" s="162"/>
      <c r="AE4691" s="199" t="str">
        <f t="shared" si="1440"/>
        <v/>
      </c>
      <c r="AF4691" s="199" t="str">
        <f>IF(AND(COUNTIFS($J$18:J4691,J4691)=1,AE4691=1),1,"")</f>
        <v/>
      </c>
      <c r="AG4691" s="199" t="str">
        <f>IF(C4691="","",IF(AND(COUNTIFS($J$18:J4691,J4691)=1,C4691&lt;&gt;""),1,""))</f>
        <v/>
      </c>
      <c r="AH4691" s="199" t="str">
        <f>IF(G4691="","",IF(AND(COUNTIFS($J$18:J4691,J4691)=1,G4691&lt;&gt;""),1,""))</f>
        <v/>
      </c>
      <c r="AI4691" s="200">
        <f t="shared" si="1441"/>
        <v>0</v>
      </c>
      <c r="AJ4691" s="200">
        <f t="shared" si="1442"/>
        <v>0</v>
      </c>
      <c r="AK4691" s="201" t="str">
        <f t="shared" si="1443"/>
        <v/>
      </c>
      <c r="AL4691" s="24"/>
      <c r="AM4691" s="24"/>
      <c r="AN4691" s="24"/>
      <c r="AO4691" s="24"/>
      <c r="AP4691" s="165" t="str">
        <f t="shared" si="1444"/>
        <v/>
      </c>
      <c r="AQ4691" s="203" t="str">
        <f t="shared" si="1445"/>
        <v/>
      </c>
      <c r="AR4691" s="206">
        <f t="shared" si="1446"/>
        <v>0</v>
      </c>
      <c r="AS4691" s="22" t="str">
        <f t="shared" si="1447"/>
        <v/>
      </c>
      <c r="AT4691" s="24" t="str">
        <f t="shared" si="1448"/>
        <v/>
      </c>
      <c r="AU4691" s="22" t="s">
        <v>3240</v>
      </c>
    </row>
    <row r="4692" spans="1:47">
      <c r="A4692" s="246" t="str">
        <f t="shared" si="1436"/>
        <v/>
      </c>
      <c r="B4692" s="23"/>
      <c r="C4692" s="23"/>
      <c r="D4692" s="202" t="str">
        <f t="shared" si="1437"/>
        <v/>
      </c>
      <c r="E4692" s="33" t="str">
        <f t="shared" si="1431"/>
        <v/>
      </c>
      <c r="F4692" s="23"/>
      <c r="G4692" s="23"/>
      <c r="H4692" s="29"/>
      <c r="I4692" s="204" t="str">
        <f t="shared" si="1434"/>
        <v/>
      </c>
      <c r="J4692" s="188"/>
      <c r="K4692" s="29"/>
      <c r="L4692" s="24"/>
      <c r="M4692" s="22"/>
      <c r="N4692" s="22"/>
      <c r="O4692" s="22"/>
      <c r="P4692" s="202" t="str">
        <f t="shared" si="1435"/>
        <v/>
      </c>
      <c r="Q4692" s="22"/>
      <c r="R4692" s="22"/>
      <c r="S4692" s="22"/>
      <c r="T4692" s="22"/>
      <c r="U4692" s="22"/>
      <c r="V4692" s="22"/>
      <c r="W4692" s="22"/>
      <c r="X4692" s="104"/>
      <c r="Y4692" s="195" t="str">
        <f t="shared" si="1432"/>
        <v/>
      </c>
      <c r="Z4692" s="196" t="str">
        <f t="shared" si="1433"/>
        <v/>
      </c>
      <c r="AA4692" s="22"/>
      <c r="AB4692" s="197" t="str">
        <f t="shared" si="1438"/>
        <v/>
      </c>
      <c r="AC4692" s="198" t="str">
        <f t="shared" si="1439"/>
        <v/>
      </c>
      <c r="AD4692" s="162"/>
      <c r="AE4692" s="199" t="str">
        <f t="shared" si="1440"/>
        <v/>
      </c>
      <c r="AF4692" s="199" t="str">
        <f>IF(AND(COUNTIFS($J$18:J4692,J4692)=1,AE4692=1),1,"")</f>
        <v/>
      </c>
      <c r="AG4692" s="199" t="str">
        <f>IF(C4692="","",IF(AND(COUNTIFS($J$18:J4692,J4692)=1,C4692&lt;&gt;""),1,""))</f>
        <v/>
      </c>
      <c r="AH4692" s="199" t="str">
        <f>IF(G4692="","",IF(AND(COUNTIFS($J$18:J4692,J4692)=1,G4692&lt;&gt;""),1,""))</f>
        <v/>
      </c>
      <c r="AI4692" s="200">
        <f t="shared" si="1441"/>
        <v>0</v>
      </c>
      <c r="AJ4692" s="200">
        <f t="shared" si="1442"/>
        <v>0</v>
      </c>
      <c r="AK4692" s="201" t="str">
        <f t="shared" si="1443"/>
        <v/>
      </c>
      <c r="AL4692" s="24"/>
      <c r="AM4692" s="24"/>
      <c r="AN4692" s="24"/>
      <c r="AO4692" s="24"/>
      <c r="AP4692" s="165" t="str">
        <f t="shared" si="1444"/>
        <v/>
      </c>
      <c r="AQ4692" s="203" t="str">
        <f t="shared" si="1445"/>
        <v/>
      </c>
      <c r="AR4692" s="206">
        <f t="shared" si="1446"/>
        <v>0</v>
      </c>
      <c r="AS4692" s="22" t="str">
        <f t="shared" si="1447"/>
        <v/>
      </c>
      <c r="AT4692" s="24" t="str">
        <f t="shared" si="1448"/>
        <v/>
      </c>
      <c r="AU4692" s="22" t="s">
        <v>3240</v>
      </c>
    </row>
    <row r="4693" spans="1:47">
      <c r="A4693" s="246" t="str">
        <f t="shared" si="1436"/>
        <v/>
      </c>
      <c r="B4693" s="23"/>
      <c r="C4693" s="23"/>
      <c r="D4693" s="202" t="str">
        <f t="shared" si="1437"/>
        <v/>
      </c>
      <c r="E4693" s="33" t="str">
        <f t="shared" si="1431"/>
        <v/>
      </c>
      <c r="F4693" s="23"/>
      <c r="G4693" s="23"/>
      <c r="H4693" s="29"/>
      <c r="I4693" s="204" t="str">
        <f t="shared" si="1434"/>
        <v/>
      </c>
      <c r="J4693" s="188"/>
      <c r="K4693" s="29"/>
      <c r="L4693" s="24"/>
      <c r="M4693" s="22"/>
      <c r="N4693" s="22"/>
      <c r="O4693" s="22"/>
      <c r="P4693" s="202" t="str">
        <f t="shared" si="1435"/>
        <v/>
      </c>
      <c r="Q4693" s="22"/>
      <c r="R4693" s="22"/>
      <c r="S4693" s="22"/>
      <c r="T4693" s="22"/>
      <c r="U4693" s="22"/>
      <c r="V4693" s="22"/>
      <c r="W4693" s="22"/>
      <c r="X4693" s="104"/>
      <c r="Y4693" s="195" t="str">
        <f t="shared" si="1432"/>
        <v/>
      </c>
      <c r="Z4693" s="196" t="str">
        <f t="shared" si="1433"/>
        <v/>
      </c>
      <c r="AA4693" s="22"/>
      <c r="AB4693" s="197" t="str">
        <f t="shared" si="1438"/>
        <v/>
      </c>
      <c r="AC4693" s="198" t="str">
        <f t="shared" si="1439"/>
        <v/>
      </c>
      <c r="AD4693" s="162"/>
      <c r="AE4693" s="199" t="str">
        <f t="shared" si="1440"/>
        <v/>
      </c>
      <c r="AF4693" s="199" t="str">
        <f>IF(AND(COUNTIFS($J$18:J4693,J4693)=1,AE4693=1),1,"")</f>
        <v/>
      </c>
      <c r="AG4693" s="199" t="str">
        <f>IF(C4693="","",IF(AND(COUNTIFS($J$18:J4693,J4693)=1,C4693&lt;&gt;""),1,""))</f>
        <v/>
      </c>
      <c r="AH4693" s="199" t="str">
        <f>IF(G4693="","",IF(AND(COUNTIFS($J$18:J4693,J4693)=1,G4693&lt;&gt;""),1,""))</f>
        <v/>
      </c>
      <c r="AI4693" s="200">
        <f t="shared" si="1441"/>
        <v>0</v>
      </c>
      <c r="AJ4693" s="200">
        <f t="shared" si="1442"/>
        <v>0</v>
      </c>
      <c r="AK4693" s="201" t="str">
        <f t="shared" si="1443"/>
        <v/>
      </c>
      <c r="AL4693" s="24"/>
      <c r="AM4693" s="24"/>
      <c r="AN4693" s="24"/>
      <c r="AO4693" s="24"/>
      <c r="AP4693" s="165" t="str">
        <f t="shared" si="1444"/>
        <v/>
      </c>
      <c r="AQ4693" s="203" t="str">
        <f t="shared" si="1445"/>
        <v/>
      </c>
      <c r="AR4693" s="206">
        <f t="shared" si="1446"/>
        <v>0</v>
      </c>
      <c r="AS4693" s="22" t="str">
        <f t="shared" si="1447"/>
        <v/>
      </c>
      <c r="AT4693" s="24" t="str">
        <f t="shared" si="1448"/>
        <v/>
      </c>
      <c r="AU4693" s="22" t="s">
        <v>3240</v>
      </c>
    </row>
    <row r="4694" spans="1:47">
      <c r="A4694" s="246" t="str">
        <f t="shared" si="1436"/>
        <v/>
      </c>
      <c r="B4694" s="23"/>
      <c r="C4694" s="23"/>
      <c r="D4694" s="202" t="str">
        <f t="shared" si="1437"/>
        <v/>
      </c>
      <c r="E4694" s="33" t="str">
        <f t="shared" si="1431"/>
        <v/>
      </c>
      <c r="F4694" s="23"/>
      <c r="G4694" s="23"/>
      <c r="H4694" s="29"/>
      <c r="I4694" s="204" t="str">
        <f t="shared" si="1434"/>
        <v/>
      </c>
      <c r="J4694" s="188"/>
      <c r="K4694" s="29"/>
      <c r="L4694" s="24"/>
      <c r="M4694" s="22"/>
      <c r="N4694" s="22"/>
      <c r="O4694" s="22"/>
      <c r="P4694" s="202" t="str">
        <f t="shared" si="1435"/>
        <v/>
      </c>
      <c r="Q4694" s="22"/>
      <c r="R4694" s="22"/>
      <c r="S4694" s="22"/>
      <c r="T4694" s="22"/>
      <c r="U4694" s="22"/>
      <c r="V4694" s="22"/>
      <c r="W4694" s="22"/>
      <c r="X4694" s="104"/>
      <c r="Y4694" s="195" t="str">
        <f t="shared" si="1432"/>
        <v/>
      </c>
      <c r="Z4694" s="196" t="str">
        <f t="shared" si="1433"/>
        <v/>
      </c>
      <c r="AA4694" s="22"/>
      <c r="AB4694" s="197" t="str">
        <f t="shared" si="1438"/>
        <v/>
      </c>
      <c r="AC4694" s="198" t="str">
        <f t="shared" si="1439"/>
        <v/>
      </c>
      <c r="AD4694" s="162"/>
      <c r="AE4694" s="199" t="str">
        <f t="shared" si="1440"/>
        <v/>
      </c>
      <c r="AF4694" s="199" t="str">
        <f>IF(AND(COUNTIFS($J$18:J4694,J4694)=1,AE4694=1),1,"")</f>
        <v/>
      </c>
      <c r="AG4694" s="199" t="str">
        <f>IF(C4694="","",IF(AND(COUNTIFS($J$18:J4694,J4694)=1,C4694&lt;&gt;""),1,""))</f>
        <v/>
      </c>
      <c r="AH4694" s="199" t="str">
        <f>IF(G4694="","",IF(AND(COUNTIFS($J$18:J4694,J4694)=1,G4694&lt;&gt;""),1,""))</f>
        <v/>
      </c>
      <c r="AI4694" s="200">
        <f t="shared" si="1441"/>
        <v>0</v>
      </c>
      <c r="AJ4694" s="200">
        <f t="shared" si="1442"/>
        <v>0</v>
      </c>
      <c r="AK4694" s="201" t="str">
        <f t="shared" si="1443"/>
        <v/>
      </c>
      <c r="AL4694" s="24"/>
      <c r="AM4694" s="24"/>
      <c r="AN4694" s="24"/>
      <c r="AO4694" s="24"/>
      <c r="AP4694" s="165" t="str">
        <f t="shared" si="1444"/>
        <v/>
      </c>
      <c r="AQ4694" s="203" t="str">
        <f t="shared" si="1445"/>
        <v/>
      </c>
      <c r="AR4694" s="206">
        <f t="shared" si="1446"/>
        <v>0</v>
      </c>
      <c r="AS4694" s="22" t="str">
        <f t="shared" si="1447"/>
        <v/>
      </c>
      <c r="AT4694" s="24" t="str">
        <f t="shared" si="1448"/>
        <v/>
      </c>
      <c r="AU4694" s="22" t="s">
        <v>3240</v>
      </c>
    </row>
    <row r="4695" spans="1:47">
      <c r="A4695" s="246" t="str">
        <f t="shared" si="1436"/>
        <v/>
      </c>
      <c r="B4695" s="23"/>
      <c r="C4695" s="23"/>
      <c r="D4695" s="202" t="str">
        <f t="shared" si="1437"/>
        <v/>
      </c>
      <c r="E4695" s="33" t="str">
        <f t="shared" si="1431"/>
        <v/>
      </c>
      <c r="F4695" s="23"/>
      <c r="G4695" s="23"/>
      <c r="H4695" s="29"/>
      <c r="I4695" s="204" t="str">
        <f t="shared" si="1434"/>
        <v/>
      </c>
      <c r="J4695" s="188"/>
      <c r="K4695" s="29"/>
      <c r="L4695" s="24"/>
      <c r="M4695" s="22"/>
      <c r="N4695" s="22"/>
      <c r="O4695" s="22"/>
      <c r="P4695" s="202" t="str">
        <f t="shared" si="1435"/>
        <v/>
      </c>
      <c r="Q4695" s="22"/>
      <c r="R4695" s="22"/>
      <c r="S4695" s="22"/>
      <c r="T4695" s="22"/>
      <c r="U4695" s="22"/>
      <c r="V4695" s="22"/>
      <c r="W4695" s="22"/>
      <c r="X4695" s="104"/>
      <c r="Y4695" s="195" t="str">
        <f t="shared" si="1432"/>
        <v/>
      </c>
      <c r="Z4695" s="196" t="str">
        <f t="shared" si="1433"/>
        <v/>
      </c>
      <c r="AA4695" s="22"/>
      <c r="AB4695" s="197" t="str">
        <f t="shared" si="1438"/>
        <v/>
      </c>
      <c r="AC4695" s="198" t="str">
        <f t="shared" si="1439"/>
        <v/>
      </c>
      <c r="AD4695" s="162"/>
      <c r="AE4695" s="199" t="str">
        <f t="shared" si="1440"/>
        <v/>
      </c>
      <c r="AF4695" s="199" t="str">
        <f>IF(AND(COUNTIFS($J$18:J4695,J4695)=1,AE4695=1),1,"")</f>
        <v/>
      </c>
      <c r="AG4695" s="199" t="str">
        <f>IF(C4695="","",IF(AND(COUNTIFS($J$18:J4695,J4695)=1,C4695&lt;&gt;""),1,""))</f>
        <v/>
      </c>
      <c r="AH4695" s="199" t="str">
        <f>IF(G4695="","",IF(AND(COUNTIFS($J$18:J4695,J4695)=1,G4695&lt;&gt;""),1,""))</f>
        <v/>
      </c>
      <c r="AI4695" s="200">
        <f t="shared" si="1441"/>
        <v>0</v>
      </c>
      <c r="AJ4695" s="200">
        <f t="shared" si="1442"/>
        <v>0</v>
      </c>
      <c r="AK4695" s="201" t="str">
        <f t="shared" si="1443"/>
        <v/>
      </c>
      <c r="AL4695" s="24"/>
      <c r="AM4695" s="24"/>
      <c r="AN4695" s="24"/>
      <c r="AO4695" s="24"/>
      <c r="AP4695" s="165" t="str">
        <f t="shared" si="1444"/>
        <v/>
      </c>
      <c r="AQ4695" s="203" t="str">
        <f t="shared" si="1445"/>
        <v/>
      </c>
      <c r="AR4695" s="206">
        <f t="shared" si="1446"/>
        <v>0</v>
      </c>
      <c r="AS4695" s="22" t="str">
        <f t="shared" si="1447"/>
        <v/>
      </c>
      <c r="AT4695" s="24" t="str">
        <f t="shared" si="1448"/>
        <v/>
      </c>
      <c r="AU4695" s="22" t="s">
        <v>3240</v>
      </c>
    </row>
    <row r="4696" spans="1:47">
      <c r="A4696" s="246" t="str">
        <f t="shared" si="1436"/>
        <v/>
      </c>
      <c r="B4696" s="23"/>
      <c r="C4696" s="23"/>
      <c r="D4696" s="202" t="str">
        <f t="shared" si="1437"/>
        <v/>
      </c>
      <c r="E4696" s="33" t="str">
        <f t="shared" ref="E4696:E4759" si="1449">IF(G4696="Cancel","Cancel",IF(G4696="TBA","TBA",IFERROR(IF(I4696="Q4","FY "&amp;RIGHT(F4696,2)-1&amp;"/"&amp;RIGHT(F4696,2),"FY "&amp;RIGHT(F4696,2)&amp;"/"&amp;RIGHT(F4696,2)+1),"")))</f>
        <v/>
      </c>
      <c r="F4696" s="23"/>
      <c r="G4696" s="23"/>
      <c r="H4696" s="29"/>
      <c r="I4696" s="204" t="str">
        <f t="shared" si="1434"/>
        <v/>
      </c>
      <c r="J4696" s="188"/>
      <c r="K4696" s="29"/>
      <c r="L4696" s="24"/>
      <c r="M4696" s="22"/>
      <c r="N4696" s="22"/>
      <c r="O4696" s="22"/>
      <c r="P4696" s="202" t="str">
        <f t="shared" si="1435"/>
        <v/>
      </c>
      <c r="Q4696" s="22"/>
      <c r="R4696" s="22"/>
      <c r="S4696" s="22"/>
      <c r="T4696" s="22"/>
      <c r="U4696" s="22"/>
      <c r="V4696" s="22"/>
      <c r="W4696" s="22"/>
      <c r="X4696" s="104"/>
      <c r="Y4696" s="195" t="str">
        <f t="shared" si="1432"/>
        <v/>
      </c>
      <c r="Z4696" s="196" t="str">
        <f t="shared" si="1433"/>
        <v/>
      </c>
      <c r="AA4696" s="22"/>
      <c r="AB4696" s="197" t="str">
        <f t="shared" si="1438"/>
        <v/>
      </c>
      <c r="AC4696" s="198" t="str">
        <f t="shared" si="1439"/>
        <v/>
      </c>
      <c r="AD4696" s="162"/>
      <c r="AE4696" s="199" t="str">
        <f t="shared" si="1440"/>
        <v/>
      </c>
      <c r="AF4696" s="199" t="str">
        <f>IF(AND(COUNTIFS($J$18:J4696,J4696)=1,AE4696=1),1,"")</f>
        <v/>
      </c>
      <c r="AG4696" s="199" t="str">
        <f>IF(C4696="","",IF(AND(COUNTIFS($J$18:J4696,J4696)=1,C4696&lt;&gt;""),1,""))</f>
        <v/>
      </c>
      <c r="AH4696" s="199" t="str">
        <f>IF(G4696="","",IF(AND(COUNTIFS($J$18:J4696,J4696)=1,G4696&lt;&gt;""),1,""))</f>
        <v/>
      </c>
      <c r="AI4696" s="200">
        <f t="shared" si="1441"/>
        <v>0</v>
      </c>
      <c r="AJ4696" s="200">
        <f t="shared" si="1442"/>
        <v>0</v>
      </c>
      <c r="AK4696" s="201" t="str">
        <f t="shared" si="1443"/>
        <v/>
      </c>
      <c r="AL4696" s="24"/>
      <c r="AM4696" s="24"/>
      <c r="AN4696" s="24"/>
      <c r="AO4696" s="24"/>
      <c r="AP4696" s="165" t="str">
        <f t="shared" si="1444"/>
        <v/>
      </c>
      <c r="AQ4696" s="203" t="str">
        <f t="shared" si="1445"/>
        <v/>
      </c>
      <c r="AR4696" s="206">
        <f t="shared" si="1446"/>
        <v>0</v>
      </c>
      <c r="AS4696" s="22" t="str">
        <f t="shared" si="1447"/>
        <v/>
      </c>
      <c r="AT4696" s="24" t="str">
        <f t="shared" si="1448"/>
        <v/>
      </c>
      <c r="AU4696" s="22" t="s">
        <v>3240</v>
      </c>
    </row>
    <row r="4697" spans="1:47">
      <c r="A4697" s="246" t="str">
        <f t="shared" si="1436"/>
        <v/>
      </c>
      <c r="B4697" s="23"/>
      <c r="C4697" s="23"/>
      <c r="D4697" s="202" t="str">
        <f t="shared" si="1437"/>
        <v/>
      </c>
      <c r="E4697" s="33" t="str">
        <f t="shared" si="1449"/>
        <v/>
      </c>
      <c r="F4697" s="23"/>
      <c r="G4697" s="23"/>
      <c r="H4697" s="29"/>
      <c r="I4697" s="204" t="str">
        <f t="shared" si="1434"/>
        <v/>
      </c>
      <c r="J4697" s="188"/>
      <c r="K4697" s="29"/>
      <c r="L4697" s="24"/>
      <c r="M4697" s="22"/>
      <c r="N4697" s="22"/>
      <c r="O4697" s="22"/>
      <c r="P4697" s="202" t="str">
        <f t="shared" si="1435"/>
        <v/>
      </c>
      <c r="Q4697" s="22"/>
      <c r="R4697" s="22"/>
      <c r="S4697" s="22"/>
      <c r="T4697" s="22"/>
      <c r="U4697" s="22"/>
      <c r="V4697" s="22"/>
      <c r="W4697" s="22"/>
      <c r="X4697" s="104"/>
      <c r="Y4697" s="195" t="str">
        <f t="shared" si="1432"/>
        <v/>
      </c>
      <c r="Z4697" s="196" t="str">
        <f t="shared" si="1433"/>
        <v/>
      </c>
      <c r="AA4697" s="22"/>
      <c r="AB4697" s="197" t="str">
        <f t="shared" si="1438"/>
        <v/>
      </c>
      <c r="AC4697" s="198" t="str">
        <f t="shared" si="1439"/>
        <v/>
      </c>
      <c r="AD4697" s="162"/>
      <c r="AE4697" s="199" t="str">
        <f t="shared" si="1440"/>
        <v/>
      </c>
      <c r="AF4697" s="199" t="str">
        <f>IF(AND(COUNTIFS($J$18:J4697,J4697)=1,AE4697=1),1,"")</f>
        <v/>
      </c>
      <c r="AG4697" s="199" t="str">
        <f>IF(C4697="","",IF(AND(COUNTIFS($J$18:J4697,J4697)=1,C4697&lt;&gt;""),1,""))</f>
        <v/>
      </c>
      <c r="AH4697" s="199" t="str">
        <f>IF(G4697="","",IF(AND(COUNTIFS($J$18:J4697,J4697)=1,G4697&lt;&gt;""),1,""))</f>
        <v/>
      </c>
      <c r="AI4697" s="200">
        <f t="shared" si="1441"/>
        <v>0</v>
      </c>
      <c r="AJ4697" s="200">
        <f t="shared" si="1442"/>
        <v>0</v>
      </c>
      <c r="AK4697" s="201" t="str">
        <f t="shared" si="1443"/>
        <v/>
      </c>
      <c r="AL4697" s="24"/>
      <c r="AM4697" s="24"/>
      <c r="AN4697" s="24"/>
      <c r="AO4697" s="24"/>
      <c r="AP4697" s="165" t="str">
        <f t="shared" si="1444"/>
        <v/>
      </c>
      <c r="AQ4697" s="203" t="str">
        <f t="shared" si="1445"/>
        <v/>
      </c>
      <c r="AR4697" s="206">
        <f t="shared" si="1446"/>
        <v>0</v>
      </c>
      <c r="AS4697" s="22" t="str">
        <f t="shared" si="1447"/>
        <v/>
      </c>
      <c r="AT4697" s="24" t="str">
        <f t="shared" si="1448"/>
        <v/>
      </c>
      <c r="AU4697" s="22" t="s">
        <v>3240</v>
      </c>
    </row>
    <row r="4698" spans="1:47">
      <c r="A4698" s="246" t="str">
        <f t="shared" si="1436"/>
        <v/>
      </c>
      <c r="B4698" s="23"/>
      <c r="C4698" s="23"/>
      <c r="D4698" s="202" t="str">
        <f t="shared" si="1437"/>
        <v/>
      </c>
      <c r="E4698" s="33" t="str">
        <f t="shared" si="1449"/>
        <v/>
      </c>
      <c r="F4698" s="23"/>
      <c r="G4698" s="23"/>
      <c r="H4698" s="29"/>
      <c r="I4698" s="204" t="str">
        <f t="shared" si="1434"/>
        <v/>
      </c>
      <c r="J4698" s="188"/>
      <c r="K4698" s="29"/>
      <c r="L4698" s="24"/>
      <c r="M4698" s="22"/>
      <c r="N4698" s="22"/>
      <c r="O4698" s="22"/>
      <c r="P4698" s="202" t="str">
        <f t="shared" si="1435"/>
        <v/>
      </c>
      <c r="Q4698" s="22"/>
      <c r="R4698" s="22"/>
      <c r="S4698" s="22"/>
      <c r="T4698" s="22"/>
      <c r="U4698" s="22"/>
      <c r="V4698" s="22"/>
      <c r="W4698" s="22"/>
      <c r="X4698" s="104"/>
      <c r="Y4698" s="195" t="str">
        <f t="shared" si="1432"/>
        <v/>
      </c>
      <c r="Z4698" s="196" t="str">
        <f t="shared" si="1433"/>
        <v/>
      </c>
      <c r="AA4698" s="22"/>
      <c r="AB4698" s="197" t="str">
        <f t="shared" si="1438"/>
        <v/>
      </c>
      <c r="AC4698" s="198" t="str">
        <f t="shared" si="1439"/>
        <v/>
      </c>
      <c r="AD4698" s="162"/>
      <c r="AE4698" s="199" t="str">
        <f t="shared" si="1440"/>
        <v/>
      </c>
      <c r="AF4698" s="199" t="str">
        <f>IF(AND(COUNTIFS($J$18:J4698,J4698)=1,AE4698=1),1,"")</f>
        <v/>
      </c>
      <c r="AG4698" s="199" t="str">
        <f>IF(C4698="","",IF(AND(COUNTIFS($J$18:J4698,J4698)=1,C4698&lt;&gt;""),1,""))</f>
        <v/>
      </c>
      <c r="AH4698" s="199" t="str">
        <f>IF(G4698="","",IF(AND(COUNTIFS($J$18:J4698,J4698)=1,G4698&lt;&gt;""),1,""))</f>
        <v/>
      </c>
      <c r="AI4698" s="200">
        <f t="shared" si="1441"/>
        <v>0</v>
      </c>
      <c r="AJ4698" s="200">
        <f t="shared" si="1442"/>
        <v>0</v>
      </c>
      <c r="AK4698" s="201" t="str">
        <f t="shared" si="1443"/>
        <v/>
      </c>
      <c r="AL4698" s="24"/>
      <c r="AM4698" s="24"/>
      <c r="AN4698" s="24"/>
      <c r="AO4698" s="24"/>
      <c r="AP4698" s="165" t="str">
        <f t="shared" si="1444"/>
        <v/>
      </c>
      <c r="AQ4698" s="203" t="str">
        <f t="shared" si="1445"/>
        <v/>
      </c>
      <c r="AR4698" s="206">
        <f t="shared" si="1446"/>
        <v>0</v>
      </c>
      <c r="AS4698" s="22" t="str">
        <f t="shared" si="1447"/>
        <v/>
      </c>
      <c r="AT4698" s="24" t="str">
        <f t="shared" si="1448"/>
        <v/>
      </c>
      <c r="AU4698" s="22" t="s">
        <v>3240</v>
      </c>
    </row>
    <row r="4699" spans="1:47">
      <c r="A4699" s="246" t="str">
        <f t="shared" si="1436"/>
        <v/>
      </c>
      <c r="B4699" s="23"/>
      <c r="C4699" s="23"/>
      <c r="D4699" s="202" t="str">
        <f t="shared" si="1437"/>
        <v/>
      </c>
      <c r="E4699" s="33" t="str">
        <f t="shared" si="1449"/>
        <v/>
      </c>
      <c r="F4699" s="23"/>
      <c r="G4699" s="23"/>
      <c r="H4699" s="29"/>
      <c r="I4699" s="204" t="str">
        <f t="shared" si="1434"/>
        <v/>
      </c>
      <c r="J4699" s="188"/>
      <c r="K4699" s="29"/>
      <c r="L4699" s="24"/>
      <c r="M4699" s="22"/>
      <c r="N4699" s="22"/>
      <c r="O4699" s="22"/>
      <c r="P4699" s="202" t="str">
        <f t="shared" si="1435"/>
        <v/>
      </c>
      <c r="Q4699" s="22"/>
      <c r="R4699" s="22"/>
      <c r="S4699" s="22"/>
      <c r="T4699" s="22"/>
      <c r="U4699" s="22"/>
      <c r="V4699" s="22"/>
      <c r="W4699" s="22"/>
      <c r="X4699" s="104"/>
      <c r="Y4699" s="195" t="str">
        <f t="shared" ref="Y4699:Y4762" si="1450">IF(W4699="","",IF(W4699="RMB","1.13", "1"))</f>
        <v/>
      </c>
      <c r="Z4699" s="196" t="str">
        <f t="shared" ref="Z4699:Z4762" si="1451">IF(X4699="","",X4699*MAX(O4699,N4699))</f>
        <v/>
      </c>
      <c r="AA4699" s="22"/>
      <c r="AB4699" s="197" t="str">
        <f t="shared" si="1438"/>
        <v/>
      </c>
      <c r="AC4699" s="198" t="str">
        <f t="shared" si="1439"/>
        <v/>
      </c>
      <c r="AD4699" s="162"/>
      <c r="AE4699" s="199" t="str">
        <f t="shared" si="1440"/>
        <v/>
      </c>
      <c r="AF4699" s="199" t="str">
        <f>IF(AND(COUNTIFS($J$18:J4699,J4699)=1,AE4699=1),1,"")</f>
        <v/>
      </c>
      <c r="AG4699" s="199" t="str">
        <f>IF(C4699="","",IF(AND(COUNTIFS($J$18:J4699,J4699)=1,C4699&lt;&gt;""),1,""))</f>
        <v/>
      </c>
      <c r="AH4699" s="199" t="str">
        <f>IF(G4699="","",IF(AND(COUNTIFS($J$18:J4699,J4699)=1,G4699&lt;&gt;""),1,""))</f>
        <v/>
      </c>
      <c r="AI4699" s="200">
        <f t="shared" si="1441"/>
        <v>0</v>
      </c>
      <c r="AJ4699" s="200">
        <f t="shared" si="1442"/>
        <v>0</v>
      </c>
      <c r="AK4699" s="201" t="str">
        <f t="shared" si="1443"/>
        <v/>
      </c>
      <c r="AL4699" s="24"/>
      <c r="AM4699" s="24"/>
      <c r="AN4699" s="24"/>
      <c r="AO4699" s="24"/>
      <c r="AP4699" s="165" t="str">
        <f t="shared" si="1444"/>
        <v/>
      </c>
      <c r="AQ4699" s="203" t="str">
        <f t="shared" si="1445"/>
        <v/>
      </c>
      <c r="AR4699" s="206">
        <f t="shared" si="1446"/>
        <v>0</v>
      </c>
      <c r="AS4699" s="22" t="str">
        <f t="shared" si="1447"/>
        <v/>
      </c>
      <c r="AT4699" s="24" t="str">
        <f t="shared" si="1448"/>
        <v/>
      </c>
      <c r="AU4699" s="22" t="s">
        <v>3240</v>
      </c>
    </row>
    <row r="4700" spans="1:47">
      <c r="A4700" s="246" t="str">
        <f t="shared" si="1436"/>
        <v/>
      </c>
      <c r="B4700" s="23"/>
      <c r="C4700" s="23"/>
      <c r="D4700" s="202" t="str">
        <f t="shared" si="1437"/>
        <v/>
      </c>
      <c r="E4700" s="33" t="str">
        <f t="shared" si="1449"/>
        <v/>
      </c>
      <c r="F4700" s="23"/>
      <c r="G4700" s="23"/>
      <c r="H4700" s="29"/>
      <c r="I4700" s="204" t="str">
        <f t="shared" si="1434"/>
        <v/>
      </c>
      <c r="J4700" s="188"/>
      <c r="K4700" s="29"/>
      <c r="L4700" s="24"/>
      <c r="M4700" s="22"/>
      <c r="N4700" s="22"/>
      <c r="O4700" s="22"/>
      <c r="P4700" s="202" t="str">
        <f t="shared" si="1435"/>
        <v/>
      </c>
      <c r="Q4700" s="22"/>
      <c r="R4700" s="22"/>
      <c r="S4700" s="22"/>
      <c r="T4700" s="22"/>
      <c r="U4700" s="22"/>
      <c r="V4700" s="22"/>
      <c r="W4700" s="22"/>
      <c r="X4700" s="104"/>
      <c r="Y4700" s="195" t="str">
        <f t="shared" si="1450"/>
        <v/>
      </c>
      <c r="Z4700" s="196" t="str">
        <f t="shared" si="1451"/>
        <v/>
      </c>
      <c r="AA4700" s="22"/>
      <c r="AB4700" s="197" t="str">
        <f t="shared" si="1438"/>
        <v/>
      </c>
      <c r="AC4700" s="198" t="str">
        <f t="shared" si="1439"/>
        <v/>
      </c>
      <c r="AD4700" s="162"/>
      <c r="AE4700" s="199" t="str">
        <f t="shared" si="1440"/>
        <v/>
      </c>
      <c r="AF4700" s="199" t="str">
        <f>IF(AND(COUNTIFS($J$18:J4700,J4700)=1,AE4700=1),1,"")</f>
        <v/>
      </c>
      <c r="AG4700" s="199" t="str">
        <f>IF(C4700="","",IF(AND(COUNTIFS($J$18:J4700,J4700)=1,C4700&lt;&gt;""),1,""))</f>
        <v/>
      </c>
      <c r="AH4700" s="199" t="str">
        <f>IF(G4700="","",IF(AND(COUNTIFS($J$18:J4700,J4700)=1,G4700&lt;&gt;""),1,""))</f>
        <v/>
      </c>
      <c r="AI4700" s="200">
        <f t="shared" si="1441"/>
        <v>0</v>
      </c>
      <c r="AJ4700" s="200">
        <f t="shared" si="1442"/>
        <v>0</v>
      </c>
      <c r="AK4700" s="201" t="str">
        <f t="shared" si="1443"/>
        <v/>
      </c>
      <c r="AL4700" s="24"/>
      <c r="AM4700" s="24"/>
      <c r="AN4700" s="24"/>
      <c r="AO4700" s="24"/>
      <c r="AP4700" s="165" t="str">
        <f t="shared" si="1444"/>
        <v/>
      </c>
      <c r="AQ4700" s="203" t="str">
        <f t="shared" si="1445"/>
        <v/>
      </c>
      <c r="AR4700" s="206">
        <f t="shared" si="1446"/>
        <v>0</v>
      </c>
      <c r="AS4700" s="22" t="str">
        <f t="shared" si="1447"/>
        <v/>
      </c>
      <c r="AT4700" s="24" t="str">
        <f t="shared" si="1448"/>
        <v/>
      </c>
      <c r="AU4700" s="22" t="s">
        <v>3240</v>
      </c>
    </row>
    <row r="4701" spans="1:47">
      <c r="A4701" s="246" t="str">
        <f t="shared" si="1436"/>
        <v/>
      </c>
      <c r="B4701" s="23"/>
      <c r="C4701" s="23"/>
      <c r="D4701" s="202" t="str">
        <f t="shared" si="1437"/>
        <v/>
      </c>
      <c r="E4701" s="33" t="str">
        <f t="shared" si="1449"/>
        <v/>
      </c>
      <c r="F4701" s="23"/>
      <c r="G4701" s="23"/>
      <c r="H4701" s="29"/>
      <c r="I4701" s="204" t="str">
        <f t="shared" si="1434"/>
        <v/>
      </c>
      <c r="J4701" s="188"/>
      <c r="K4701" s="29"/>
      <c r="L4701" s="24"/>
      <c r="M4701" s="22"/>
      <c r="N4701" s="22"/>
      <c r="O4701" s="22"/>
      <c r="P4701" s="202" t="str">
        <f t="shared" si="1435"/>
        <v/>
      </c>
      <c r="Q4701" s="22"/>
      <c r="R4701" s="22"/>
      <c r="S4701" s="22"/>
      <c r="T4701" s="22"/>
      <c r="U4701" s="22"/>
      <c r="V4701" s="22"/>
      <c r="W4701" s="22"/>
      <c r="X4701" s="104"/>
      <c r="Y4701" s="195" t="str">
        <f t="shared" si="1450"/>
        <v/>
      </c>
      <c r="Z4701" s="196" t="str">
        <f t="shared" si="1451"/>
        <v/>
      </c>
      <c r="AA4701" s="22"/>
      <c r="AB4701" s="197" t="str">
        <f t="shared" si="1438"/>
        <v/>
      </c>
      <c r="AC4701" s="198" t="str">
        <f t="shared" si="1439"/>
        <v/>
      </c>
      <c r="AD4701" s="162"/>
      <c r="AE4701" s="199" t="str">
        <f t="shared" si="1440"/>
        <v/>
      </c>
      <c r="AF4701" s="199" t="str">
        <f>IF(AND(COUNTIFS($J$18:J4701,J4701)=1,AE4701=1),1,"")</f>
        <v/>
      </c>
      <c r="AG4701" s="199" t="str">
        <f>IF(C4701="","",IF(AND(COUNTIFS($J$18:J4701,J4701)=1,C4701&lt;&gt;""),1,""))</f>
        <v/>
      </c>
      <c r="AH4701" s="199" t="str">
        <f>IF(G4701="","",IF(AND(COUNTIFS($J$18:J4701,J4701)=1,G4701&lt;&gt;""),1,""))</f>
        <v/>
      </c>
      <c r="AI4701" s="200">
        <f t="shared" si="1441"/>
        <v>0</v>
      </c>
      <c r="AJ4701" s="200">
        <f t="shared" si="1442"/>
        <v>0</v>
      </c>
      <c r="AK4701" s="201" t="str">
        <f t="shared" si="1443"/>
        <v/>
      </c>
      <c r="AL4701" s="24"/>
      <c r="AM4701" s="24"/>
      <c r="AN4701" s="24"/>
      <c r="AO4701" s="24"/>
      <c r="AP4701" s="165" t="str">
        <f t="shared" si="1444"/>
        <v/>
      </c>
      <c r="AQ4701" s="203" t="str">
        <f t="shared" si="1445"/>
        <v/>
      </c>
      <c r="AR4701" s="206">
        <f t="shared" si="1446"/>
        <v>0</v>
      </c>
      <c r="AS4701" s="22" t="str">
        <f t="shared" si="1447"/>
        <v/>
      </c>
      <c r="AT4701" s="24" t="str">
        <f t="shared" si="1448"/>
        <v/>
      </c>
      <c r="AU4701" s="22" t="s">
        <v>3240</v>
      </c>
    </row>
    <row r="4702" spans="1:47">
      <c r="A4702" s="246" t="str">
        <f t="shared" si="1436"/>
        <v/>
      </c>
      <c r="B4702" s="23"/>
      <c r="C4702" s="23"/>
      <c r="D4702" s="202" t="str">
        <f t="shared" si="1437"/>
        <v/>
      </c>
      <c r="E4702" s="33" t="str">
        <f t="shared" si="1449"/>
        <v/>
      </c>
      <c r="F4702" s="23"/>
      <c r="G4702" s="23"/>
      <c r="H4702" s="29"/>
      <c r="I4702" s="204" t="str">
        <f t="shared" si="1434"/>
        <v/>
      </c>
      <c r="J4702" s="188"/>
      <c r="K4702" s="29"/>
      <c r="L4702" s="24"/>
      <c r="M4702" s="22"/>
      <c r="N4702" s="22"/>
      <c r="O4702" s="22"/>
      <c r="P4702" s="202" t="str">
        <f t="shared" si="1435"/>
        <v/>
      </c>
      <c r="Q4702" s="22"/>
      <c r="R4702" s="22"/>
      <c r="S4702" s="22"/>
      <c r="T4702" s="22"/>
      <c r="U4702" s="22"/>
      <c r="V4702" s="22"/>
      <c r="W4702" s="22"/>
      <c r="X4702" s="104"/>
      <c r="Y4702" s="195" t="str">
        <f t="shared" si="1450"/>
        <v/>
      </c>
      <c r="Z4702" s="196" t="str">
        <f t="shared" si="1451"/>
        <v/>
      </c>
      <c r="AA4702" s="22"/>
      <c r="AB4702" s="197" t="str">
        <f t="shared" si="1438"/>
        <v/>
      </c>
      <c r="AC4702" s="198" t="str">
        <f t="shared" si="1439"/>
        <v/>
      </c>
      <c r="AD4702" s="162"/>
      <c r="AE4702" s="199" t="str">
        <f t="shared" si="1440"/>
        <v/>
      </c>
      <c r="AF4702" s="199" t="str">
        <f>IF(AND(COUNTIFS($J$18:J4702,J4702)=1,AE4702=1),1,"")</f>
        <v/>
      </c>
      <c r="AG4702" s="199" t="str">
        <f>IF(C4702="","",IF(AND(COUNTIFS($J$18:J4702,J4702)=1,C4702&lt;&gt;""),1,""))</f>
        <v/>
      </c>
      <c r="AH4702" s="199" t="str">
        <f>IF(G4702="","",IF(AND(COUNTIFS($J$18:J4702,J4702)=1,G4702&lt;&gt;""),1,""))</f>
        <v/>
      </c>
      <c r="AI4702" s="200">
        <f t="shared" si="1441"/>
        <v>0</v>
      </c>
      <c r="AJ4702" s="200">
        <f t="shared" si="1442"/>
        <v>0</v>
      </c>
      <c r="AK4702" s="201" t="str">
        <f t="shared" si="1443"/>
        <v/>
      </c>
      <c r="AL4702" s="24"/>
      <c r="AM4702" s="24"/>
      <c r="AN4702" s="24"/>
      <c r="AO4702" s="24"/>
      <c r="AP4702" s="165" t="str">
        <f t="shared" si="1444"/>
        <v/>
      </c>
      <c r="AQ4702" s="203" t="str">
        <f t="shared" si="1445"/>
        <v/>
      </c>
      <c r="AR4702" s="206">
        <f t="shared" si="1446"/>
        <v>0</v>
      </c>
      <c r="AS4702" s="22" t="str">
        <f t="shared" si="1447"/>
        <v/>
      </c>
      <c r="AT4702" s="24" t="str">
        <f t="shared" si="1448"/>
        <v/>
      </c>
      <c r="AU4702" s="22" t="s">
        <v>3240</v>
      </c>
    </row>
    <row r="4703" spans="1:47">
      <c r="A4703" s="246" t="str">
        <f t="shared" si="1436"/>
        <v/>
      </c>
      <c r="B4703" s="23"/>
      <c r="C4703" s="23"/>
      <c r="D4703" s="202" t="str">
        <f t="shared" si="1437"/>
        <v/>
      </c>
      <c r="E4703" s="33" t="str">
        <f t="shared" si="1449"/>
        <v/>
      </c>
      <c r="F4703" s="23"/>
      <c r="G4703" s="23"/>
      <c r="H4703" s="29"/>
      <c r="I4703" s="204" t="str">
        <f t="shared" si="1434"/>
        <v/>
      </c>
      <c r="J4703" s="188"/>
      <c r="K4703" s="29"/>
      <c r="L4703" s="24"/>
      <c r="M4703" s="22"/>
      <c r="N4703" s="22"/>
      <c r="O4703" s="22"/>
      <c r="P4703" s="202" t="str">
        <f t="shared" si="1435"/>
        <v/>
      </c>
      <c r="Q4703" s="22"/>
      <c r="R4703" s="22"/>
      <c r="S4703" s="22"/>
      <c r="T4703" s="22"/>
      <c r="U4703" s="22"/>
      <c r="V4703" s="22"/>
      <c r="W4703" s="22"/>
      <c r="X4703" s="104"/>
      <c r="Y4703" s="195" t="str">
        <f t="shared" si="1450"/>
        <v/>
      </c>
      <c r="Z4703" s="196" t="str">
        <f t="shared" si="1451"/>
        <v/>
      </c>
      <c r="AA4703" s="22"/>
      <c r="AB4703" s="197" t="str">
        <f t="shared" si="1438"/>
        <v/>
      </c>
      <c r="AC4703" s="198" t="str">
        <f t="shared" si="1439"/>
        <v/>
      </c>
      <c r="AD4703" s="162"/>
      <c r="AE4703" s="199" t="str">
        <f t="shared" si="1440"/>
        <v/>
      </c>
      <c r="AF4703" s="199" t="str">
        <f>IF(AND(COUNTIFS($J$18:J4703,J4703)=1,AE4703=1),1,"")</f>
        <v/>
      </c>
      <c r="AG4703" s="199" t="str">
        <f>IF(C4703="","",IF(AND(COUNTIFS($J$18:J4703,J4703)=1,C4703&lt;&gt;""),1,""))</f>
        <v/>
      </c>
      <c r="AH4703" s="199" t="str">
        <f>IF(G4703="","",IF(AND(COUNTIFS($J$18:J4703,J4703)=1,G4703&lt;&gt;""),1,""))</f>
        <v/>
      </c>
      <c r="AI4703" s="200">
        <f t="shared" si="1441"/>
        <v>0</v>
      </c>
      <c r="AJ4703" s="200">
        <f t="shared" si="1442"/>
        <v>0</v>
      </c>
      <c r="AK4703" s="201" t="str">
        <f t="shared" si="1443"/>
        <v/>
      </c>
      <c r="AL4703" s="24"/>
      <c r="AM4703" s="24"/>
      <c r="AN4703" s="24"/>
      <c r="AO4703" s="24"/>
      <c r="AP4703" s="165" t="str">
        <f t="shared" si="1444"/>
        <v/>
      </c>
      <c r="AQ4703" s="203" t="str">
        <f t="shared" si="1445"/>
        <v/>
      </c>
      <c r="AR4703" s="206">
        <f t="shared" si="1446"/>
        <v>0</v>
      </c>
      <c r="AS4703" s="22" t="str">
        <f t="shared" si="1447"/>
        <v/>
      </c>
      <c r="AT4703" s="24" t="str">
        <f t="shared" si="1448"/>
        <v/>
      </c>
      <c r="AU4703" s="22" t="s">
        <v>3240</v>
      </c>
    </row>
    <row r="4704" spans="1:47">
      <c r="A4704" s="246" t="str">
        <f t="shared" si="1436"/>
        <v/>
      </c>
      <c r="B4704" s="23"/>
      <c r="C4704" s="23"/>
      <c r="D4704" s="202" t="str">
        <f t="shared" si="1437"/>
        <v/>
      </c>
      <c r="E4704" s="33" t="str">
        <f t="shared" si="1449"/>
        <v/>
      </c>
      <c r="F4704" s="23"/>
      <c r="G4704" s="23"/>
      <c r="H4704" s="29"/>
      <c r="I4704" s="204" t="str">
        <f t="shared" ref="I4704:I4767" si="1452">IFERROR(IF(F4704="","",IF(F4704="TBA","TBA",IF(F4704="Cancel","Cancel",IF(AND(G4704&gt;=10,G4704&lt;=12),"Q3",IF(AND(G4704&gt;=1,G4704&lt;=3),"Q4",IF(AND(G4704&gt;=7,G4704&lt;=9),"Q2",IF(AND(G4704&gt;=4,G4704&lt;=6),"Q1"))))))),"")</f>
        <v/>
      </c>
      <c r="J4704" s="188"/>
      <c r="K4704" s="29"/>
      <c r="L4704" s="24"/>
      <c r="M4704" s="22"/>
      <c r="N4704" s="22"/>
      <c r="O4704" s="22"/>
      <c r="P4704" s="202" t="str">
        <f t="shared" si="1435"/>
        <v/>
      </c>
      <c r="Q4704" s="22"/>
      <c r="R4704" s="22"/>
      <c r="S4704" s="22"/>
      <c r="T4704" s="22"/>
      <c r="U4704" s="22"/>
      <c r="V4704" s="22"/>
      <c r="W4704" s="22"/>
      <c r="X4704" s="104"/>
      <c r="Y4704" s="195" t="str">
        <f t="shared" si="1450"/>
        <v/>
      </c>
      <c r="Z4704" s="196" t="str">
        <f t="shared" si="1451"/>
        <v/>
      </c>
      <c r="AA4704" s="22"/>
      <c r="AB4704" s="197" t="str">
        <f t="shared" si="1438"/>
        <v/>
      </c>
      <c r="AC4704" s="198" t="str">
        <f t="shared" si="1439"/>
        <v/>
      </c>
      <c r="AD4704" s="162"/>
      <c r="AE4704" s="199" t="str">
        <f t="shared" si="1440"/>
        <v/>
      </c>
      <c r="AF4704" s="199" t="str">
        <f>IF(AND(COUNTIFS($J$18:J4704,J4704)=1,AE4704=1),1,"")</f>
        <v/>
      </c>
      <c r="AG4704" s="199" t="str">
        <f>IF(C4704="","",IF(AND(COUNTIFS($J$18:J4704,J4704)=1,C4704&lt;&gt;""),1,""))</f>
        <v/>
      </c>
      <c r="AH4704" s="199" t="str">
        <f>IF(G4704="","",IF(AND(COUNTIFS($J$18:J4704,J4704)=1,G4704&lt;&gt;""),1,""))</f>
        <v/>
      </c>
      <c r="AI4704" s="200">
        <f t="shared" si="1441"/>
        <v>0</v>
      </c>
      <c r="AJ4704" s="200">
        <f t="shared" si="1442"/>
        <v>0</v>
      </c>
      <c r="AK4704" s="201" t="str">
        <f t="shared" si="1443"/>
        <v/>
      </c>
      <c r="AL4704" s="24"/>
      <c r="AM4704" s="24"/>
      <c r="AN4704" s="24"/>
      <c r="AO4704" s="24"/>
      <c r="AP4704" s="165" t="str">
        <f t="shared" si="1444"/>
        <v/>
      </c>
      <c r="AQ4704" s="203" t="str">
        <f t="shared" si="1445"/>
        <v/>
      </c>
      <c r="AR4704" s="206">
        <f t="shared" si="1446"/>
        <v>0</v>
      </c>
      <c r="AS4704" s="22" t="str">
        <f t="shared" si="1447"/>
        <v/>
      </c>
      <c r="AT4704" s="24" t="str">
        <f t="shared" si="1448"/>
        <v/>
      </c>
      <c r="AU4704" s="22" t="s">
        <v>3240</v>
      </c>
    </row>
    <row r="4705" spans="1:47">
      <c r="A4705" s="246" t="str">
        <f t="shared" si="1436"/>
        <v/>
      </c>
      <c r="B4705" s="23"/>
      <c r="C4705" s="23"/>
      <c r="D4705" s="202" t="str">
        <f t="shared" si="1437"/>
        <v/>
      </c>
      <c r="E4705" s="33" t="str">
        <f t="shared" si="1449"/>
        <v/>
      </c>
      <c r="F4705" s="23"/>
      <c r="G4705" s="23"/>
      <c r="H4705" s="29"/>
      <c r="I4705" s="204" t="str">
        <f t="shared" si="1452"/>
        <v/>
      </c>
      <c r="J4705" s="188"/>
      <c r="K4705" s="29"/>
      <c r="L4705" s="24"/>
      <c r="M4705" s="22"/>
      <c r="N4705" s="22"/>
      <c r="O4705" s="22"/>
      <c r="P4705" s="202" t="str">
        <f t="shared" ref="P4705:P4768" si="1453">IF(M4705="","",IF(AND(N4705&gt;0,L4705&lt;&gt;""),"MAIN UNIT",IF(AND(O4705&gt;0,L4705&lt;&gt;""),"SERVICE/ PARTS","C66 SERVICE/OTHERS")))</f>
        <v/>
      </c>
      <c r="Q4705" s="22"/>
      <c r="R4705" s="22"/>
      <c r="S4705" s="22"/>
      <c r="T4705" s="22"/>
      <c r="U4705" s="22"/>
      <c r="V4705" s="22"/>
      <c r="W4705" s="22"/>
      <c r="X4705" s="104"/>
      <c r="Y4705" s="195" t="str">
        <f t="shared" si="1450"/>
        <v/>
      </c>
      <c r="Z4705" s="196" t="str">
        <f t="shared" si="1451"/>
        <v/>
      </c>
      <c r="AA4705" s="22"/>
      <c r="AB4705" s="197" t="str">
        <f t="shared" si="1438"/>
        <v/>
      </c>
      <c r="AC4705" s="198" t="str">
        <f t="shared" si="1439"/>
        <v/>
      </c>
      <c r="AD4705" s="162"/>
      <c r="AE4705" s="199" t="str">
        <f t="shared" si="1440"/>
        <v/>
      </c>
      <c r="AF4705" s="199" t="str">
        <f>IF(AND(COUNTIFS($J$18:J4705,J4705)=1,AE4705=1),1,"")</f>
        <v/>
      </c>
      <c r="AG4705" s="199" t="str">
        <f>IF(C4705="","",IF(AND(COUNTIFS($J$18:J4705,J4705)=1,C4705&lt;&gt;""),1,""))</f>
        <v/>
      </c>
      <c r="AH4705" s="199" t="str">
        <f>IF(G4705="","",IF(AND(COUNTIFS($J$18:J4705,J4705)=1,G4705&lt;&gt;""),1,""))</f>
        <v/>
      </c>
      <c r="AI4705" s="200">
        <f t="shared" si="1441"/>
        <v>0</v>
      </c>
      <c r="AJ4705" s="200">
        <f t="shared" si="1442"/>
        <v>0</v>
      </c>
      <c r="AK4705" s="201" t="str">
        <f t="shared" si="1443"/>
        <v/>
      </c>
      <c r="AL4705" s="24"/>
      <c r="AM4705" s="24"/>
      <c r="AN4705" s="24"/>
      <c r="AO4705" s="24"/>
      <c r="AP4705" s="165" t="str">
        <f t="shared" si="1444"/>
        <v/>
      </c>
      <c r="AQ4705" s="203" t="str">
        <f t="shared" si="1445"/>
        <v/>
      </c>
      <c r="AR4705" s="206">
        <f t="shared" si="1446"/>
        <v>0</v>
      </c>
      <c r="AS4705" s="22" t="str">
        <f t="shared" si="1447"/>
        <v/>
      </c>
      <c r="AT4705" s="24" t="str">
        <f t="shared" si="1448"/>
        <v/>
      </c>
      <c r="AU4705" s="22" t="s">
        <v>3240</v>
      </c>
    </row>
    <row r="4706" spans="1:47">
      <c r="A4706" s="246" t="str">
        <f t="shared" ref="A4706:A4769" si="1454">IF(C4706="cancel","cancel",IFERROR(IF(D4706="Q4","FY "&amp;RIGHT(B4706,2)-1&amp;"/"&amp;RIGHT(B4706,2),"FY "&amp;RIGHT(B4706,2)&amp;"/"&amp;RIGHT(B4706,2)+1),""))</f>
        <v/>
      </c>
      <c r="B4706" s="23"/>
      <c r="C4706" s="23"/>
      <c r="D4706" s="202" t="str">
        <f t="shared" ref="D4706:D4769" si="1455">IF(B4706="","",IF(AND(C4706&gt;=10,C4706&lt;=12),"Q3",IF(AND(C4706&gt;=1,C4706&lt;=3),"Q4",IF(AND(C4706&gt;=7,C4706&lt;=9),"Q2",IF(AND(C4706&gt;=4,C4706&lt;=6),"Q1")))))</f>
        <v/>
      </c>
      <c r="E4706" s="33" t="str">
        <f t="shared" si="1449"/>
        <v/>
      </c>
      <c r="F4706" s="23"/>
      <c r="G4706" s="23"/>
      <c r="H4706" s="29"/>
      <c r="I4706" s="204" t="str">
        <f t="shared" si="1452"/>
        <v/>
      </c>
      <c r="J4706" s="188"/>
      <c r="K4706" s="29"/>
      <c r="L4706" s="24"/>
      <c r="M4706" s="22"/>
      <c r="N4706" s="22"/>
      <c r="O4706" s="22"/>
      <c r="P4706" s="202" t="str">
        <f t="shared" si="1453"/>
        <v/>
      </c>
      <c r="Q4706" s="22"/>
      <c r="R4706" s="22"/>
      <c r="S4706" s="22"/>
      <c r="T4706" s="22"/>
      <c r="U4706" s="22"/>
      <c r="V4706" s="22"/>
      <c r="W4706" s="22"/>
      <c r="X4706" s="104"/>
      <c r="Y4706" s="195" t="str">
        <f t="shared" si="1450"/>
        <v/>
      </c>
      <c r="Z4706" s="196" t="str">
        <f t="shared" si="1451"/>
        <v/>
      </c>
      <c r="AA4706" s="22"/>
      <c r="AB4706" s="197" t="str">
        <f t="shared" ref="AB4706:AB4769" si="1456">IF(AND(R4706&lt;&gt;"C66",R4706&lt;&gt;""),Z4706/Y4706*AA4706,"")</f>
        <v/>
      </c>
      <c r="AC4706" s="198" t="str">
        <f t="shared" ref="AC4706:AC4769" si="1457">IF(R4706&lt;&gt;"",AB4706*AD4706,"")</f>
        <v/>
      </c>
      <c r="AD4706" s="162"/>
      <c r="AE4706" s="199" t="str">
        <f t="shared" ref="AE4706:AE4769" si="1458">IF(Q4706="","",IF(Q4706="Yes",1,0))</f>
        <v/>
      </c>
      <c r="AF4706" s="199" t="str">
        <f>IF(AND(COUNTIFS($J$18:J4706,J4706)=1,AE4706=1),1,"")</f>
        <v/>
      </c>
      <c r="AG4706" s="199" t="str">
        <f>IF(C4706="","",IF(AND(COUNTIFS($J$18:J4706,J4706)=1,C4706&lt;&gt;""),1,""))</f>
        <v/>
      </c>
      <c r="AH4706" s="199" t="str">
        <f>IF(G4706="","",IF(AND(COUNTIFS($J$18:J4706,J4706)=1,G4706&lt;&gt;""),1,""))</f>
        <v/>
      </c>
      <c r="AI4706" s="200">
        <f t="shared" ref="AI4706:AI4769" si="1459">IF(P4706="C66 SERVICE","",SUMIFS(AB:AB,F:F,F4706,G:G,G4706,E:E,E4706))</f>
        <v>0</v>
      </c>
      <c r="AJ4706" s="200">
        <f t="shared" ref="AJ4706:AJ4769" si="1460">IF(P4706="C66 SERVICE","",SUMIFS(AC:AC,F:F,F4706,G:G,G4706,E:E,E4706))</f>
        <v>0</v>
      </c>
      <c r="AK4706" s="201" t="str">
        <f t="shared" ref="AK4706:AK4769" si="1461">IF(AJ4706&gt;0,AJ4706/AI4706,"")</f>
        <v/>
      </c>
      <c r="AL4706" s="24"/>
      <c r="AM4706" s="24"/>
      <c r="AN4706" s="24"/>
      <c r="AO4706" s="24"/>
      <c r="AP4706" s="165" t="str">
        <f t="shared" ref="AP4706:AP4769" si="1462">IF(F4706="","",F4706&amp;G4706)</f>
        <v/>
      </c>
      <c r="AQ4706" s="203" t="str">
        <f t="shared" ref="AQ4706:AQ4769" si="1463">IF(W4706="","",F4706&amp;G4706&amp;W4706)</f>
        <v/>
      </c>
      <c r="AR4706" s="206">
        <f t="shared" ref="AR4706:AR4769" si="1464">IFERROR(IF(AND(M4706="YAMAHA", R4706="C28"), "YAMAHA_Non_Mounter", IF(AND(M4706="YAMAHA", R4706="C49"), "YAMAHA_Mounter", M4706)),"")</f>
        <v>0</v>
      </c>
      <c r="AS4706" s="22" t="str">
        <f t="shared" ref="AS4706:AS4769" si="1465">IFERROR(IF(OR(G4706="TBA", G4706=""), "", DATEDIF(DATE(B4706, C4706, 1), DATE(F4706, G4706, 1), "M")),"")</f>
        <v/>
      </c>
      <c r="AT4706" s="24" t="str">
        <f t="shared" ref="AT4706:AT4769" si="1466">IF(ISNUMBER(AS4706), IF(AS4706&gt;=0, IF(AS4706&lt;=3, "0-3 months", IF(AS4706&lt;=6, "4-6 months", "&gt; 6 months"))), "")</f>
        <v/>
      </c>
      <c r="AU4706" s="22" t="s">
        <v>3240</v>
      </c>
    </row>
    <row r="4707" spans="1:47">
      <c r="A4707" s="246" t="str">
        <f t="shared" si="1454"/>
        <v/>
      </c>
      <c r="B4707" s="23"/>
      <c r="C4707" s="23"/>
      <c r="D4707" s="202" t="str">
        <f t="shared" si="1455"/>
        <v/>
      </c>
      <c r="E4707" s="33" t="str">
        <f t="shared" si="1449"/>
        <v/>
      </c>
      <c r="F4707" s="23"/>
      <c r="G4707" s="23"/>
      <c r="H4707" s="29"/>
      <c r="I4707" s="204" t="str">
        <f t="shared" si="1452"/>
        <v/>
      </c>
      <c r="J4707" s="188"/>
      <c r="K4707" s="29"/>
      <c r="L4707" s="24"/>
      <c r="M4707" s="22"/>
      <c r="N4707" s="22"/>
      <c r="O4707" s="22"/>
      <c r="P4707" s="202" t="str">
        <f t="shared" si="1453"/>
        <v/>
      </c>
      <c r="Q4707" s="22"/>
      <c r="R4707" s="22"/>
      <c r="S4707" s="22"/>
      <c r="T4707" s="22"/>
      <c r="U4707" s="22"/>
      <c r="V4707" s="22"/>
      <c r="W4707" s="22"/>
      <c r="X4707" s="104"/>
      <c r="Y4707" s="195" t="str">
        <f t="shared" si="1450"/>
        <v/>
      </c>
      <c r="Z4707" s="196" t="str">
        <f t="shared" si="1451"/>
        <v/>
      </c>
      <c r="AA4707" s="22"/>
      <c r="AB4707" s="197" t="str">
        <f t="shared" si="1456"/>
        <v/>
      </c>
      <c r="AC4707" s="198" t="str">
        <f t="shared" si="1457"/>
        <v/>
      </c>
      <c r="AD4707" s="162"/>
      <c r="AE4707" s="199" t="str">
        <f t="shared" si="1458"/>
        <v/>
      </c>
      <c r="AF4707" s="199" t="str">
        <f>IF(AND(COUNTIFS($J$18:J4707,J4707)=1,AE4707=1),1,"")</f>
        <v/>
      </c>
      <c r="AG4707" s="199" t="str">
        <f>IF(C4707="","",IF(AND(COUNTIFS($J$18:J4707,J4707)=1,C4707&lt;&gt;""),1,""))</f>
        <v/>
      </c>
      <c r="AH4707" s="199" t="str">
        <f>IF(G4707="","",IF(AND(COUNTIFS($J$18:J4707,J4707)=1,G4707&lt;&gt;""),1,""))</f>
        <v/>
      </c>
      <c r="AI4707" s="200">
        <f t="shared" si="1459"/>
        <v>0</v>
      </c>
      <c r="AJ4707" s="200">
        <f t="shared" si="1460"/>
        <v>0</v>
      </c>
      <c r="AK4707" s="201" t="str">
        <f t="shared" si="1461"/>
        <v/>
      </c>
      <c r="AL4707" s="24"/>
      <c r="AM4707" s="24"/>
      <c r="AN4707" s="24"/>
      <c r="AO4707" s="24"/>
      <c r="AP4707" s="165" t="str">
        <f t="shared" si="1462"/>
        <v/>
      </c>
      <c r="AQ4707" s="203" t="str">
        <f t="shared" si="1463"/>
        <v/>
      </c>
      <c r="AR4707" s="206">
        <f t="shared" si="1464"/>
        <v>0</v>
      </c>
      <c r="AS4707" s="22" t="str">
        <f t="shared" si="1465"/>
        <v/>
      </c>
      <c r="AT4707" s="24" t="str">
        <f t="shared" si="1466"/>
        <v/>
      </c>
      <c r="AU4707" s="22" t="s">
        <v>3240</v>
      </c>
    </row>
    <row r="4708" spans="1:47">
      <c r="A4708" s="246" t="str">
        <f t="shared" si="1454"/>
        <v/>
      </c>
      <c r="B4708" s="23"/>
      <c r="C4708" s="23"/>
      <c r="D4708" s="202" t="str">
        <f t="shared" si="1455"/>
        <v/>
      </c>
      <c r="E4708" s="33" t="str">
        <f t="shared" si="1449"/>
        <v/>
      </c>
      <c r="F4708" s="23"/>
      <c r="G4708" s="23"/>
      <c r="H4708" s="29"/>
      <c r="I4708" s="204" t="str">
        <f t="shared" si="1452"/>
        <v/>
      </c>
      <c r="J4708" s="188"/>
      <c r="K4708" s="29"/>
      <c r="L4708" s="24"/>
      <c r="M4708" s="22"/>
      <c r="N4708" s="22"/>
      <c r="O4708" s="22"/>
      <c r="P4708" s="202" t="str">
        <f t="shared" si="1453"/>
        <v/>
      </c>
      <c r="Q4708" s="22"/>
      <c r="R4708" s="22"/>
      <c r="S4708" s="22"/>
      <c r="T4708" s="22"/>
      <c r="U4708" s="22"/>
      <c r="V4708" s="22"/>
      <c r="W4708" s="22"/>
      <c r="X4708" s="104"/>
      <c r="Y4708" s="195" t="str">
        <f t="shared" si="1450"/>
        <v/>
      </c>
      <c r="Z4708" s="196" t="str">
        <f t="shared" si="1451"/>
        <v/>
      </c>
      <c r="AA4708" s="22"/>
      <c r="AB4708" s="197" t="str">
        <f t="shared" si="1456"/>
        <v/>
      </c>
      <c r="AC4708" s="198" t="str">
        <f t="shared" si="1457"/>
        <v/>
      </c>
      <c r="AD4708" s="162"/>
      <c r="AE4708" s="199" t="str">
        <f t="shared" si="1458"/>
        <v/>
      </c>
      <c r="AF4708" s="199" t="str">
        <f>IF(AND(COUNTIFS($J$18:J4708,J4708)=1,AE4708=1),1,"")</f>
        <v/>
      </c>
      <c r="AG4708" s="199" t="str">
        <f>IF(C4708="","",IF(AND(COUNTIFS($J$18:J4708,J4708)=1,C4708&lt;&gt;""),1,""))</f>
        <v/>
      </c>
      <c r="AH4708" s="199" t="str">
        <f>IF(G4708="","",IF(AND(COUNTIFS($J$18:J4708,J4708)=1,G4708&lt;&gt;""),1,""))</f>
        <v/>
      </c>
      <c r="AI4708" s="200">
        <f t="shared" si="1459"/>
        <v>0</v>
      </c>
      <c r="AJ4708" s="200">
        <f t="shared" si="1460"/>
        <v>0</v>
      </c>
      <c r="AK4708" s="201" t="str">
        <f t="shared" si="1461"/>
        <v/>
      </c>
      <c r="AL4708" s="24"/>
      <c r="AM4708" s="24"/>
      <c r="AN4708" s="24"/>
      <c r="AO4708" s="24"/>
      <c r="AP4708" s="165" t="str">
        <f t="shared" si="1462"/>
        <v/>
      </c>
      <c r="AQ4708" s="203" t="str">
        <f t="shared" si="1463"/>
        <v/>
      </c>
      <c r="AR4708" s="206">
        <f t="shared" si="1464"/>
        <v>0</v>
      </c>
      <c r="AS4708" s="22" t="str">
        <f t="shared" si="1465"/>
        <v/>
      </c>
      <c r="AT4708" s="24" t="str">
        <f t="shared" si="1466"/>
        <v/>
      </c>
      <c r="AU4708" s="22" t="s">
        <v>3240</v>
      </c>
    </row>
    <row r="4709" spans="1:47">
      <c r="A4709" s="246" t="str">
        <f t="shared" si="1454"/>
        <v/>
      </c>
      <c r="B4709" s="23"/>
      <c r="C4709" s="23"/>
      <c r="D4709" s="202" t="str">
        <f t="shared" si="1455"/>
        <v/>
      </c>
      <c r="E4709" s="33" t="str">
        <f t="shared" si="1449"/>
        <v/>
      </c>
      <c r="F4709" s="23"/>
      <c r="G4709" s="23"/>
      <c r="H4709" s="29"/>
      <c r="I4709" s="204" t="str">
        <f t="shared" si="1452"/>
        <v/>
      </c>
      <c r="J4709" s="188"/>
      <c r="K4709" s="29"/>
      <c r="L4709" s="24"/>
      <c r="M4709" s="22"/>
      <c r="N4709" s="22"/>
      <c r="O4709" s="22"/>
      <c r="P4709" s="202" t="str">
        <f t="shared" si="1453"/>
        <v/>
      </c>
      <c r="Q4709" s="22"/>
      <c r="R4709" s="22"/>
      <c r="S4709" s="22"/>
      <c r="T4709" s="22"/>
      <c r="U4709" s="22"/>
      <c r="V4709" s="22"/>
      <c r="W4709" s="22"/>
      <c r="X4709" s="104"/>
      <c r="Y4709" s="195" t="str">
        <f t="shared" si="1450"/>
        <v/>
      </c>
      <c r="Z4709" s="196" t="str">
        <f t="shared" si="1451"/>
        <v/>
      </c>
      <c r="AA4709" s="22"/>
      <c r="AB4709" s="197" t="str">
        <f t="shared" si="1456"/>
        <v/>
      </c>
      <c r="AC4709" s="198" t="str">
        <f t="shared" si="1457"/>
        <v/>
      </c>
      <c r="AD4709" s="162"/>
      <c r="AE4709" s="199" t="str">
        <f t="shared" si="1458"/>
        <v/>
      </c>
      <c r="AF4709" s="199" t="str">
        <f>IF(AND(COUNTIFS($J$18:J4709,J4709)=1,AE4709=1),1,"")</f>
        <v/>
      </c>
      <c r="AG4709" s="199" t="str">
        <f>IF(C4709="","",IF(AND(COUNTIFS($J$18:J4709,J4709)=1,C4709&lt;&gt;""),1,""))</f>
        <v/>
      </c>
      <c r="AH4709" s="199" t="str">
        <f>IF(G4709="","",IF(AND(COUNTIFS($J$18:J4709,J4709)=1,G4709&lt;&gt;""),1,""))</f>
        <v/>
      </c>
      <c r="AI4709" s="200">
        <f t="shared" si="1459"/>
        <v>0</v>
      </c>
      <c r="AJ4709" s="200">
        <f t="shared" si="1460"/>
        <v>0</v>
      </c>
      <c r="AK4709" s="201" t="str">
        <f t="shared" si="1461"/>
        <v/>
      </c>
      <c r="AL4709" s="24"/>
      <c r="AM4709" s="24"/>
      <c r="AN4709" s="24"/>
      <c r="AO4709" s="24"/>
      <c r="AP4709" s="165" t="str">
        <f t="shared" si="1462"/>
        <v/>
      </c>
      <c r="AQ4709" s="203" t="str">
        <f t="shared" si="1463"/>
        <v/>
      </c>
      <c r="AR4709" s="206">
        <f t="shared" si="1464"/>
        <v>0</v>
      </c>
      <c r="AS4709" s="22" t="str">
        <f t="shared" si="1465"/>
        <v/>
      </c>
      <c r="AT4709" s="24" t="str">
        <f t="shared" si="1466"/>
        <v/>
      </c>
      <c r="AU4709" s="22" t="s">
        <v>3240</v>
      </c>
    </row>
    <row r="4710" spans="1:47">
      <c r="A4710" s="246" t="str">
        <f t="shared" si="1454"/>
        <v/>
      </c>
      <c r="B4710" s="23"/>
      <c r="C4710" s="23"/>
      <c r="D4710" s="202" t="str">
        <f t="shared" si="1455"/>
        <v/>
      </c>
      <c r="E4710" s="33" t="str">
        <f t="shared" si="1449"/>
        <v/>
      </c>
      <c r="F4710" s="23"/>
      <c r="G4710" s="23"/>
      <c r="H4710" s="29"/>
      <c r="I4710" s="204" t="str">
        <f t="shared" si="1452"/>
        <v/>
      </c>
      <c r="J4710" s="188"/>
      <c r="K4710" s="29"/>
      <c r="L4710" s="24"/>
      <c r="M4710" s="22"/>
      <c r="N4710" s="22"/>
      <c r="O4710" s="22"/>
      <c r="P4710" s="202" t="str">
        <f t="shared" si="1453"/>
        <v/>
      </c>
      <c r="Q4710" s="22"/>
      <c r="R4710" s="22"/>
      <c r="S4710" s="22"/>
      <c r="T4710" s="22"/>
      <c r="U4710" s="22"/>
      <c r="V4710" s="22"/>
      <c r="W4710" s="22"/>
      <c r="X4710" s="104"/>
      <c r="Y4710" s="195" t="str">
        <f t="shared" si="1450"/>
        <v/>
      </c>
      <c r="Z4710" s="196" t="str">
        <f t="shared" si="1451"/>
        <v/>
      </c>
      <c r="AA4710" s="22"/>
      <c r="AB4710" s="197" t="str">
        <f t="shared" si="1456"/>
        <v/>
      </c>
      <c r="AC4710" s="198" t="str">
        <f t="shared" si="1457"/>
        <v/>
      </c>
      <c r="AD4710" s="162"/>
      <c r="AE4710" s="199" t="str">
        <f t="shared" si="1458"/>
        <v/>
      </c>
      <c r="AF4710" s="199" t="str">
        <f>IF(AND(COUNTIFS($J$18:J4710,J4710)=1,AE4710=1),1,"")</f>
        <v/>
      </c>
      <c r="AG4710" s="199" t="str">
        <f>IF(C4710="","",IF(AND(COUNTIFS($J$18:J4710,J4710)=1,C4710&lt;&gt;""),1,""))</f>
        <v/>
      </c>
      <c r="AH4710" s="199" t="str">
        <f>IF(G4710="","",IF(AND(COUNTIFS($J$18:J4710,J4710)=1,G4710&lt;&gt;""),1,""))</f>
        <v/>
      </c>
      <c r="AI4710" s="200">
        <f t="shared" si="1459"/>
        <v>0</v>
      </c>
      <c r="AJ4710" s="200">
        <f t="shared" si="1460"/>
        <v>0</v>
      </c>
      <c r="AK4710" s="201" t="str">
        <f t="shared" si="1461"/>
        <v/>
      </c>
      <c r="AL4710" s="24"/>
      <c r="AM4710" s="24"/>
      <c r="AN4710" s="24"/>
      <c r="AO4710" s="24"/>
      <c r="AP4710" s="165" t="str">
        <f t="shared" si="1462"/>
        <v/>
      </c>
      <c r="AQ4710" s="203" t="str">
        <f t="shared" si="1463"/>
        <v/>
      </c>
      <c r="AR4710" s="206">
        <f t="shared" si="1464"/>
        <v>0</v>
      </c>
      <c r="AS4710" s="22" t="str">
        <f t="shared" si="1465"/>
        <v/>
      </c>
      <c r="AT4710" s="24" t="str">
        <f t="shared" si="1466"/>
        <v/>
      </c>
      <c r="AU4710" s="22" t="s">
        <v>3240</v>
      </c>
    </row>
    <row r="4711" spans="1:47">
      <c r="A4711" s="246" t="str">
        <f t="shared" si="1454"/>
        <v/>
      </c>
      <c r="B4711" s="23"/>
      <c r="C4711" s="23"/>
      <c r="D4711" s="202" t="str">
        <f t="shared" si="1455"/>
        <v/>
      </c>
      <c r="E4711" s="33" t="str">
        <f t="shared" si="1449"/>
        <v/>
      </c>
      <c r="F4711" s="23"/>
      <c r="G4711" s="23"/>
      <c r="H4711" s="29"/>
      <c r="I4711" s="204" t="str">
        <f t="shared" si="1452"/>
        <v/>
      </c>
      <c r="J4711" s="188"/>
      <c r="K4711" s="29"/>
      <c r="L4711" s="24"/>
      <c r="M4711" s="22"/>
      <c r="N4711" s="22"/>
      <c r="O4711" s="22"/>
      <c r="P4711" s="202" t="str">
        <f t="shared" si="1453"/>
        <v/>
      </c>
      <c r="Q4711" s="22"/>
      <c r="R4711" s="22"/>
      <c r="S4711" s="22"/>
      <c r="T4711" s="22"/>
      <c r="U4711" s="22"/>
      <c r="V4711" s="22"/>
      <c r="W4711" s="22"/>
      <c r="X4711" s="104"/>
      <c r="Y4711" s="195" t="str">
        <f t="shared" si="1450"/>
        <v/>
      </c>
      <c r="Z4711" s="196" t="str">
        <f t="shared" si="1451"/>
        <v/>
      </c>
      <c r="AA4711" s="22"/>
      <c r="AB4711" s="197" t="str">
        <f t="shared" si="1456"/>
        <v/>
      </c>
      <c r="AC4711" s="198" t="str">
        <f t="shared" si="1457"/>
        <v/>
      </c>
      <c r="AD4711" s="162"/>
      <c r="AE4711" s="199" t="str">
        <f t="shared" si="1458"/>
        <v/>
      </c>
      <c r="AF4711" s="199" t="str">
        <f>IF(AND(COUNTIFS($J$18:J4711,J4711)=1,AE4711=1),1,"")</f>
        <v/>
      </c>
      <c r="AG4711" s="199" t="str">
        <f>IF(C4711="","",IF(AND(COUNTIFS($J$18:J4711,J4711)=1,C4711&lt;&gt;""),1,""))</f>
        <v/>
      </c>
      <c r="AH4711" s="199" t="str">
        <f>IF(G4711="","",IF(AND(COUNTIFS($J$18:J4711,J4711)=1,G4711&lt;&gt;""),1,""))</f>
        <v/>
      </c>
      <c r="AI4711" s="200">
        <f t="shared" si="1459"/>
        <v>0</v>
      </c>
      <c r="AJ4711" s="200">
        <f t="shared" si="1460"/>
        <v>0</v>
      </c>
      <c r="AK4711" s="201" t="str">
        <f t="shared" si="1461"/>
        <v/>
      </c>
      <c r="AL4711" s="24"/>
      <c r="AM4711" s="24"/>
      <c r="AN4711" s="24"/>
      <c r="AO4711" s="24"/>
      <c r="AP4711" s="165" t="str">
        <f t="shared" si="1462"/>
        <v/>
      </c>
      <c r="AQ4711" s="203" t="str">
        <f t="shared" si="1463"/>
        <v/>
      </c>
      <c r="AR4711" s="206">
        <f t="shared" si="1464"/>
        <v>0</v>
      </c>
      <c r="AS4711" s="22" t="str">
        <f t="shared" si="1465"/>
        <v/>
      </c>
      <c r="AT4711" s="24" t="str">
        <f t="shared" si="1466"/>
        <v/>
      </c>
      <c r="AU4711" s="22" t="s">
        <v>3240</v>
      </c>
    </row>
    <row r="4712" spans="1:47">
      <c r="A4712" s="246" t="str">
        <f t="shared" si="1454"/>
        <v/>
      </c>
      <c r="B4712" s="23"/>
      <c r="C4712" s="23"/>
      <c r="D4712" s="202" t="str">
        <f t="shared" si="1455"/>
        <v/>
      </c>
      <c r="E4712" s="33" t="str">
        <f t="shared" si="1449"/>
        <v/>
      </c>
      <c r="F4712" s="23"/>
      <c r="G4712" s="23"/>
      <c r="H4712" s="29"/>
      <c r="I4712" s="204" t="str">
        <f t="shared" si="1452"/>
        <v/>
      </c>
      <c r="J4712" s="188"/>
      <c r="K4712" s="29"/>
      <c r="L4712" s="24"/>
      <c r="M4712" s="22"/>
      <c r="N4712" s="22"/>
      <c r="O4712" s="22"/>
      <c r="P4712" s="202" t="str">
        <f t="shared" si="1453"/>
        <v/>
      </c>
      <c r="Q4712" s="22"/>
      <c r="R4712" s="22"/>
      <c r="S4712" s="22"/>
      <c r="T4712" s="22"/>
      <c r="U4712" s="22"/>
      <c r="V4712" s="22"/>
      <c r="W4712" s="22"/>
      <c r="X4712" s="104"/>
      <c r="Y4712" s="195" t="str">
        <f t="shared" si="1450"/>
        <v/>
      </c>
      <c r="Z4712" s="196" t="str">
        <f t="shared" si="1451"/>
        <v/>
      </c>
      <c r="AA4712" s="22"/>
      <c r="AB4712" s="197" t="str">
        <f t="shared" si="1456"/>
        <v/>
      </c>
      <c r="AC4712" s="198" t="str">
        <f t="shared" si="1457"/>
        <v/>
      </c>
      <c r="AD4712" s="162"/>
      <c r="AE4712" s="199" t="str">
        <f t="shared" si="1458"/>
        <v/>
      </c>
      <c r="AF4712" s="199" t="str">
        <f>IF(AND(COUNTIFS($J$18:J4712,J4712)=1,AE4712=1),1,"")</f>
        <v/>
      </c>
      <c r="AG4712" s="199" t="str">
        <f>IF(C4712="","",IF(AND(COUNTIFS($J$18:J4712,J4712)=1,C4712&lt;&gt;""),1,""))</f>
        <v/>
      </c>
      <c r="AH4712" s="199" t="str">
        <f>IF(G4712="","",IF(AND(COUNTIFS($J$18:J4712,J4712)=1,G4712&lt;&gt;""),1,""))</f>
        <v/>
      </c>
      <c r="AI4712" s="200">
        <f t="shared" si="1459"/>
        <v>0</v>
      </c>
      <c r="AJ4712" s="200">
        <f t="shared" si="1460"/>
        <v>0</v>
      </c>
      <c r="AK4712" s="201" t="str">
        <f t="shared" si="1461"/>
        <v/>
      </c>
      <c r="AL4712" s="24"/>
      <c r="AM4712" s="24"/>
      <c r="AN4712" s="24"/>
      <c r="AO4712" s="24"/>
      <c r="AP4712" s="165" t="str">
        <f t="shared" si="1462"/>
        <v/>
      </c>
      <c r="AQ4712" s="203" t="str">
        <f t="shared" si="1463"/>
        <v/>
      </c>
      <c r="AR4712" s="206">
        <f t="shared" si="1464"/>
        <v>0</v>
      </c>
      <c r="AS4712" s="22" t="str">
        <f t="shared" si="1465"/>
        <v/>
      </c>
      <c r="AT4712" s="24" t="str">
        <f t="shared" si="1466"/>
        <v/>
      </c>
      <c r="AU4712" s="22" t="s">
        <v>3240</v>
      </c>
    </row>
    <row r="4713" spans="1:47">
      <c r="A4713" s="246" t="str">
        <f t="shared" si="1454"/>
        <v/>
      </c>
      <c r="B4713" s="23"/>
      <c r="C4713" s="23"/>
      <c r="D4713" s="202" t="str">
        <f t="shared" si="1455"/>
        <v/>
      </c>
      <c r="E4713" s="33" t="str">
        <f t="shared" si="1449"/>
        <v/>
      </c>
      <c r="F4713" s="23"/>
      <c r="G4713" s="23"/>
      <c r="H4713" s="29"/>
      <c r="I4713" s="204" t="str">
        <f t="shared" si="1452"/>
        <v/>
      </c>
      <c r="J4713" s="188"/>
      <c r="K4713" s="29"/>
      <c r="L4713" s="24"/>
      <c r="M4713" s="22"/>
      <c r="N4713" s="22"/>
      <c r="O4713" s="22"/>
      <c r="P4713" s="202" t="str">
        <f t="shared" si="1453"/>
        <v/>
      </c>
      <c r="Q4713" s="22"/>
      <c r="R4713" s="22"/>
      <c r="S4713" s="22"/>
      <c r="T4713" s="22"/>
      <c r="U4713" s="22"/>
      <c r="V4713" s="22"/>
      <c r="W4713" s="22"/>
      <c r="X4713" s="104"/>
      <c r="Y4713" s="195" t="str">
        <f t="shared" si="1450"/>
        <v/>
      </c>
      <c r="Z4713" s="196" t="str">
        <f t="shared" si="1451"/>
        <v/>
      </c>
      <c r="AA4713" s="22"/>
      <c r="AB4713" s="197" t="str">
        <f t="shared" si="1456"/>
        <v/>
      </c>
      <c r="AC4713" s="198" t="str">
        <f t="shared" si="1457"/>
        <v/>
      </c>
      <c r="AD4713" s="162"/>
      <c r="AE4713" s="199" t="str">
        <f t="shared" si="1458"/>
        <v/>
      </c>
      <c r="AF4713" s="199" t="str">
        <f>IF(AND(COUNTIFS($J$18:J4713,J4713)=1,AE4713=1),1,"")</f>
        <v/>
      </c>
      <c r="AG4713" s="199" t="str">
        <f>IF(C4713="","",IF(AND(COUNTIFS($J$18:J4713,J4713)=1,C4713&lt;&gt;""),1,""))</f>
        <v/>
      </c>
      <c r="AH4713" s="199" t="str">
        <f>IF(G4713="","",IF(AND(COUNTIFS($J$18:J4713,J4713)=1,G4713&lt;&gt;""),1,""))</f>
        <v/>
      </c>
      <c r="AI4713" s="200">
        <f t="shared" si="1459"/>
        <v>0</v>
      </c>
      <c r="AJ4713" s="200">
        <f t="shared" si="1460"/>
        <v>0</v>
      </c>
      <c r="AK4713" s="201" t="str">
        <f t="shared" si="1461"/>
        <v/>
      </c>
      <c r="AL4713" s="24"/>
      <c r="AM4713" s="24"/>
      <c r="AN4713" s="24"/>
      <c r="AO4713" s="24"/>
      <c r="AP4713" s="165" t="str">
        <f t="shared" si="1462"/>
        <v/>
      </c>
      <c r="AQ4713" s="203" t="str">
        <f t="shared" si="1463"/>
        <v/>
      </c>
      <c r="AR4713" s="206">
        <f t="shared" si="1464"/>
        <v>0</v>
      </c>
      <c r="AS4713" s="22" t="str">
        <f t="shared" si="1465"/>
        <v/>
      </c>
      <c r="AT4713" s="24" t="str">
        <f t="shared" si="1466"/>
        <v/>
      </c>
      <c r="AU4713" s="22" t="s">
        <v>3240</v>
      </c>
    </row>
    <row r="4714" spans="1:47">
      <c r="A4714" s="246" t="str">
        <f t="shared" si="1454"/>
        <v/>
      </c>
      <c r="B4714" s="23"/>
      <c r="C4714" s="23"/>
      <c r="D4714" s="202" t="str">
        <f t="shared" si="1455"/>
        <v/>
      </c>
      <c r="E4714" s="33" t="str">
        <f t="shared" si="1449"/>
        <v/>
      </c>
      <c r="F4714" s="23"/>
      <c r="G4714" s="23"/>
      <c r="H4714" s="29"/>
      <c r="I4714" s="204" t="str">
        <f t="shared" si="1452"/>
        <v/>
      </c>
      <c r="J4714" s="188"/>
      <c r="K4714" s="29"/>
      <c r="L4714" s="24"/>
      <c r="M4714" s="22"/>
      <c r="N4714" s="22"/>
      <c r="O4714" s="22"/>
      <c r="P4714" s="202" t="str">
        <f t="shared" si="1453"/>
        <v/>
      </c>
      <c r="Q4714" s="22"/>
      <c r="R4714" s="22"/>
      <c r="S4714" s="22"/>
      <c r="T4714" s="22"/>
      <c r="U4714" s="22"/>
      <c r="V4714" s="22"/>
      <c r="W4714" s="22"/>
      <c r="X4714" s="104"/>
      <c r="Y4714" s="195" t="str">
        <f t="shared" si="1450"/>
        <v/>
      </c>
      <c r="Z4714" s="196" t="str">
        <f t="shared" si="1451"/>
        <v/>
      </c>
      <c r="AA4714" s="22"/>
      <c r="AB4714" s="197" t="str">
        <f t="shared" si="1456"/>
        <v/>
      </c>
      <c r="AC4714" s="198" t="str">
        <f t="shared" si="1457"/>
        <v/>
      </c>
      <c r="AD4714" s="162"/>
      <c r="AE4714" s="199" t="str">
        <f t="shared" si="1458"/>
        <v/>
      </c>
      <c r="AF4714" s="199" t="str">
        <f>IF(AND(COUNTIFS($J$18:J4714,J4714)=1,AE4714=1),1,"")</f>
        <v/>
      </c>
      <c r="AG4714" s="199" t="str">
        <f>IF(C4714="","",IF(AND(COUNTIFS($J$18:J4714,J4714)=1,C4714&lt;&gt;""),1,""))</f>
        <v/>
      </c>
      <c r="AH4714" s="199" t="str">
        <f>IF(G4714="","",IF(AND(COUNTIFS($J$18:J4714,J4714)=1,G4714&lt;&gt;""),1,""))</f>
        <v/>
      </c>
      <c r="AI4714" s="200">
        <f t="shared" si="1459"/>
        <v>0</v>
      </c>
      <c r="AJ4714" s="200">
        <f t="shared" si="1460"/>
        <v>0</v>
      </c>
      <c r="AK4714" s="201" t="str">
        <f t="shared" si="1461"/>
        <v/>
      </c>
      <c r="AL4714" s="24"/>
      <c r="AM4714" s="24"/>
      <c r="AN4714" s="24"/>
      <c r="AO4714" s="24"/>
      <c r="AP4714" s="165" t="str">
        <f t="shared" si="1462"/>
        <v/>
      </c>
      <c r="AQ4714" s="203" t="str">
        <f t="shared" si="1463"/>
        <v/>
      </c>
      <c r="AR4714" s="206">
        <f t="shared" si="1464"/>
        <v>0</v>
      </c>
      <c r="AS4714" s="22" t="str">
        <f t="shared" si="1465"/>
        <v/>
      </c>
      <c r="AT4714" s="24" t="str">
        <f t="shared" si="1466"/>
        <v/>
      </c>
      <c r="AU4714" s="22" t="s">
        <v>3240</v>
      </c>
    </row>
    <row r="4715" spans="1:47">
      <c r="A4715" s="246" t="str">
        <f t="shared" si="1454"/>
        <v/>
      </c>
      <c r="B4715" s="23"/>
      <c r="C4715" s="23"/>
      <c r="D4715" s="202" t="str">
        <f t="shared" si="1455"/>
        <v/>
      </c>
      <c r="E4715" s="33" t="str">
        <f t="shared" si="1449"/>
        <v/>
      </c>
      <c r="F4715" s="23"/>
      <c r="G4715" s="23"/>
      <c r="H4715" s="29"/>
      <c r="I4715" s="204" t="str">
        <f t="shared" si="1452"/>
        <v/>
      </c>
      <c r="J4715" s="188"/>
      <c r="K4715" s="29"/>
      <c r="L4715" s="24"/>
      <c r="M4715" s="22"/>
      <c r="N4715" s="22"/>
      <c r="O4715" s="22"/>
      <c r="P4715" s="202" t="str">
        <f t="shared" si="1453"/>
        <v/>
      </c>
      <c r="Q4715" s="22"/>
      <c r="R4715" s="22"/>
      <c r="S4715" s="22"/>
      <c r="T4715" s="22"/>
      <c r="U4715" s="22"/>
      <c r="V4715" s="22"/>
      <c r="W4715" s="22"/>
      <c r="X4715" s="104"/>
      <c r="Y4715" s="195" t="str">
        <f t="shared" si="1450"/>
        <v/>
      </c>
      <c r="Z4715" s="196" t="str">
        <f t="shared" si="1451"/>
        <v/>
      </c>
      <c r="AA4715" s="22"/>
      <c r="AB4715" s="197" t="str">
        <f t="shared" si="1456"/>
        <v/>
      </c>
      <c r="AC4715" s="198" t="str">
        <f t="shared" si="1457"/>
        <v/>
      </c>
      <c r="AD4715" s="162"/>
      <c r="AE4715" s="199" t="str">
        <f t="shared" si="1458"/>
        <v/>
      </c>
      <c r="AF4715" s="199" t="str">
        <f>IF(AND(COUNTIFS($J$18:J4715,J4715)=1,AE4715=1),1,"")</f>
        <v/>
      </c>
      <c r="AG4715" s="199" t="str">
        <f>IF(C4715="","",IF(AND(COUNTIFS($J$18:J4715,J4715)=1,C4715&lt;&gt;""),1,""))</f>
        <v/>
      </c>
      <c r="AH4715" s="199" t="str">
        <f>IF(G4715="","",IF(AND(COUNTIFS($J$18:J4715,J4715)=1,G4715&lt;&gt;""),1,""))</f>
        <v/>
      </c>
      <c r="AI4715" s="200">
        <f t="shared" si="1459"/>
        <v>0</v>
      </c>
      <c r="AJ4715" s="200">
        <f t="shared" si="1460"/>
        <v>0</v>
      </c>
      <c r="AK4715" s="201" t="str">
        <f t="shared" si="1461"/>
        <v/>
      </c>
      <c r="AL4715" s="24"/>
      <c r="AM4715" s="24"/>
      <c r="AN4715" s="24"/>
      <c r="AO4715" s="24"/>
      <c r="AP4715" s="165" t="str">
        <f t="shared" si="1462"/>
        <v/>
      </c>
      <c r="AQ4715" s="203" t="str">
        <f t="shared" si="1463"/>
        <v/>
      </c>
      <c r="AR4715" s="206">
        <f t="shared" si="1464"/>
        <v>0</v>
      </c>
      <c r="AS4715" s="22" t="str">
        <f t="shared" si="1465"/>
        <v/>
      </c>
      <c r="AT4715" s="24" t="str">
        <f t="shared" si="1466"/>
        <v/>
      </c>
      <c r="AU4715" s="22" t="s">
        <v>3240</v>
      </c>
    </row>
    <row r="4716" spans="1:47">
      <c r="A4716" s="246" t="str">
        <f t="shared" si="1454"/>
        <v/>
      </c>
      <c r="B4716" s="23"/>
      <c r="C4716" s="23"/>
      <c r="D4716" s="202" t="str">
        <f t="shared" si="1455"/>
        <v/>
      </c>
      <c r="E4716" s="33" t="str">
        <f t="shared" si="1449"/>
        <v/>
      </c>
      <c r="F4716" s="23"/>
      <c r="G4716" s="23"/>
      <c r="H4716" s="29"/>
      <c r="I4716" s="204" t="str">
        <f t="shared" si="1452"/>
        <v/>
      </c>
      <c r="J4716" s="188"/>
      <c r="K4716" s="29"/>
      <c r="L4716" s="24"/>
      <c r="M4716" s="22"/>
      <c r="N4716" s="22"/>
      <c r="O4716" s="22"/>
      <c r="P4716" s="202" t="str">
        <f t="shared" si="1453"/>
        <v/>
      </c>
      <c r="Q4716" s="22"/>
      <c r="R4716" s="22"/>
      <c r="S4716" s="22"/>
      <c r="T4716" s="22"/>
      <c r="U4716" s="22"/>
      <c r="V4716" s="22"/>
      <c r="W4716" s="22"/>
      <c r="X4716" s="104"/>
      <c r="Y4716" s="195" t="str">
        <f t="shared" si="1450"/>
        <v/>
      </c>
      <c r="Z4716" s="196" t="str">
        <f t="shared" si="1451"/>
        <v/>
      </c>
      <c r="AA4716" s="22"/>
      <c r="AB4716" s="197" t="str">
        <f t="shared" si="1456"/>
        <v/>
      </c>
      <c r="AC4716" s="198" t="str">
        <f t="shared" si="1457"/>
        <v/>
      </c>
      <c r="AD4716" s="162"/>
      <c r="AE4716" s="199" t="str">
        <f t="shared" si="1458"/>
        <v/>
      </c>
      <c r="AF4716" s="199" t="str">
        <f>IF(AND(COUNTIFS($J$18:J4716,J4716)=1,AE4716=1),1,"")</f>
        <v/>
      </c>
      <c r="AG4716" s="199" t="str">
        <f>IF(C4716="","",IF(AND(COUNTIFS($J$18:J4716,J4716)=1,C4716&lt;&gt;""),1,""))</f>
        <v/>
      </c>
      <c r="AH4716" s="199" t="str">
        <f>IF(G4716="","",IF(AND(COUNTIFS($J$18:J4716,J4716)=1,G4716&lt;&gt;""),1,""))</f>
        <v/>
      </c>
      <c r="AI4716" s="200">
        <f t="shared" si="1459"/>
        <v>0</v>
      </c>
      <c r="AJ4716" s="200">
        <f t="shared" si="1460"/>
        <v>0</v>
      </c>
      <c r="AK4716" s="201" t="str">
        <f t="shared" si="1461"/>
        <v/>
      </c>
      <c r="AL4716" s="24"/>
      <c r="AM4716" s="24"/>
      <c r="AN4716" s="24"/>
      <c r="AO4716" s="24"/>
      <c r="AP4716" s="165" t="str">
        <f t="shared" si="1462"/>
        <v/>
      </c>
      <c r="AQ4716" s="203" t="str">
        <f t="shared" si="1463"/>
        <v/>
      </c>
      <c r="AR4716" s="206">
        <f t="shared" si="1464"/>
        <v>0</v>
      </c>
      <c r="AS4716" s="22" t="str">
        <f t="shared" si="1465"/>
        <v/>
      </c>
      <c r="AT4716" s="24" t="str">
        <f t="shared" si="1466"/>
        <v/>
      </c>
      <c r="AU4716" s="22" t="s">
        <v>3240</v>
      </c>
    </row>
    <row r="4717" spans="1:47">
      <c r="A4717" s="246" t="str">
        <f t="shared" si="1454"/>
        <v/>
      </c>
      <c r="B4717" s="23"/>
      <c r="C4717" s="23"/>
      <c r="D4717" s="202" t="str">
        <f t="shared" si="1455"/>
        <v/>
      </c>
      <c r="E4717" s="33" t="str">
        <f t="shared" si="1449"/>
        <v/>
      </c>
      <c r="F4717" s="23"/>
      <c r="G4717" s="23"/>
      <c r="H4717" s="29"/>
      <c r="I4717" s="204" t="str">
        <f t="shared" si="1452"/>
        <v/>
      </c>
      <c r="J4717" s="188"/>
      <c r="K4717" s="29"/>
      <c r="L4717" s="24"/>
      <c r="M4717" s="22"/>
      <c r="N4717" s="22"/>
      <c r="O4717" s="22"/>
      <c r="P4717" s="202" t="str">
        <f t="shared" si="1453"/>
        <v/>
      </c>
      <c r="Q4717" s="22"/>
      <c r="R4717" s="22"/>
      <c r="S4717" s="22"/>
      <c r="T4717" s="22"/>
      <c r="U4717" s="22"/>
      <c r="V4717" s="22"/>
      <c r="W4717" s="22"/>
      <c r="X4717" s="104"/>
      <c r="Y4717" s="195" t="str">
        <f t="shared" si="1450"/>
        <v/>
      </c>
      <c r="Z4717" s="196" t="str">
        <f t="shared" si="1451"/>
        <v/>
      </c>
      <c r="AA4717" s="22"/>
      <c r="AB4717" s="197" t="str">
        <f t="shared" si="1456"/>
        <v/>
      </c>
      <c r="AC4717" s="198" t="str">
        <f t="shared" si="1457"/>
        <v/>
      </c>
      <c r="AD4717" s="162"/>
      <c r="AE4717" s="199" t="str">
        <f t="shared" si="1458"/>
        <v/>
      </c>
      <c r="AF4717" s="199" t="str">
        <f>IF(AND(COUNTIFS($J$18:J4717,J4717)=1,AE4717=1),1,"")</f>
        <v/>
      </c>
      <c r="AG4717" s="199" t="str">
        <f>IF(C4717="","",IF(AND(COUNTIFS($J$18:J4717,J4717)=1,C4717&lt;&gt;""),1,""))</f>
        <v/>
      </c>
      <c r="AH4717" s="199" t="str">
        <f>IF(G4717="","",IF(AND(COUNTIFS($J$18:J4717,J4717)=1,G4717&lt;&gt;""),1,""))</f>
        <v/>
      </c>
      <c r="AI4717" s="200">
        <f t="shared" si="1459"/>
        <v>0</v>
      </c>
      <c r="AJ4717" s="200">
        <f t="shared" si="1460"/>
        <v>0</v>
      </c>
      <c r="AK4717" s="201" t="str">
        <f t="shared" si="1461"/>
        <v/>
      </c>
      <c r="AL4717" s="24"/>
      <c r="AM4717" s="24"/>
      <c r="AN4717" s="24"/>
      <c r="AO4717" s="24"/>
      <c r="AP4717" s="165" t="str">
        <f t="shared" si="1462"/>
        <v/>
      </c>
      <c r="AQ4717" s="203" t="str">
        <f t="shared" si="1463"/>
        <v/>
      </c>
      <c r="AR4717" s="206">
        <f t="shared" si="1464"/>
        <v>0</v>
      </c>
      <c r="AS4717" s="22" t="str">
        <f t="shared" si="1465"/>
        <v/>
      </c>
      <c r="AT4717" s="24" t="str">
        <f t="shared" si="1466"/>
        <v/>
      </c>
      <c r="AU4717" s="22" t="s">
        <v>3240</v>
      </c>
    </row>
    <row r="4718" spans="1:47">
      <c r="A4718" s="246" t="str">
        <f t="shared" si="1454"/>
        <v/>
      </c>
      <c r="B4718" s="23"/>
      <c r="C4718" s="23"/>
      <c r="D4718" s="202" t="str">
        <f t="shared" si="1455"/>
        <v/>
      </c>
      <c r="E4718" s="33" t="str">
        <f t="shared" si="1449"/>
        <v/>
      </c>
      <c r="F4718" s="23"/>
      <c r="G4718" s="23"/>
      <c r="H4718" s="29"/>
      <c r="I4718" s="204" t="str">
        <f t="shared" si="1452"/>
        <v/>
      </c>
      <c r="J4718" s="188"/>
      <c r="K4718" s="29"/>
      <c r="L4718" s="24"/>
      <c r="M4718" s="22"/>
      <c r="N4718" s="22"/>
      <c r="O4718" s="22"/>
      <c r="P4718" s="202" t="str">
        <f t="shared" si="1453"/>
        <v/>
      </c>
      <c r="Q4718" s="22"/>
      <c r="R4718" s="22"/>
      <c r="S4718" s="22"/>
      <c r="T4718" s="22"/>
      <c r="U4718" s="22"/>
      <c r="V4718" s="22"/>
      <c r="W4718" s="22"/>
      <c r="X4718" s="104"/>
      <c r="Y4718" s="195" t="str">
        <f t="shared" si="1450"/>
        <v/>
      </c>
      <c r="Z4718" s="196" t="str">
        <f t="shared" si="1451"/>
        <v/>
      </c>
      <c r="AA4718" s="22"/>
      <c r="AB4718" s="197" t="str">
        <f t="shared" si="1456"/>
        <v/>
      </c>
      <c r="AC4718" s="198" t="str">
        <f t="shared" si="1457"/>
        <v/>
      </c>
      <c r="AD4718" s="162"/>
      <c r="AE4718" s="199" t="str">
        <f t="shared" si="1458"/>
        <v/>
      </c>
      <c r="AF4718" s="199" t="str">
        <f>IF(AND(COUNTIFS($J$18:J4718,J4718)=1,AE4718=1),1,"")</f>
        <v/>
      </c>
      <c r="AG4718" s="199" t="str">
        <f>IF(C4718="","",IF(AND(COUNTIFS($J$18:J4718,J4718)=1,C4718&lt;&gt;""),1,""))</f>
        <v/>
      </c>
      <c r="AH4718" s="199" t="str">
        <f>IF(G4718="","",IF(AND(COUNTIFS($J$18:J4718,J4718)=1,G4718&lt;&gt;""),1,""))</f>
        <v/>
      </c>
      <c r="AI4718" s="200">
        <f t="shared" si="1459"/>
        <v>0</v>
      </c>
      <c r="AJ4718" s="200">
        <f t="shared" si="1460"/>
        <v>0</v>
      </c>
      <c r="AK4718" s="201" t="str">
        <f t="shared" si="1461"/>
        <v/>
      </c>
      <c r="AL4718" s="24"/>
      <c r="AM4718" s="24"/>
      <c r="AN4718" s="24"/>
      <c r="AO4718" s="24"/>
      <c r="AP4718" s="165" t="str">
        <f t="shared" si="1462"/>
        <v/>
      </c>
      <c r="AQ4718" s="203" t="str">
        <f t="shared" si="1463"/>
        <v/>
      </c>
      <c r="AR4718" s="206">
        <f t="shared" si="1464"/>
        <v>0</v>
      </c>
      <c r="AS4718" s="22" t="str">
        <f t="shared" si="1465"/>
        <v/>
      </c>
      <c r="AT4718" s="24" t="str">
        <f t="shared" si="1466"/>
        <v/>
      </c>
      <c r="AU4718" s="22" t="s">
        <v>3240</v>
      </c>
    </row>
    <row r="4719" spans="1:47">
      <c r="A4719" s="246" t="str">
        <f t="shared" si="1454"/>
        <v/>
      </c>
      <c r="B4719" s="23"/>
      <c r="C4719" s="23"/>
      <c r="D4719" s="202" t="str">
        <f t="shared" si="1455"/>
        <v/>
      </c>
      <c r="E4719" s="33" t="str">
        <f t="shared" si="1449"/>
        <v/>
      </c>
      <c r="F4719" s="23"/>
      <c r="G4719" s="23"/>
      <c r="H4719" s="29"/>
      <c r="I4719" s="204" t="str">
        <f t="shared" si="1452"/>
        <v/>
      </c>
      <c r="J4719" s="188"/>
      <c r="K4719" s="29"/>
      <c r="L4719" s="24"/>
      <c r="M4719" s="22"/>
      <c r="N4719" s="22"/>
      <c r="O4719" s="22"/>
      <c r="P4719" s="202" t="str">
        <f t="shared" si="1453"/>
        <v/>
      </c>
      <c r="Q4719" s="22"/>
      <c r="R4719" s="22"/>
      <c r="S4719" s="22"/>
      <c r="T4719" s="22"/>
      <c r="U4719" s="22"/>
      <c r="V4719" s="22"/>
      <c r="W4719" s="22"/>
      <c r="X4719" s="104"/>
      <c r="Y4719" s="195" t="str">
        <f t="shared" si="1450"/>
        <v/>
      </c>
      <c r="Z4719" s="196" t="str">
        <f t="shared" si="1451"/>
        <v/>
      </c>
      <c r="AA4719" s="22"/>
      <c r="AB4719" s="197" t="str">
        <f t="shared" si="1456"/>
        <v/>
      </c>
      <c r="AC4719" s="198" t="str">
        <f t="shared" si="1457"/>
        <v/>
      </c>
      <c r="AD4719" s="162"/>
      <c r="AE4719" s="199" t="str">
        <f t="shared" si="1458"/>
        <v/>
      </c>
      <c r="AF4719" s="199" t="str">
        <f>IF(AND(COUNTIFS($J$18:J4719,J4719)=1,AE4719=1),1,"")</f>
        <v/>
      </c>
      <c r="AG4719" s="199" t="str">
        <f>IF(C4719="","",IF(AND(COUNTIFS($J$18:J4719,J4719)=1,C4719&lt;&gt;""),1,""))</f>
        <v/>
      </c>
      <c r="AH4719" s="199" t="str">
        <f>IF(G4719="","",IF(AND(COUNTIFS($J$18:J4719,J4719)=1,G4719&lt;&gt;""),1,""))</f>
        <v/>
      </c>
      <c r="AI4719" s="200">
        <f t="shared" si="1459"/>
        <v>0</v>
      </c>
      <c r="AJ4719" s="200">
        <f t="shared" si="1460"/>
        <v>0</v>
      </c>
      <c r="AK4719" s="201" t="str">
        <f t="shared" si="1461"/>
        <v/>
      </c>
      <c r="AL4719" s="24"/>
      <c r="AM4719" s="24"/>
      <c r="AN4719" s="24"/>
      <c r="AO4719" s="24"/>
      <c r="AP4719" s="165" t="str">
        <f t="shared" si="1462"/>
        <v/>
      </c>
      <c r="AQ4719" s="203" t="str">
        <f t="shared" si="1463"/>
        <v/>
      </c>
      <c r="AR4719" s="206">
        <f t="shared" si="1464"/>
        <v>0</v>
      </c>
      <c r="AS4719" s="22" t="str">
        <f t="shared" si="1465"/>
        <v/>
      </c>
      <c r="AT4719" s="24" t="str">
        <f t="shared" si="1466"/>
        <v/>
      </c>
      <c r="AU4719" s="22" t="s">
        <v>3240</v>
      </c>
    </row>
    <row r="4720" spans="1:47">
      <c r="A4720" s="246" t="str">
        <f t="shared" si="1454"/>
        <v/>
      </c>
      <c r="B4720" s="23"/>
      <c r="C4720" s="23"/>
      <c r="D4720" s="202" t="str">
        <f t="shared" si="1455"/>
        <v/>
      </c>
      <c r="E4720" s="33" t="str">
        <f t="shared" si="1449"/>
        <v/>
      </c>
      <c r="F4720" s="23"/>
      <c r="G4720" s="23"/>
      <c r="H4720" s="29"/>
      <c r="I4720" s="204" t="str">
        <f t="shared" si="1452"/>
        <v/>
      </c>
      <c r="J4720" s="188"/>
      <c r="K4720" s="29"/>
      <c r="L4720" s="24"/>
      <c r="M4720" s="22"/>
      <c r="N4720" s="22"/>
      <c r="O4720" s="22"/>
      <c r="P4720" s="202" t="str">
        <f t="shared" si="1453"/>
        <v/>
      </c>
      <c r="Q4720" s="22"/>
      <c r="R4720" s="22"/>
      <c r="S4720" s="22"/>
      <c r="T4720" s="22"/>
      <c r="U4720" s="22"/>
      <c r="V4720" s="22"/>
      <c r="W4720" s="22"/>
      <c r="X4720" s="104"/>
      <c r="Y4720" s="195" t="str">
        <f t="shared" si="1450"/>
        <v/>
      </c>
      <c r="Z4720" s="196" t="str">
        <f t="shared" si="1451"/>
        <v/>
      </c>
      <c r="AA4720" s="22"/>
      <c r="AB4720" s="197" t="str">
        <f t="shared" si="1456"/>
        <v/>
      </c>
      <c r="AC4720" s="198" t="str">
        <f t="shared" si="1457"/>
        <v/>
      </c>
      <c r="AD4720" s="162"/>
      <c r="AE4720" s="199" t="str">
        <f t="shared" si="1458"/>
        <v/>
      </c>
      <c r="AF4720" s="199" t="str">
        <f>IF(AND(COUNTIFS($J$18:J4720,J4720)=1,AE4720=1),1,"")</f>
        <v/>
      </c>
      <c r="AG4720" s="199" t="str">
        <f>IF(C4720="","",IF(AND(COUNTIFS($J$18:J4720,J4720)=1,C4720&lt;&gt;""),1,""))</f>
        <v/>
      </c>
      <c r="AH4720" s="199" t="str">
        <f>IF(G4720="","",IF(AND(COUNTIFS($J$18:J4720,J4720)=1,G4720&lt;&gt;""),1,""))</f>
        <v/>
      </c>
      <c r="AI4720" s="200">
        <f t="shared" si="1459"/>
        <v>0</v>
      </c>
      <c r="AJ4720" s="200">
        <f t="shared" si="1460"/>
        <v>0</v>
      </c>
      <c r="AK4720" s="201" t="str">
        <f t="shared" si="1461"/>
        <v/>
      </c>
      <c r="AL4720" s="24"/>
      <c r="AM4720" s="24"/>
      <c r="AN4720" s="24"/>
      <c r="AO4720" s="24"/>
      <c r="AP4720" s="165" t="str">
        <f t="shared" si="1462"/>
        <v/>
      </c>
      <c r="AQ4720" s="203" t="str">
        <f t="shared" si="1463"/>
        <v/>
      </c>
      <c r="AR4720" s="206">
        <f t="shared" si="1464"/>
        <v>0</v>
      </c>
      <c r="AS4720" s="22" t="str">
        <f t="shared" si="1465"/>
        <v/>
      </c>
      <c r="AT4720" s="24" t="str">
        <f t="shared" si="1466"/>
        <v/>
      </c>
      <c r="AU4720" s="22" t="s">
        <v>3240</v>
      </c>
    </row>
    <row r="4721" spans="1:47">
      <c r="A4721" s="246" t="str">
        <f t="shared" si="1454"/>
        <v/>
      </c>
      <c r="B4721" s="23"/>
      <c r="C4721" s="23"/>
      <c r="D4721" s="202" t="str">
        <f t="shared" si="1455"/>
        <v/>
      </c>
      <c r="E4721" s="33" t="str">
        <f t="shared" si="1449"/>
        <v/>
      </c>
      <c r="F4721" s="23"/>
      <c r="G4721" s="23"/>
      <c r="H4721" s="29"/>
      <c r="I4721" s="204" t="str">
        <f t="shared" si="1452"/>
        <v/>
      </c>
      <c r="J4721" s="188"/>
      <c r="K4721" s="29"/>
      <c r="L4721" s="24"/>
      <c r="M4721" s="22"/>
      <c r="N4721" s="22"/>
      <c r="O4721" s="22"/>
      <c r="P4721" s="202" t="str">
        <f t="shared" si="1453"/>
        <v/>
      </c>
      <c r="Q4721" s="22"/>
      <c r="R4721" s="22"/>
      <c r="S4721" s="22"/>
      <c r="T4721" s="22"/>
      <c r="U4721" s="22"/>
      <c r="V4721" s="22"/>
      <c r="W4721" s="22"/>
      <c r="X4721" s="104"/>
      <c r="Y4721" s="195" t="str">
        <f t="shared" si="1450"/>
        <v/>
      </c>
      <c r="Z4721" s="196" t="str">
        <f t="shared" si="1451"/>
        <v/>
      </c>
      <c r="AA4721" s="22"/>
      <c r="AB4721" s="197" t="str">
        <f t="shared" si="1456"/>
        <v/>
      </c>
      <c r="AC4721" s="198" t="str">
        <f t="shared" si="1457"/>
        <v/>
      </c>
      <c r="AD4721" s="162"/>
      <c r="AE4721" s="199" t="str">
        <f t="shared" si="1458"/>
        <v/>
      </c>
      <c r="AF4721" s="199" t="str">
        <f>IF(AND(COUNTIFS($J$18:J4721,J4721)=1,AE4721=1),1,"")</f>
        <v/>
      </c>
      <c r="AG4721" s="199" t="str">
        <f>IF(C4721="","",IF(AND(COUNTIFS($J$18:J4721,J4721)=1,C4721&lt;&gt;""),1,""))</f>
        <v/>
      </c>
      <c r="AH4721" s="199" t="str">
        <f>IF(G4721="","",IF(AND(COUNTIFS($J$18:J4721,J4721)=1,G4721&lt;&gt;""),1,""))</f>
        <v/>
      </c>
      <c r="AI4721" s="200">
        <f t="shared" si="1459"/>
        <v>0</v>
      </c>
      <c r="AJ4721" s="200">
        <f t="shared" si="1460"/>
        <v>0</v>
      </c>
      <c r="AK4721" s="201" t="str">
        <f t="shared" si="1461"/>
        <v/>
      </c>
      <c r="AL4721" s="24"/>
      <c r="AM4721" s="24"/>
      <c r="AN4721" s="24"/>
      <c r="AO4721" s="24"/>
      <c r="AP4721" s="165" t="str">
        <f t="shared" si="1462"/>
        <v/>
      </c>
      <c r="AQ4721" s="203" t="str">
        <f t="shared" si="1463"/>
        <v/>
      </c>
      <c r="AR4721" s="206">
        <f t="shared" si="1464"/>
        <v>0</v>
      </c>
      <c r="AS4721" s="22" t="str">
        <f t="shared" si="1465"/>
        <v/>
      </c>
      <c r="AT4721" s="24" t="str">
        <f t="shared" si="1466"/>
        <v/>
      </c>
      <c r="AU4721" s="22" t="s">
        <v>3240</v>
      </c>
    </row>
    <row r="4722" spans="1:47">
      <c r="A4722" s="246" t="str">
        <f t="shared" si="1454"/>
        <v/>
      </c>
      <c r="B4722" s="23"/>
      <c r="C4722" s="23"/>
      <c r="D4722" s="202" t="str">
        <f t="shared" si="1455"/>
        <v/>
      </c>
      <c r="E4722" s="33" t="str">
        <f t="shared" si="1449"/>
        <v/>
      </c>
      <c r="F4722" s="23"/>
      <c r="G4722" s="23"/>
      <c r="H4722" s="29"/>
      <c r="I4722" s="204" t="str">
        <f t="shared" si="1452"/>
        <v/>
      </c>
      <c r="J4722" s="188"/>
      <c r="K4722" s="29"/>
      <c r="L4722" s="24"/>
      <c r="M4722" s="22"/>
      <c r="N4722" s="22"/>
      <c r="O4722" s="22"/>
      <c r="P4722" s="202" t="str">
        <f t="shared" si="1453"/>
        <v/>
      </c>
      <c r="Q4722" s="22"/>
      <c r="R4722" s="22"/>
      <c r="S4722" s="22"/>
      <c r="T4722" s="22"/>
      <c r="U4722" s="22"/>
      <c r="V4722" s="22"/>
      <c r="W4722" s="22"/>
      <c r="X4722" s="104"/>
      <c r="Y4722" s="195" t="str">
        <f t="shared" si="1450"/>
        <v/>
      </c>
      <c r="Z4722" s="196" t="str">
        <f t="shared" si="1451"/>
        <v/>
      </c>
      <c r="AA4722" s="22"/>
      <c r="AB4722" s="197" t="str">
        <f t="shared" si="1456"/>
        <v/>
      </c>
      <c r="AC4722" s="198" t="str">
        <f t="shared" si="1457"/>
        <v/>
      </c>
      <c r="AD4722" s="162"/>
      <c r="AE4722" s="199" t="str">
        <f t="shared" si="1458"/>
        <v/>
      </c>
      <c r="AF4722" s="199" t="str">
        <f>IF(AND(COUNTIFS($J$18:J4722,J4722)=1,AE4722=1),1,"")</f>
        <v/>
      </c>
      <c r="AG4722" s="199" t="str">
        <f>IF(C4722="","",IF(AND(COUNTIFS($J$18:J4722,J4722)=1,C4722&lt;&gt;""),1,""))</f>
        <v/>
      </c>
      <c r="AH4722" s="199" t="str">
        <f>IF(G4722="","",IF(AND(COUNTIFS($J$18:J4722,J4722)=1,G4722&lt;&gt;""),1,""))</f>
        <v/>
      </c>
      <c r="AI4722" s="200">
        <f t="shared" si="1459"/>
        <v>0</v>
      </c>
      <c r="AJ4722" s="200">
        <f t="shared" si="1460"/>
        <v>0</v>
      </c>
      <c r="AK4722" s="201" t="str">
        <f t="shared" si="1461"/>
        <v/>
      </c>
      <c r="AL4722" s="24"/>
      <c r="AM4722" s="24"/>
      <c r="AN4722" s="24"/>
      <c r="AO4722" s="24"/>
      <c r="AP4722" s="165" t="str">
        <f t="shared" si="1462"/>
        <v/>
      </c>
      <c r="AQ4722" s="203" t="str">
        <f t="shared" si="1463"/>
        <v/>
      </c>
      <c r="AR4722" s="206">
        <f t="shared" si="1464"/>
        <v>0</v>
      </c>
      <c r="AS4722" s="22" t="str">
        <f t="shared" si="1465"/>
        <v/>
      </c>
      <c r="AT4722" s="24" t="str">
        <f t="shared" si="1466"/>
        <v/>
      </c>
      <c r="AU4722" s="22" t="s">
        <v>3240</v>
      </c>
    </row>
    <row r="4723" spans="1:47">
      <c r="A4723" s="246" t="str">
        <f t="shared" si="1454"/>
        <v/>
      </c>
      <c r="B4723" s="23"/>
      <c r="C4723" s="23"/>
      <c r="D4723" s="202" t="str">
        <f t="shared" si="1455"/>
        <v/>
      </c>
      <c r="E4723" s="33" t="str">
        <f t="shared" si="1449"/>
        <v/>
      </c>
      <c r="F4723" s="23"/>
      <c r="G4723" s="23"/>
      <c r="H4723" s="29"/>
      <c r="I4723" s="204" t="str">
        <f t="shared" si="1452"/>
        <v/>
      </c>
      <c r="J4723" s="188"/>
      <c r="K4723" s="29"/>
      <c r="L4723" s="24"/>
      <c r="M4723" s="22"/>
      <c r="N4723" s="22"/>
      <c r="O4723" s="22"/>
      <c r="P4723" s="202" t="str">
        <f t="shared" si="1453"/>
        <v/>
      </c>
      <c r="Q4723" s="22"/>
      <c r="R4723" s="22"/>
      <c r="S4723" s="22"/>
      <c r="T4723" s="22"/>
      <c r="U4723" s="22"/>
      <c r="V4723" s="22"/>
      <c r="W4723" s="22"/>
      <c r="X4723" s="104"/>
      <c r="Y4723" s="195" t="str">
        <f t="shared" si="1450"/>
        <v/>
      </c>
      <c r="Z4723" s="196" t="str">
        <f t="shared" si="1451"/>
        <v/>
      </c>
      <c r="AA4723" s="22"/>
      <c r="AB4723" s="197" t="str">
        <f t="shared" si="1456"/>
        <v/>
      </c>
      <c r="AC4723" s="198" t="str">
        <f t="shared" si="1457"/>
        <v/>
      </c>
      <c r="AD4723" s="162"/>
      <c r="AE4723" s="199" t="str">
        <f t="shared" si="1458"/>
        <v/>
      </c>
      <c r="AF4723" s="199" t="str">
        <f>IF(AND(COUNTIFS($J$18:J4723,J4723)=1,AE4723=1),1,"")</f>
        <v/>
      </c>
      <c r="AG4723" s="199" t="str">
        <f>IF(C4723="","",IF(AND(COUNTIFS($J$18:J4723,J4723)=1,C4723&lt;&gt;""),1,""))</f>
        <v/>
      </c>
      <c r="AH4723" s="199" t="str">
        <f>IF(G4723="","",IF(AND(COUNTIFS($J$18:J4723,J4723)=1,G4723&lt;&gt;""),1,""))</f>
        <v/>
      </c>
      <c r="AI4723" s="200">
        <f t="shared" si="1459"/>
        <v>0</v>
      </c>
      <c r="AJ4723" s="200">
        <f t="shared" si="1460"/>
        <v>0</v>
      </c>
      <c r="AK4723" s="201" t="str">
        <f t="shared" si="1461"/>
        <v/>
      </c>
      <c r="AL4723" s="24"/>
      <c r="AM4723" s="24"/>
      <c r="AN4723" s="24"/>
      <c r="AO4723" s="24"/>
      <c r="AP4723" s="165" t="str">
        <f t="shared" si="1462"/>
        <v/>
      </c>
      <c r="AQ4723" s="203" t="str">
        <f t="shared" si="1463"/>
        <v/>
      </c>
      <c r="AR4723" s="206">
        <f t="shared" si="1464"/>
        <v>0</v>
      </c>
      <c r="AS4723" s="22" t="str">
        <f t="shared" si="1465"/>
        <v/>
      </c>
      <c r="AT4723" s="24" t="str">
        <f t="shared" si="1466"/>
        <v/>
      </c>
      <c r="AU4723" s="22" t="s">
        <v>3240</v>
      </c>
    </row>
    <row r="4724" spans="1:47">
      <c r="A4724" s="246" t="str">
        <f t="shared" si="1454"/>
        <v/>
      </c>
      <c r="B4724" s="23"/>
      <c r="C4724" s="23"/>
      <c r="D4724" s="202" t="str">
        <f t="shared" si="1455"/>
        <v/>
      </c>
      <c r="E4724" s="33" t="str">
        <f t="shared" si="1449"/>
        <v/>
      </c>
      <c r="F4724" s="23"/>
      <c r="G4724" s="23"/>
      <c r="H4724" s="29"/>
      <c r="I4724" s="204" t="str">
        <f t="shared" si="1452"/>
        <v/>
      </c>
      <c r="J4724" s="188"/>
      <c r="K4724" s="29"/>
      <c r="L4724" s="24"/>
      <c r="M4724" s="22"/>
      <c r="N4724" s="22"/>
      <c r="O4724" s="22"/>
      <c r="P4724" s="202" t="str">
        <f t="shared" si="1453"/>
        <v/>
      </c>
      <c r="Q4724" s="22"/>
      <c r="R4724" s="22"/>
      <c r="S4724" s="22"/>
      <c r="T4724" s="22"/>
      <c r="U4724" s="22"/>
      <c r="V4724" s="22"/>
      <c r="W4724" s="22"/>
      <c r="X4724" s="104"/>
      <c r="Y4724" s="195" t="str">
        <f t="shared" si="1450"/>
        <v/>
      </c>
      <c r="Z4724" s="196" t="str">
        <f t="shared" si="1451"/>
        <v/>
      </c>
      <c r="AA4724" s="22"/>
      <c r="AB4724" s="197" t="str">
        <f t="shared" si="1456"/>
        <v/>
      </c>
      <c r="AC4724" s="198" t="str">
        <f t="shared" si="1457"/>
        <v/>
      </c>
      <c r="AD4724" s="162"/>
      <c r="AE4724" s="199" t="str">
        <f t="shared" si="1458"/>
        <v/>
      </c>
      <c r="AF4724" s="199" t="str">
        <f>IF(AND(COUNTIFS($J$18:J4724,J4724)=1,AE4724=1),1,"")</f>
        <v/>
      </c>
      <c r="AG4724" s="199" t="str">
        <f>IF(C4724="","",IF(AND(COUNTIFS($J$18:J4724,J4724)=1,C4724&lt;&gt;""),1,""))</f>
        <v/>
      </c>
      <c r="AH4724" s="199" t="str">
        <f>IF(G4724="","",IF(AND(COUNTIFS($J$18:J4724,J4724)=1,G4724&lt;&gt;""),1,""))</f>
        <v/>
      </c>
      <c r="AI4724" s="200">
        <f t="shared" si="1459"/>
        <v>0</v>
      </c>
      <c r="AJ4724" s="200">
        <f t="shared" si="1460"/>
        <v>0</v>
      </c>
      <c r="AK4724" s="201" t="str">
        <f t="shared" si="1461"/>
        <v/>
      </c>
      <c r="AL4724" s="24"/>
      <c r="AM4724" s="24"/>
      <c r="AN4724" s="24"/>
      <c r="AO4724" s="24"/>
      <c r="AP4724" s="165" t="str">
        <f t="shared" si="1462"/>
        <v/>
      </c>
      <c r="AQ4724" s="203" t="str">
        <f t="shared" si="1463"/>
        <v/>
      </c>
      <c r="AR4724" s="206">
        <f t="shared" si="1464"/>
        <v>0</v>
      </c>
      <c r="AS4724" s="22" t="str">
        <f t="shared" si="1465"/>
        <v/>
      </c>
      <c r="AT4724" s="24" t="str">
        <f t="shared" si="1466"/>
        <v/>
      </c>
      <c r="AU4724" s="22" t="s">
        <v>3240</v>
      </c>
    </row>
    <row r="4725" spans="1:47">
      <c r="A4725" s="246" t="str">
        <f t="shared" si="1454"/>
        <v/>
      </c>
      <c r="B4725" s="23"/>
      <c r="C4725" s="23"/>
      <c r="D4725" s="202" t="str">
        <f t="shared" si="1455"/>
        <v/>
      </c>
      <c r="E4725" s="33" t="str">
        <f t="shared" si="1449"/>
        <v/>
      </c>
      <c r="F4725" s="23"/>
      <c r="G4725" s="23"/>
      <c r="H4725" s="29"/>
      <c r="I4725" s="204" t="str">
        <f t="shared" si="1452"/>
        <v/>
      </c>
      <c r="J4725" s="188"/>
      <c r="K4725" s="29"/>
      <c r="L4725" s="24"/>
      <c r="M4725" s="22"/>
      <c r="N4725" s="22"/>
      <c r="O4725" s="22"/>
      <c r="P4725" s="202" t="str">
        <f t="shared" si="1453"/>
        <v/>
      </c>
      <c r="Q4725" s="22"/>
      <c r="R4725" s="22"/>
      <c r="S4725" s="22"/>
      <c r="T4725" s="22"/>
      <c r="U4725" s="22"/>
      <c r="V4725" s="22"/>
      <c r="W4725" s="22"/>
      <c r="X4725" s="104"/>
      <c r="Y4725" s="195" t="str">
        <f t="shared" si="1450"/>
        <v/>
      </c>
      <c r="Z4725" s="196" t="str">
        <f t="shared" si="1451"/>
        <v/>
      </c>
      <c r="AA4725" s="22"/>
      <c r="AB4725" s="197" t="str">
        <f t="shared" si="1456"/>
        <v/>
      </c>
      <c r="AC4725" s="198" t="str">
        <f t="shared" si="1457"/>
        <v/>
      </c>
      <c r="AD4725" s="162"/>
      <c r="AE4725" s="199" t="str">
        <f t="shared" si="1458"/>
        <v/>
      </c>
      <c r="AF4725" s="199" t="str">
        <f>IF(AND(COUNTIFS($J$18:J4725,J4725)=1,AE4725=1),1,"")</f>
        <v/>
      </c>
      <c r="AG4725" s="199" t="str">
        <f>IF(C4725="","",IF(AND(COUNTIFS($J$18:J4725,J4725)=1,C4725&lt;&gt;""),1,""))</f>
        <v/>
      </c>
      <c r="AH4725" s="199" t="str">
        <f>IF(G4725="","",IF(AND(COUNTIFS($J$18:J4725,J4725)=1,G4725&lt;&gt;""),1,""))</f>
        <v/>
      </c>
      <c r="AI4725" s="200">
        <f t="shared" si="1459"/>
        <v>0</v>
      </c>
      <c r="AJ4725" s="200">
        <f t="shared" si="1460"/>
        <v>0</v>
      </c>
      <c r="AK4725" s="201" t="str">
        <f t="shared" si="1461"/>
        <v/>
      </c>
      <c r="AL4725" s="24"/>
      <c r="AM4725" s="24"/>
      <c r="AN4725" s="24"/>
      <c r="AO4725" s="24"/>
      <c r="AP4725" s="165" t="str">
        <f t="shared" si="1462"/>
        <v/>
      </c>
      <c r="AQ4725" s="203" t="str">
        <f t="shared" si="1463"/>
        <v/>
      </c>
      <c r="AR4725" s="206">
        <f t="shared" si="1464"/>
        <v>0</v>
      </c>
      <c r="AS4725" s="22" t="str">
        <f t="shared" si="1465"/>
        <v/>
      </c>
      <c r="AT4725" s="24" t="str">
        <f t="shared" si="1466"/>
        <v/>
      </c>
      <c r="AU4725" s="22" t="s">
        <v>3240</v>
      </c>
    </row>
    <row r="4726" spans="1:47">
      <c r="A4726" s="246" t="str">
        <f t="shared" si="1454"/>
        <v/>
      </c>
      <c r="B4726" s="23"/>
      <c r="C4726" s="23"/>
      <c r="D4726" s="202" t="str">
        <f t="shared" si="1455"/>
        <v/>
      </c>
      <c r="E4726" s="33" t="str">
        <f t="shared" si="1449"/>
        <v/>
      </c>
      <c r="F4726" s="23"/>
      <c r="G4726" s="23"/>
      <c r="H4726" s="29"/>
      <c r="I4726" s="204" t="str">
        <f t="shared" si="1452"/>
        <v/>
      </c>
      <c r="J4726" s="188"/>
      <c r="K4726" s="29"/>
      <c r="L4726" s="24"/>
      <c r="M4726" s="22"/>
      <c r="N4726" s="22"/>
      <c r="O4726" s="22"/>
      <c r="P4726" s="202" t="str">
        <f t="shared" si="1453"/>
        <v/>
      </c>
      <c r="Q4726" s="22"/>
      <c r="R4726" s="22"/>
      <c r="S4726" s="22"/>
      <c r="T4726" s="22"/>
      <c r="U4726" s="22"/>
      <c r="V4726" s="22"/>
      <c r="W4726" s="22"/>
      <c r="X4726" s="104"/>
      <c r="Y4726" s="195" t="str">
        <f t="shared" si="1450"/>
        <v/>
      </c>
      <c r="Z4726" s="196" t="str">
        <f t="shared" si="1451"/>
        <v/>
      </c>
      <c r="AA4726" s="22"/>
      <c r="AB4726" s="197" t="str">
        <f t="shared" si="1456"/>
        <v/>
      </c>
      <c r="AC4726" s="198" t="str">
        <f t="shared" si="1457"/>
        <v/>
      </c>
      <c r="AD4726" s="162"/>
      <c r="AE4726" s="199" t="str">
        <f t="shared" si="1458"/>
        <v/>
      </c>
      <c r="AF4726" s="199" t="str">
        <f>IF(AND(COUNTIFS($J$18:J4726,J4726)=1,AE4726=1),1,"")</f>
        <v/>
      </c>
      <c r="AG4726" s="199" t="str">
        <f>IF(C4726="","",IF(AND(COUNTIFS($J$18:J4726,J4726)=1,C4726&lt;&gt;""),1,""))</f>
        <v/>
      </c>
      <c r="AH4726" s="199" t="str">
        <f>IF(G4726="","",IF(AND(COUNTIFS($J$18:J4726,J4726)=1,G4726&lt;&gt;""),1,""))</f>
        <v/>
      </c>
      <c r="AI4726" s="200">
        <f t="shared" si="1459"/>
        <v>0</v>
      </c>
      <c r="AJ4726" s="200">
        <f t="shared" si="1460"/>
        <v>0</v>
      </c>
      <c r="AK4726" s="201" t="str">
        <f t="shared" si="1461"/>
        <v/>
      </c>
      <c r="AL4726" s="24"/>
      <c r="AM4726" s="24"/>
      <c r="AN4726" s="24"/>
      <c r="AO4726" s="24"/>
      <c r="AP4726" s="165" t="str">
        <f t="shared" si="1462"/>
        <v/>
      </c>
      <c r="AQ4726" s="203" t="str">
        <f t="shared" si="1463"/>
        <v/>
      </c>
      <c r="AR4726" s="206">
        <f t="shared" si="1464"/>
        <v>0</v>
      </c>
      <c r="AS4726" s="22" t="str">
        <f t="shared" si="1465"/>
        <v/>
      </c>
      <c r="AT4726" s="24" t="str">
        <f t="shared" si="1466"/>
        <v/>
      </c>
      <c r="AU4726" s="22" t="s">
        <v>3240</v>
      </c>
    </row>
    <row r="4727" spans="1:47">
      <c r="A4727" s="246" t="str">
        <f t="shared" si="1454"/>
        <v/>
      </c>
      <c r="B4727" s="23"/>
      <c r="C4727" s="23"/>
      <c r="D4727" s="202" t="str">
        <f t="shared" si="1455"/>
        <v/>
      </c>
      <c r="E4727" s="33" t="str">
        <f t="shared" si="1449"/>
        <v/>
      </c>
      <c r="F4727" s="23"/>
      <c r="G4727" s="23"/>
      <c r="H4727" s="29"/>
      <c r="I4727" s="204" t="str">
        <f t="shared" si="1452"/>
        <v/>
      </c>
      <c r="J4727" s="188"/>
      <c r="K4727" s="29"/>
      <c r="L4727" s="24"/>
      <c r="M4727" s="22"/>
      <c r="N4727" s="22"/>
      <c r="O4727" s="22"/>
      <c r="P4727" s="202" t="str">
        <f t="shared" si="1453"/>
        <v/>
      </c>
      <c r="Q4727" s="22"/>
      <c r="R4727" s="22"/>
      <c r="S4727" s="22"/>
      <c r="T4727" s="22"/>
      <c r="U4727" s="22"/>
      <c r="V4727" s="22"/>
      <c r="W4727" s="22"/>
      <c r="X4727" s="104"/>
      <c r="Y4727" s="195" t="str">
        <f t="shared" si="1450"/>
        <v/>
      </c>
      <c r="Z4727" s="196" t="str">
        <f t="shared" si="1451"/>
        <v/>
      </c>
      <c r="AA4727" s="22"/>
      <c r="AB4727" s="197" t="str">
        <f t="shared" si="1456"/>
        <v/>
      </c>
      <c r="AC4727" s="198" t="str">
        <f t="shared" si="1457"/>
        <v/>
      </c>
      <c r="AD4727" s="162"/>
      <c r="AE4727" s="199" t="str">
        <f t="shared" si="1458"/>
        <v/>
      </c>
      <c r="AF4727" s="199" t="str">
        <f>IF(AND(COUNTIFS($J$18:J4727,J4727)=1,AE4727=1),1,"")</f>
        <v/>
      </c>
      <c r="AG4727" s="199" t="str">
        <f>IF(C4727="","",IF(AND(COUNTIFS($J$18:J4727,J4727)=1,C4727&lt;&gt;""),1,""))</f>
        <v/>
      </c>
      <c r="AH4727" s="199" t="str">
        <f>IF(G4727="","",IF(AND(COUNTIFS($J$18:J4727,J4727)=1,G4727&lt;&gt;""),1,""))</f>
        <v/>
      </c>
      <c r="AI4727" s="200">
        <f t="shared" si="1459"/>
        <v>0</v>
      </c>
      <c r="AJ4727" s="200">
        <f t="shared" si="1460"/>
        <v>0</v>
      </c>
      <c r="AK4727" s="201" t="str">
        <f t="shared" si="1461"/>
        <v/>
      </c>
      <c r="AL4727" s="24"/>
      <c r="AM4727" s="24"/>
      <c r="AN4727" s="24"/>
      <c r="AO4727" s="24"/>
      <c r="AP4727" s="165" t="str">
        <f t="shared" si="1462"/>
        <v/>
      </c>
      <c r="AQ4727" s="203" t="str">
        <f t="shared" si="1463"/>
        <v/>
      </c>
      <c r="AR4727" s="206">
        <f t="shared" si="1464"/>
        <v>0</v>
      </c>
      <c r="AS4727" s="22" t="str">
        <f t="shared" si="1465"/>
        <v/>
      </c>
      <c r="AT4727" s="24" t="str">
        <f t="shared" si="1466"/>
        <v/>
      </c>
      <c r="AU4727" s="22" t="s">
        <v>3240</v>
      </c>
    </row>
    <row r="4728" spans="1:47">
      <c r="A4728" s="246" t="str">
        <f t="shared" si="1454"/>
        <v/>
      </c>
      <c r="B4728" s="23"/>
      <c r="C4728" s="23"/>
      <c r="D4728" s="202" t="str">
        <f t="shared" si="1455"/>
        <v/>
      </c>
      <c r="E4728" s="33" t="str">
        <f t="shared" si="1449"/>
        <v/>
      </c>
      <c r="F4728" s="23"/>
      <c r="G4728" s="23"/>
      <c r="H4728" s="29"/>
      <c r="I4728" s="204" t="str">
        <f t="shared" si="1452"/>
        <v/>
      </c>
      <c r="J4728" s="188"/>
      <c r="K4728" s="29"/>
      <c r="L4728" s="24"/>
      <c r="M4728" s="22"/>
      <c r="N4728" s="22"/>
      <c r="O4728" s="22"/>
      <c r="P4728" s="202" t="str">
        <f t="shared" si="1453"/>
        <v/>
      </c>
      <c r="Q4728" s="22"/>
      <c r="R4728" s="22"/>
      <c r="S4728" s="22"/>
      <c r="T4728" s="22"/>
      <c r="U4728" s="22"/>
      <c r="V4728" s="22"/>
      <c r="W4728" s="22"/>
      <c r="X4728" s="104"/>
      <c r="Y4728" s="195" t="str">
        <f t="shared" si="1450"/>
        <v/>
      </c>
      <c r="Z4728" s="196" t="str">
        <f t="shared" si="1451"/>
        <v/>
      </c>
      <c r="AA4728" s="22"/>
      <c r="AB4728" s="197" t="str">
        <f t="shared" si="1456"/>
        <v/>
      </c>
      <c r="AC4728" s="198" t="str">
        <f t="shared" si="1457"/>
        <v/>
      </c>
      <c r="AD4728" s="162"/>
      <c r="AE4728" s="199" t="str">
        <f t="shared" si="1458"/>
        <v/>
      </c>
      <c r="AF4728" s="199" t="str">
        <f>IF(AND(COUNTIFS($J$18:J4728,J4728)=1,AE4728=1),1,"")</f>
        <v/>
      </c>
      <c r="AG4728" s="199" t="str">
        <f>IF(C4728="","",IF(AND(COUNTIFS($J$18:J4728,J4728)=1,C4728&lt;&gt;""),1,""))</f>
        <v/>
      </c>
      <c r="AH4728" s="199" t="str">
        <f>IF(G4728="","",IF(AND(COUNTIFS($J$18:J4728,J4728)=1,G4728&lt;&gt;""),1,""))</f>
        <v/>
      </c>
      <c r="AI4728" s="200">
        <f t="shared" si="1459"/>
        <v>0</v>
      </c>
      <c r="AJ4728" s="200">
        <f t="shared" si="1460"/>
        <v>0</v>
      </c>
      <c r="AK4728" s="201" t="str">
        <f t="shared" si="1461"/>
        <v/>
      </c>
      <c r="AL4728" s="24"/>
      <c r="AM4728" s="24"/>
      <c r="AN4728" s="24"/>
      <c r="AO4728" s="24"/>
      <c r="AP4728" s="165" t="str">
        <f t="shared" si="1462"/>
        <v/>
      </c>
      <c r="AQ4728" s="203" t="str">
        <f t="shared" si="1463"/>
        <v/>
      </c>
      <c r="AR4728" s="206">
        <f t="shared" si="1464"/>
        <v>0</v>
      </c>
      <c r="AS4728" s="22" t="str">
        <f t="shared" si="1465"/>
        <v/>
      </c>
      <c r="AT4728" s="24" t="str">
        <f t="shared" si="1466"/>
        <v/>
      </c>
      <c r="AU4728" s="22" t="s">
        <v>3240</v>
      </c>
    </row>
    <row r="4729" spans="1:47">
      <c r="A4729" s="246" t="str">
        <f t="shared" si="1454"/>
        <v/>
      </c>
      <c r="B4729" s="23"/>
      <c r="C4729" s="23"/>
      <c r="D4729" s="202" t="str">
        <f t="shared" si="1455"/>
        <v/>
      </c>
      <c r="E4729" s="33" t="str">
        <f t="shared" si="1449"/>
        <v/>
      </c>
      <c r="F4729" s="23"/>
      <c r="G4729" s="23"/>
      <c r="H4729" s="29"/>
      <c r="I4729" s="204" t="str">
        <f t="shared" si="1452"/>
        <v/>
      </c>
      <c r="J4729" s="188"/>
      <c r="K4729" s="29"/>
      <c r="L4729" s="24"/>
      <c r="M4729" s="22"/>
      <c r="N4729" s="22"/>
      <c r="O4729" s="22"/>
      <c r="P4729" s="202" t="str">
        <f t="shared" si="1453"/>
        <v/>
      </c>
      <c r="Q4729" s="22"/>
      <c r="R4729" s="22"/>
      <c r="S4729" s="22"/>
      <c r="T4729" s="22"/>
      <c r="U4729" s="22"/>
      <c r="V4729" s="22"/>
      <c r="W4729" s="22"/>
      <c r="X4729" s="104"/>
      <c r="Y4729" s="195" t="str">
        <f t="shared" si="1450"/>
        <v/>
      </c>
      <c r="Z4729" s="196" t="str">
        <f t="shared" si="1451"/>
        <v/>
      </c>
      <c r="AA4729" s="22"/>
      <c r="AB4729" s="197" t="str">
        <f t="shared" si="1456"/>
        <v/>
      </c>
      <c r="AC4729" s="198" t="str">
        <f t="shared" si="1457"/>
        <v/>
      </c>
      <c r="AD4729" s="162"/>
      <c r="AE4729" s="199" t="str">
        <f t="shared" si="1458"/>
        <v/>
      </c>
      <c r="AF4729" s="199" t="str">
        <f>IF(AND(COUNTIFS($J$18:J4729,J4729)=1,AE4729=1),1,"")</f>
        <v/>
      </c>
      <c r="AG4729" s="199" t="str">
        <f>IF(C4729="","",IF(AND(COUNTIFS($J$18:J4729,J4729)=1,C4729&lt;&gt;""),1,""))</f>
        <v/>
      </c>
      <c r="AH4729" s="199" t="str">
        <f>IF(G4729="","",IF(AND(COUNTIFS($J$18:J4729,J4729)=1,G4729&lt;&gt;""),1,""))</f>
        <v/>
      </c>
      <c r="AI4729" s="200">
        <f t="shared" si="1459"/>
        <v>0</v>
      </c>
      <c r="AJ4729" s="200">
        <f t="shared" si="1460"/>
        <v>0</v>
      </c>
      <c r="AK4729" s="201" t="str">
        <f t="shared" si="1461"/>
        <v/>
      </c>
      <c r="AL4729" s="24"/>
      <c r="AM4729" s="24"/>
      <c r="AN4729" s="24"/>
      <c r="AO4729" s="24"/>
      <c r="AP4729" s="165" t="str">
        <f t="shared" si="1462"/>
        <v/>
      </c>
      <c r="AQ4729" s="203" t="str">
        <f t="shared" si="1463"/>
        <v/>
      </c>
      <c r="AR4729" s="206">
        <f t="shared" si="1464"/>
        <v>0</v>
      </c>
      <c r="AS4729" s="22" t="str">
        <f t="shared" si="1465"/>
        <v/>
      </c>
      <c r="AT4729" s="24" t="str">
        <f t="shared" si="1466"/>
        <v/>
      </c>
      <c r="AU4729" s="22" t="s">
        <v>3240</v>
      </c>
    </row>
    <row r="4730" spans="1:47">
      <c r="A4730" s="246" t="str">
        <f t="shared" si="1454"/>
        <v/>
      </c>
      <c r="B4730" s="23"/>
      <c r="C4730" s="23"/>
      <c r="D4730" s="202" t="str">
        <f t="shared" si="1455"/>
        <v/>
      </c>
      <c r="E4730" s="33" t="str">
        <f t="shared" si="1449"/>
        <v/>
      </c>
      <c r="F4730" s="23"/>
      <c r="G4730" s="23"/>
      <c r="H4730" s="29"/>
      <c r="I4730" s="204" t="str">
        <f t="shared" si="1452"/>
        <v/>
      </c>
      <c r="J4730" s="188"/>
      <c r="K4730" s="29"/>
      <c r="L4730" s="24"/>
      <c r="M4730" s="22"/>
      <c r="N4730" s="22"/>
      <c r="O4730" s="22"/>
      <c r="P4730" s="202" t="str">
        <f t="shared" si="1453"/>
        <v/>
      </c>
      <c r="Q4730" s="22"/>
      <c r="R4730" s="22"/>
      <c r="S4730" s="22"/>
      <c r="T4730" s="22"/>
      <c r="U4730" s="22"/>
      <c r="V4730" s="22"/>
      <c r="W4730" s="22"/>
      <c r="X4730" s="104"/>
      <c r="Y4730" s="195" t="str">
        <f t="shared" si="1450"/>
        <v/>
      </c>
      <c r="Z4730" s="196" t="str">
        <f t="shared" si="1451"/>
        <v/>
      </c>
      <c r="AA4730" s="22"/>
      <c r="AB4730" s="197" t="str">
        <f t="shared" si="1456"/>
        <v/>
      </c>
      <c r="AC4730" s="198" t="str">
        <f t="shared" si="1457"/>
        <v/>
      </c>
      <c r="AD4730" s="162"/>
      <c r="AE4730" s="199" t="str">
        <f t="shared" si="1458"/>
        <v/>
      </c>
      <c r="AF4730" s="199" t="str">
        <f>IF(AND(COUNTIFS($J$18:J4730,J4730)=1,AE4730=1),1,"")</f>
        <v/>
      </c>
      <c r="AG4730" s="199" t="str">
        <f>IF(C4730="","",IF(AND(COUNTIFS($J$18:J4730,J4730)=1,C4730&lt;&gt;""),1,""))</f>
        <v/>
      </c>
      <c r="AH4730" s="199" t="str">
        <f>IF(G4730="","",IF(AND(COUNTIFS($J$18:J4730,J4730)=1,G4730&lt;&gt;""),1,""))</f>
        <v/>
      </c>
      <c r="AI4730" s="200">
        <f t="shared" si="1459"/>
        <v>0</v>
      </c>
      <c r="AJ4730" s="200">
        <f t="shared" si="1460"/>
        <v>0</v>
      </c>
      <c r="AK4730" s="201" t="str">
        <f t="shared" si="1461"/>
        <v/>
      </c>
      <c r="AL4730" s="24"/>
      <c r="AM4730" s="24"/>
      <c r="AN4730" s="24"/>
      <c r="AO4730" s="24"/>
      <c r="AP4730" s="165" t="str">
        <f t="shared" si="1462"/>
        <v/>
      </c>
      <c r="AQ4730" s="203" t="str">
        <f t="shared" si="1463"/>
        <v/>
      </c>
      <c r="AR4730" s="206">
        <f t="shared" si="1464"/>
        <v>0</v>
      </c>
      <c r="AS4730" s="22" t="str">
        <f t="shared" si="1465"/>
        <v/>
      </c>
      <c r="AT4730" s="24" t="str">
        <f t="shared" si="1466"/>
        <v/>
      </c>
      <c r="AU4730" s="22" t="s">
        <v>3240</v>
      </c>
    </row>
    <row r="4731" spans="1:47">
      <c r="A4731" s="246" t="str">
        <f t="shared" si="1454"/>
        <v/>
      </c>
      <c r="B4731" s="23"/>
      <c r="C4731" s="23"/>
      <c r="D4731" s="202" t="str">
        <f t="shared" si="1455"/>
        <v/>
      </c>
      <c r="E4731" s="33" t="str">
        <f t="shared" si="1449"/>
        <v/>
      </c>
      <c r="F4731" s="23"/>
      <c r="G4731" s="23"/>
      <c r="H4731" s="29"/>
      <c r="I4731" s="204" t="str">
        <f t="shared" si="1452"/>
        <v/>
      </c>
      <c r="J4731" s="188"/>
      <c r="K4731" s="29"/>
      <c r="L4731" s="24"/>
      <c r="M4731" s="22"/>
      <c r="N4731" s="22"/>
      <c r="O4731" s="22"/>
      <c r="P4731" s="202" t="str">
        <f t="shared" si="1453"/>
        <v/>
      </c>
      <c r="Q4731" s="22"/>
      <c r="R4731" s="22"/>
      <c r="S4731" s="22"/>
      <c r="T4731" s="22"/>
      <c r="U4731" s="22"/>
      <c r="V4731" s="22"/>
      <c r="W4731" s="22"/>
      <c r="X4731" s="104"/>
      <c r="Y4731" s="195" t="str">
        <f t="shared" si="1450"/>
        <v/>
      </c>
      <c r="Z4731" s="196" t="str">
        <f t="shared" si="1451"/>
        <v/>
      </c>
      <c r="AA4731" s="22"/>
      <c r="AB4731" s="197" t="str">
        <f t="shared" si="1456"/>
        <v/>
      </c>
      <c r="AC4731" s="198" t="str">
        <f t="shared" si="1457"/>
        <v/>
      </c>
      <c r="AD4731" s="162"/>
      <c r="AE4731" s="199" t="str">
        <f t="shared" si="1458"/>
        <v/>
      </c>
      <c r="AF4731" s="199" t="str">
        <f>IF(AND(COUNTIFS($J$18:J4731,J4731)=1,AE4731=1),1,"")</f>
        <v/>
      </c>
      <c r="AG4731" s="199" t="str">
        <f>IF(C4731="","",IF(AND(COUNTIFS($J$18:J4731,J4731)=1,C4731&lt;&gt;""),1,""))</f>
        <v/>
      </c>
      <c r="AH4731" s="199" t="str">
        <f>IF(G4731="","",IF(AND(COUNTIFS($J$18:J4731,J4731)=1,G4731&lt;&gt;""),1,""))</f>
        <v/>
      </c>
      <c r="AI4731" s="200">
        <f t="shared" si="1459"/>
        <v>0</v>
      </c>
      <c r="AJ4731" s="200">
        <f t="shared" si="1460"/>
        <v>0</v>
      </c>
      <c r="AK4731" s="201" t="str">
        <f t="shared" si="1461"/>
        <v/>
      </c>
      <c r="AL4731" s="24"/>
      <c r="AM4731" s="24"/>
      <c r="AN4731" s="24"/>
      <c r="AO4731" s="24"/>
      <c r="AP4731" s="165" t="str">
        <f t="shared" si="1462"/>
        <v/>
      </c>
      <c r="AQ4731" s="203" t="str">
        <f t="shared" si="1463"/>
        <v/>
      </c>
      <c r="AR4731" s="206">
        <f t="shared" si="1464"/>
        <v>0</v>
      </c>
      <c r="AS4731" s="22" t="str">
        <f t="shared" si="1465"/>
        <v/>
      </c>
      <c r="AT4731" s="24" t="str">
        <f t="shared" si="1466"/>
        <v/>
      </c>
      <c r="AU4731" s="22" t="s">
        <v>3240</v>
      </c>
    </row>
    <row r="4732" spans="1:47">
      <c r="A4732" s="246" t="str">
        <f t="shared" si="1454"/>
        <v/>
      </c>
      <c r="B4732" s="23"/>
      <c r="C4732" s="23"/>
      <c r="D4732" s="202" t="str">
        <f t="shared" si="1455"/>
        <v/>
      </c>
      <c r="E4732" s="33" t="str">
        <f t="shared" si="1449"/>
        <v/>
      </c>
      <c r="F4732" s="23"/>
      <c r="G4732" s="23"/>
      <c r="H4732" s="29"/>
      <c r="I4732" s="204" t="str">
        <f t="shared" si="1452"/>
        <v/>
      </c>
      <c r="J4732" s="188"/>
      <c r="K4732" s="29"/>
      <c r="L4732" s="24"/>
      <c r="M4732" s="22"/>
      <c r="N4732" s="22"/>
      <c r="O4732" s="22"/>
      <c r="P4732" s="202" t="str">
        <f t="shared" si="1453"/>
        <v/>
      </c>
      <c r="Q4732" s="22"/>
      <c r="R4732" s="22"/>
      <c r="S4732" s="22"/>
      <c r="T4732" s="22"/>
      <c r="U4732" s="22"/>
      <c r="V4732" s="22"/>
      <c r="W4732" s="22"/>
      <c r="X4732" s="104"/>
      <c r="Y4732" s="195" t="str">
        <f t="shared" si="1450"/>
        <v/>
      </c>
      <c r="Z4732" s="196" t="str">
        <f t="shared" si="1451"/>
        <v/>
      </c>
      <c r="AA4732" s="22"/>
      <c r="AB4732" s="197" t="str">
        <f t="shared" si="1456"/>
        <v/>
      </c>
      <c r="AC4732" s="198" t="str">
        <f t="shared" si="1457"/>
        <v/>
      </c>
      <c r="AD4732" s="162"/>
      <c r="AE4732" s="199" t="str">
        <f t="shared" si="1458"/>
        <v/>
      </c>
      <c r="AF4732" s="199" t="str">
        <f>IF(AND(COUNTIFS($J$18:J4732,J4732)=1,AE4732=1),1,"")</f>
        <v/>
      </c>
      <c r="AG4732" s="199" t="str">
        <f>IF(C4732="","",IF(AND(COUNTIFS($J$18:J4732,J4732)=1,C4732&lt;&gt;""),1,""))</f>
        <v/>
      </c>
      <c r="AH4732" s="199" t="str">
        <f>IF(G4732="","",IF(AND(COUNTIFS($J$18:J4732,J4732)=1,G4732&lt;&gt;""),1,""))</f>
        <v/>
      </c>
      <c r="AI4732" s="200">
        <f t="shared" si="1459"/>
        <v>0</v>
      </c>
      <c r="AJ4732" s="200">
        <f t="shared" si="1460"/>
        <v>0</v>
      </c>
      <c r="AK4732" s="201" t="str">
        <f t="shared" si="1461"/>
        <v/>
      </c>
      <c r="AL4732" s="24"/>
      <c r="AM4732" s="24"/>
      <c r="AN4732" s="24"/>
      <c r="AO4732" s="24"/>
      <c r="AP4732" s="165" t="str">
        <f t="shared" si="1462"/>
        <v/>
      </c>
      <c r="AQ4732" s="203" t="str">
        <f t="shared" si="1463"/>
        <v/>
      </c>
      <c r="AR4732" s="206">
        <f t="shared" si="1464"/>
        <v>0</v>
      </c>
      <c r="AS4732" s="22" t="str">
        <f t="shared" si="1465"/>
        <v/>
      </c>
      <c r="AT4732" s="24" t="str">
        <f t="shared" si="1466"/>
        <v/>
      </c>
      <c r="AU4732" s="22" t="s">
        <v>3240</v>
      </c>
    </row>
    <row r="4733" spans="1:47">
      <c r="A4733" s="246" t="str">
        <f t="shared" si="1454"/>
        <v/>
      </c>
      <c r="B4733" s="23"/>
      <c r="C4733" s="23"/>
      <c r="D4733" s="202" t="str">
        <f t="shared" si="1455"/>
        <v/>
      </c>
      <c r="E4733" s="33" t="str">
        <f t="shared" si="1449"/>
        <v/>
      </c>
      <c r="F4733" s="23"/>
      <c r="G4733" s="23"/>
      <c r="H4733" s="29"/>
      <c r="I4733" s="204" t="str">
        <f t="shared" si="1452"/>
        <v/>
      </c>
      <c r="J4733" s="188"/>
      <c r="K4733" s="29"/>
      <c r="L4733" s="24"/>
      <c r="M4733" s="22"/>
      <c r="N4733" s="22"/>
      <c r="O4733" s="22"/>
      <c r="P4733" s="202" t="str">
        <f t="shared" si="1453"/>
        <v/>
      </c>
      <c r="Q4733" s="22"/>
      <c r="R4733" s="22"/>
      <c r="S4733" s="22"/>
      <c r="T4733" s="22"/>
      <c r="U4733" s="22"/>
      <c r="V4733" s="22"/>
      <c r="W4733" s="22"/>
      <c r="X4733" s="104"/>
      <c r="Y4733" s="195" t="str">
        <f t="shared" si="1450"/>
        <v/>
      </c>
      <c r="Z4733" s="196" t="str">
        <f t="shared" si="1451"/>
        <v/>
      </c>
      <c r="AA4733" s="22"/>
      <c r="AB4733" s="197" t="str">
        <f t="shared" si="1456"/>
        <v/>
      </c>
      <c r="AC4733" s="198" t="str">
        <f t="shared" si="1457"/>
        <v/>
      </c>
      <c r="AD4733" s="162"/>
      <c r="AE4733" s="199" t="str">
        <f t="shared" si="1458"/>
        <v/>
      </c>
      <c r="AF4733" s="199" t="str">
        <f>IF(AND(COUNTIFS($J$18:J4733,J4733)=1,AE4733=1),1,"")</f>
        <v/>
      </c>
      <c r="AG4733" s="199" t="str">
        <f>IF(C4733="","",IF(AND(COUNTIFS($J$18:J4733,J4733)=1,C4733&lt;&gt;""),1,""))</f>
        <v/>
      </c>
      <c r="AH4733" s="199" t="str">
        <f>IF(G4733="","",IF(AND(COUNTIFS($J$18:J4733,J4733)=1,G4733&lt;&gt;""),1,""))</f>
        <v/>
      </c>
      <c r="AI4733" s="200">
        <f t="shared" si="1459"/>
        <v>0</v>
      </c>
      <c r="AJ4733" s="200">
        <f t="shared" si="1460"/>
        <v>0</v>
      </c>
      <c r="AK4733" s="201" t="str">
        <f t="shared" si="1461"/>
        <v/>
      </c>
      <c r="AL4733" s="24"/>
      <c r="AM4733" s="24"/>
      <c r="AN4733" s="24"/>
      <c r="AO4733" s="24"/>
      <c r="AP4733" s="165" t="str">
        <f t="shared" si="1462"/>
        <v/>
      </c>
      <c r="AQ4733" s="203" t="str">
        <f t="shared" si="1463"/>
        <v/>
      </c>
      <c r="AR4733" s="206">
        <f t="shared" si="1464"/>
        <v>0</v>
      </c>
      <c r="AS4733" s="22" t="str">
        <f t="shared" si="1465"/>
        <v/>
      </c>
      <c r="AT4733" s="24" t="str">
        <f t="shared" si="1466"/>
        <v/>
      </c>
      <c r="AU4733" s="22" t="s">
        <v>3240</v>
      </c>
    </row>
    <row r="4734" spans="1:47">
      <c r="A4734" s="246" t="str">
        <f t="shared" si="1454"/>
        <v/>
      </c>
      <c r="B4734" s="23"/>
      <c r="C4734" s="23"/>
      <c r="D4734" s="202" t="str">
        <f t="shared" si="1455"/>
        <v/>
      </c>
      <c r="E4734" s="33" t="str">
        <f t="shared" si="1449"/>
        <v/>
      </c>
      <c r="F4734" s="23"/>
      <c r="G4734" s="23"/>
      <c r="H4734" s="29"/>
      <c r="I4734" s="204" t="str">
        <f t="shared" si="1452"/>
        <v/>
      </c>
      <c r="J4734" s="188"/>
      <c r="K4734" s="29"/>
      <c r="L4734" s="24"/>
      <c r="M4734" s="22"/>
      <c r="N4734" s="22"/>
      <c r="O4734" s="22"/>
      <c r="P4734" s="202" t="str">
        <f t="shared" si="1453"/>
        <v/>
      </c>
      <c r="Q4734" s="22"/>
      <c r="R4734" s="22"/>
      <c r="S4734" s="22"/>
      <c r="T4734" s="22"/>
      <c r="U4734" s="22"/>
      <c r="V4734" s="22"/>
      <c r="W4734" s="22"/>
      <c r="X4734" s="104"/>
      <c r="Y4734" s="195" t="str">
        <f t="shared" si="1450"/>
        <v/>
      </c>
      <c r="Z4734" s="196" t="str">
        <f t="shared" si="1451"/>
        <v/>
      </c>
      <c r="AA4734" s="22"/>
      <c r="AB4734" s="197" t="str">
        <f t="shared" si="1456"/>
        <v/>
      </c>
      <c r="AC4734" s="198" t="str">
        <f t="shared" si="1457"/>
        <v/>
      </c>
      <c r="AD4734" s="162"/>
      <c r="AE4734" s="199" t="str">
        <f t="shared" si="1458"/>
        <v/>
      </c>
      <c r="AF4734" s="199" t="str">
        <f>IF(AND(COUNTIFS($J$18:J4734,J4734)=1,AE4734=1),1,"")</f>
        <v/>
      </c>
      <c r="AG4734" s="199" t="str">
        <f>IF(C4734="","",IF(AND(COUNTIFS($J$18:J4734,J4734)=1,C4734&lt;&gt;""),1,""))</f>
        <v/>
      </c>
      <c r="AH4734" s="199" t="str">
        <f>IF(G4734="","",IF(AND(COUNTIFS($J$18:J4734,J4734)=1,G4734&lt;&gt;""),1,""))</f>
        <v/>
      </c>
      <c r="AI4734" s="200">
        <f t="shared" si="1459"/>
        <v>0</v>
      </c>
      <c r="AJ4734" s="200">
        <f t="shared" si="1460"/>
        <v>0</v>
      </c>
      <c r="AK4734" s="201" t="str">
        <f t="shared" si="1461"/>
        <v/>
      </c>
      <c r="AL4734" s="24"/>
      <c r="AM4734" s="24"/>
      <c r="AN4734" s="24"/>
      <c r="AO4734" s="24"/>
      <c r="AP4734" s="165" t="str">
        <f t="shared" si="1462"/>
        <v/>
      </c>
      <c r="AQ4734" s="203" t="str">
        <f t="shared" si="1463"/>
        <v/>
      </c>
      <c r="AR4734" s="206">
        <f t="shared" si="1464"/>
        <v>0</v>
      </c>
      <c r="AS4734" s="22" t="str">
        <f t="shared" si="1465"/>
        <v/>
      </c>
      <c r="AT4734" s="24" t="str">
        <f t="shared" si="1466"/>
        <v/>
      </c>
      <c r="AU4734" s="22" t="s">
        <v>3240</v>
      </c>
    </row>
    <row r="4735" spans="1:47">
      <c r="A4735" s="246" t="str">
        <f t="shared" si="1454"/>
        <v/>
      </c>
      <c r="B4735" s="23"/>
      <c r="C4735" s="23"/>
      <c r="D4735" s="202" t="str">
        <f t="shared" si="1455"/>
        <v/>
      </c>
      <c r="E4735" s="33" t="str">
        <f t="shared" si="1449"/>
        <v/>
      </c>
      <c r="F4735" s="23"/>
      <c r="G4735" s="23"/>
      <c r="H4735" s="29"/>
      <c r="I4735" s="204" t="str">
        <f t="shared" si="1452"/>
        <v/>
      </c>
      <c r="J4735" s="188"/>
      <c r="K4735" s="29"/>
      <c r="L4735" s="24"/>
      <c r="M4735" s="22"/>
      <c r="N4735" s="22"/>
      <c r="O4735" s="22"/>
      <c r="P4735" s="202" t="str">
        <f t="shared" si="1453"/>
        <v/>
      </c>
      <c r="Q4735" s="22"/>
      <c r="R4735" s="22"/>
      <c r="S4735" s="22"/>
      <c r="T4735" s="22"/>
      <c r="U4735" s="22"/>
      <c r="V4735" s="22"/>
      <c r="W4735" s="22"/>
      <c r="X4735" s="104"/>
      <c r="Y4735" s="195" t="str">
        <f t="shared" si="1450"/>
        <v/>
      </c>
      <c r="Z4735" s="196" t="str">
        <f t="shared" si="1451"/>
        <v/>
      </c>
      <c r="AA4735" s="22"/>
      <c r="AB4735" s="197" t="str">
        <f t="shared" si="1456"/>
        <v/>
      </c>
      <c r="AC4735" s="198" t="str">
        <f t="shared" si="1457"/>
        <v/>
      </c>
      <c r="AD4735" s="162"/>
      <c r="AE4735" s="199" t="str">
        <f t="shared" si="1458"/>
        <v/>
      </c>
      <c r="AF4735" s="199" t="str">
        <f>IF(AND(COUNTIFS($J$18:J4735,J4735)=1,AE4735=1),1,"")</f>
        <v/>
      </c>
      <c r="AG4735" s="199" t="str">
        <f>IF(C4735="","",IF(AND(COUNTIFS($J$18:J4735,J4735)=1,C4735&lt;&gt;""),1,""))</f>
        <v/>
      </c>
      <c r="AH4735" s="199" t="str">
        <f>IF(G4735="","",IF(AND(COUNTIFS($J$18:J4735,J4735)=1,G4735&lt;&gt;""),1,""))</f>
        <v/>
      </c>
      <c r="AI4735" s="200">
        <f t="shared" si="1459"/>
        <v>0</v>
      </c>
      <c r="AJ4735" s="200">
        <f t="shared" si="1460"/>
        <v>0</v>
      </c>
      <c r="AK4735" s="201" t="str">
        <f t="shared" si="1461"/>
        <v/>
      </c>
      <c r="AL4735" s="24"/>
      <c r="AM4735" s="24"/>
      <c r="AN4735" s="24"/>
      <c r="AO4735" s="24"/>
      <c r="AP4735" s="165" t="str">
        <f t="shared" si="1462"/>
        <v/>
      </c>
      <c r="AQ4735" s="203" t="str">
        <f t="shared" si="1463"/>
        <v/>
      </c>
      <c r="AR4735" s="206">
        <f t="shared" si="1464"/>
        <v>0</v>
      </c>
      <c r="AS4735" s="22" t="str">
        <f t="shared" si="1465"/>
        <v/>
      </c>
      <c r="AT4735" s="24" t="str">
        <f t="shared" si="1466"/>
        <v/>
      </c>
      <c r="AU4735" s="22" t="s">
        <v>3240</v>
      </c>
    </row>
    <row r="4736" spans="1:47">
      <c r="A4736" s="246" t="str">
        <f t="shared" si="1454"/>
        <v/>
      </c>
      <c r="B4736" s="23"/>
      <c r="C4736" s="23"/>
      <c r="D4736" s="202" t="str">
        <f t="shared" si="1455"/>
        <v/>
      </c>
      <c r="E4736" s="33" t="str">
        <f t="shared" si="1449"/>
        <v/>
      </c>
      <c r="F4736" s="23"/>
      <c r="G4736" s="23"/>
      <c r="H4736" s="29"/>
      <c r="I4736" s="204" t="str">
        <f t="shared" si="1452"/>
        <v/>
      </c>
      <c r="J4736" s="188"/>
      <c r="K4736" s="29"/>
      <c r="L4736" s="24"/>
      <c r="M4736" s="22"/>
      <c r="N4736" s="22"/>
      <c r="O4736" s="22"/>
      <c r="P4736" s="202" t="str">
        <f t="shared" si="1453"/>
        <v/>
      </c>
      <c r="Q4736" s="22"/>
      <c r="R4736" s="22"/>
      <c r="S4736" s="22"/>
      <c r="T4736" s="22"/>
      <c r="U4736" s="22"/>
      <c r="V4736" s="22"/>
      <c r="W4736" s="22"/>
      <c r="X4736" s="104"/>
      <c r="Y4736" s="195" t="str">
        <f t="shared" si="1450"/>
        <v/>
      </c>
      <c r="Z4736" s="196" t="str">
        <f t="shared" si="1451"/>
        <v/>
      </c>
      <c r="AA4736" s="22"/>
      <c r="AB4736" s="197" t="str">
        <f t="shared" si="1456"/>
        <v/>
      </c>
      <c r="AC4736" s="198" t="str">
        <f t="shared" si="1457"/>
        <v/>
      </c>
      <c r="AD4736" s="162"/>
      <c r="AE4736" s="199" t="str">
        <f t="shared" si="1458"/>
        <v/>
      </c>
      <c r="AF4736" s="199" t="str">
        <f>IF(AND(COUNTIFS($J$18:J4736,J4736)=1,AE4736=1),1,"")</f>
        <v/>
      </c>
      <c r="AG4736" s="199" t="str">
        <f>IF(C4736="","",IF(AND(COUNTIFS($J$18:J4736,J4736)=1,C4736&lt;&gt;""),1,""))</f>
        <v/>
      </c>
      <c r="AH4736" s="199" t="str">
        <f>IF(G4736="","",IF(AND(COUNTIFS($J$18:J4736,J4736)=1,G4736&lt;&gt;""),1,""))</f>
        <v/>
      </c>
      <c r="AI4736" s="200">
        <f t="shared" si="1459"/>
        <v>0</v>
      </c>
      <c r="AJ4736" s="200">
        <f t="shared" si="1460"/>
        <v>0</v>
      </c>
      <c r="AK4736" s="201" t="str">
        <f t="shared" si="1461"/>
        <v/>
      </c>
      <c r="AL4736" s="24"/>
      <c r="AM4736" s="24"/>
      <c r="AN4736" s="24"/>
      <c r="AO4736" s="24"/>
      <c r="AP4736" s="165" t="str">
        <f t="shared" si="1462"/>
        <v/>
      </c>
      <c r="AQ4736" s="203" t="str">
        <f t="shared" si="1463"/>
        <v/>
      </c>
      <c r="AR4736" s="206">
        <f t="shared" si="1464"/>
        <v>0</v>
      </c>
      <c r="AS4736" s="22" t="str">
        <f t="shared" si="1465"/>
        <v/>
      </c>
      <c r="AT4736" s="24" t="str">
        <f t="shared" si="1466"/>
        <v/>
      </c>
      <c r="AU4736" s="22" t="s">
        <v>3240</v>
      </c>
    </row>
    <row r="4737" spans="1:47">
      <c r="A4737" s="246" t="str">
        <f t="shared" si="1454"/>
        <v/>
      </c>
      <c r="B4737" s="23"/>
      <c r="C4737" s="23"/>
      <c r="D4737" s="202" t="str">
        <f t="shared" si="1455"/>
        <v/>
      </c>
      <c r="E4737" s="33" t="str">
        <f t="shared" si="1449"/>
        <v/>
      </c>
      <c r="F4737" s="23"/>
      <c r="G4737" s="23"/>
      <c r="H4737" s="29"/>
      <c r="I4737" s="204" t="str">
        <f t="shared" si="1452"/>
        <v/>
      </c>
      <c r="J4737" s="188"/>
      <c r="K4737" s="29"/>
      <c r="L4737" s="24"/>
      <c r="M4737" s="22"/>
      <c r="N4737" s="22"/>
      <c r="O4737" s="22"/>
      <c r="P4737" s="202" t="str">
        <f t="shared" si="1453"/>
        <v/>
      </c>
      <c r="Q4737" s="22"/>
      <c r="R4737" s="22"/>
      <c r="S4737" s="22"/>
      <c r="T4737" s="22"/>
      <c r="U4737" s="22"/>
      <c r="V4737" s="22"/>
      <c r="W4737" s="22"/>
      <c r="X4737" s="104"/>
      <c r="Y4737" s="195" t="str">
        <f t="shared" si="1450"/>
        <v/>
      </c>
      <c r="Z4737" s="196" t="str">
        <f t="shared" si="1451"/>
        <v/>
      </c>
      <c r="AA4737" s="22"/>
      <c r="AB4737" s="197" t="str">
        <f t="shared" si="1456"/>
        <v/>
      </c>
      <c r="AC4737" s="198" t="str">
        <f t="shared" si="1457"/>
        <v/>
      </c>
      <c r="AD4737" s="162"/>
      <c r="AE4737" s="199" t="str">
        <f t="shared" si="1458"/>
        <v/>
      </c>
      <c r="AF4737" s="199" t="str">
        <f>IF(AND(COUNTIFS($J$18:J4737,J4737)=1,AE4737=1),1,"")</f>
        <v/>
      </c>
      <c r="AG4737" s="199" t="str">
        <f>IF(C4737="","",IF(AND(COUNTIFS($J$18:J4737,J4737)=1,C4737&lt;&gt;""),1,""))</f>
        <v/>
      </c>
      <c r="AH4737" s="199" t="str">
        <f>IF(G4737="","",IF(AND(COUNTIFS($J$18:J4737,J4737)=1,G4737&lt;&gt;""),1,""))</f>
        <v/>
      </c>
      <c r="AI4737" s="200">
        <f t="shared" si="1459"/>
        <v>0</v>
      </c>
      <c r="AJ4737" s="200">
        <f t="shared" si="1460"/>
        <v>0</v>
      </c>
      <c r="AK4737" s="201" t="str">
        <f t="shared" si="1461"/>
        <v/>
      </c>
      <c r="AL4737" s="24"/>
      <c r="AM4737" s="24"/>
      <c r="AN4737" s="24"/>
      <c r="AO4737" s="24"/>
      <c r="AP4737" s="165" t="str">
        <f t="shared" si="1462"/>
        <v/>
      </c>
      <c r="AQ4737" s="203" t="str">
        <f t="shared" si="1463"/>
        <v/>
      </c>
      <c r="AR4737" s="206">
        <f t="shared" si="1464"/>
        <v>0</v>
      </c>
      <c r="AS4737" s="22" t="str">
        <f t="shared" si="1465"/>
        <v/>
      </c>
      <c r="AT4737" s="24" t="str">
        <f t="shared" si="1466"/>
        <v/>
      </c>
      <c r="AU4737" s="22" t="s">
        <v>3240</v>
      </c>
    </row>
    <row r="4738" spans="1:47">
      <c r="A4738" s="246" t="str">
        <f t="shared" si="1454"/>
        <v/>
      </c>
      <c r="B4738" s="23"/>
      <c r="C4738" s="23"/>
      <c r="D4738" s="202" t="str">
        <f t="shared" si="1455"/>
        <v/>
      </c>
      <c r="E4738" s="33" t="str">
        <f t="shared" si="1449"/>
        <v/>
      </c>
      <c r="F4738" s="23"/>
      <c r="G4738" s="23"/>
      <c r="H4738" s="29"/>
      <c r="I4738" s="204" t="str">
        <f t="shared" si="1452"/>
        <v/>
      </c>
      <c r="J4738" s="188"/>
      <c r="K4738" s="29"/>
      <c r="L4738" s="24"/>
      <c r="M4738" s="22"/>
      <c r="N4738" s="22"/>
      <c r="O4738" s="22"/>
      <c r="P4738" s="202" t="str">
        <f t="shared" si="1453"/>
        <v/>
      </c>
      <c r="Q4738" s="22"/>
      <c r="R4738" s="22"/>
      <c r="S4738" s="22"/>
      <c r="T4738" s="22"/>
      <c r="U4738" s="22"/>
      <c r="V4738" s="22"/>
      <c r="W4738" s="22"/>
      <c r="X4738" s="104"/>
      <c r="Y4738" s="195" t="str">
        <f t="shared" si="1450"/>
        <v/>
      </c>
      <c r="Z4738" s="196" t="str">
        <f t="shared" si="1451"/>
        <v/>
      </c>
      <c r="AA4738" s="22"/>
      <c r="AB4738" s="197" t="str">
        <f t="shared" si="1456"/>
        <v/>
      </c>
      <c r="AC4738" s="198" t="str">
        <f t="shared" si="1457"/>
        <v/>
      </c>
      <c r="AD4738" s="162"/>
      <c r="AE4738" s="199" t="str">
        <f t="shared" si="1458"/>
        <v/>
      </c>
      <c r="AF4738" s="199" t="str">
        <f>IF(AND(COUNTIFS($J$18:J4738,J4738)=1,AE4738=1),1,"")</f>
        <v/>
      </c>
      <c r="AG4738" s="199" t="str">
        <f>IF(C4738="","",IF(AND(COUNTIFS($J$18:J4738,J4738)=1,C4738&lt;&gt;""),1,""))</f>
        <v/>
      </c>
      <c r="AH4738" s="199" t="str">
        <f>IF(G4738="","",IF(AND(COUNTIFS($J$18:J4738,J4738)=1,G4738&lt;&gt;""),1,""))</f>
        <v/>
      </c>
      <c r="AI4738" s="200">
        <f t="shared" si="1459"/>
        <v>0</v>
      </c>
      <c r="AJ4738" s="200">
        <f t="shared" si="1460"/>
        <v>0</v>
      </c>
      <c r="AK4738" s="201" t="str">
        <f t="shared" si="1461"/>
        <v/>
      </c>
      <c r="AL4738" s="24"/>
      <c r="AM4738" s="24"/>
      <c r="AN4738" s="24"/>
      <c r="AO4738" s="24"/>
      <c r="AP4738" s="165" t="str">
        <f t="shared" si="1462"/>
        <v/>
      </c>
      <c r="AQ4738" s="203" t="str">
        <f t="shared" si="1463"/>
        <v/>
      </c>
      <c r="AR4738" s="206">
        <f t="shared" si="1464"/>
        <v>0</v>
      </c>
      <c r="AS4738" s="22" t="str">
        <f t="shared" si="1465"/>
        <v/>
      </c>
      <c r="AT4738" s="24" t="str">
        <f t="shared" si="1466"/>
        <v/>
      </c>
      <c r="AU4738" s="22" t="s">
        <v>3240</v>
      </c>
    </row>
    <row r="4739" spans="1:47">
      <c r="A4739" s="246" t="str">
        <f t="shared" si="1454"/>
        <v/>
      </c>
      <c r="B4739" s="23"/>
      <c r="C4739" s="23"/>
      <c r="D4739" s="202" t="str">
        <f t="shared" si="1455"/>
        <v/>
      </c>
      <c r="E4739" s="33" t="str">
        <f t="shared" si="1449"/>
        <v/>
      </c>
      <c r="F4739" s="23"/>
      <c r="G4739" s="23"/>
      <c r="H4739" s="29"/>
      <c r="I4739" s="204" t="str">
        <f t="shared" si="1452"/>
        <v/>
      </c>
      <c r="J4739" s="188"/>
      <c r="K4739" s="29"/>
      <c r="L4739" s="24"/>
      <c r="M4739" s="22"/>
      <c r="N4739" s="22"/>
      <c r="O4739" s="22"/>
      <c r="P4739" s="202" t="str">
        <f t="shared" si="1453"/>
        <v/>
      </c>
      <c r="Q4739" s="22"/>
      <c r="R4739" s="22"/>
      <c r="S4739" s="22"/>
      <c r="T4739" s="22"/>
      <c r="U4739" s="22"/>
      <c r="V4739" s="22"/>
      <c r="W4739" s="22"/>
      <c r="X4739" s="104"/>
      <c r="Y4739" s="195" t="str">
        <f t="shared" si="1450"/>
        <v/>
      </c>
      <c r="Z4739" s="196" t="str">
        <f t="shared" si="1451"/>
        <v/>
      </c>
      <c r="AA4739" s="22"/>
      <c r="AB4739" s="197" t="str">
        <f t="shared" si="1456"/>
        <v/>
      </c>
      <c r="AC4739" s="198" t="str">
        <f t="shared" si="1457"/>
        <v/>
      </c>
      <c r="AD4739" s="162"/>
      <c r="AE4739" s="199" t="str">
        <f t="shared" si="1458"/>
        <v/>
      </c>
      <c r="AF4739" s="199" t="str">
        <f>IF(AND(COUNTIFS($J$18:J4739,J4739)=1,AE4739=1),1,"")</f>
        <v/>
      </c>
      <c r="AG4739" s="199" t="str">
        <f>IF(C4739="","",IF(AND(COUNTIFS($J$18:J4739,J4739)=1,C4739&lt;&gt;""),1,""))</f>
        <v/>
      </c>
      <c r="AH4739" s="199" t="str">
        <f>IF(G4739="","",IF(AND(COUNTIFS($J$18:J4739,J4739)=1,G4739&lt;&gt;""),1,""))</f>
        <v/>
      </c>
      <c r="AI4739" s="200">
        <f t="shared" si="1459"/>
        <v>0</v>
      </c>
      <c r="AJ4739" s="200">
        <f t="shared" si="1460"/>
        <v>0</v>
      </c>
      <c r="AK4739" s="201" t="str">
        <f t="shared" si="1461"/>
        <v/>
      </c>
      <c r="AL4739" s="24"/>
      <c r="AM4739" s="24"/>
      <c r="AN4739" s="24"/>
      <c r="AO4739" s="24"/>
      <c r="AP4739" s="165" t="str">
        <f t="shared" si="1462"/>
        <v/>
      </c>
      <c r="AQ4739" s="203" t="str">
        <f t="shared" si="1463"/>
        <v/>
      </c>
      <c r="AR4739" s="206">
        <f t="shared" si="1464"/>
        <v>0</v>
      </c>
      <c r="AS4739" s="22" t="str">
        <f t="shared" si="1465"/>
        <v/>
      </c>
      <c r="AT4739" s="24" t="str">
        <f t="shared" si="1466"/>
        <v/>
      </c>
      <c r="AU4739" s="22" t="s">
        <v>3240</v>
      </c>
    </row>
    <row r="4740" spans="1:47">
      <c r="A4740" s="246" t="str">
        <f t="shared" si="1454"/>
        <v/>
      </c>
      <c r="B4740" s="23"/>
      <c r="C4740" s="23"/>
      <c r="D4740" s="202" t="str">
        <f t="shared" si="1455"/>
        <v/>
      </c>
      <c r="E4740" s="33" t="str">
        <f t="shared" si="1449"/>
        <v/>
      </c>
      <c r="F4740" s="23"/>
      <c r="G4740" s="23"/>
      <c r="H4740" s="29"/>
      <c r="I4740" s="204" t="str">
        <f t="shared" si="1452"/>
        <v/>
      </c>
      <c r="J4740" s="188"/>
      <c r="K4740" s="29"/>
      <c r="L4740" s="24"/>
      <c r="M4740" s="22"/>
      <c r="N4740" s="22"/>
      <c r="O4740" s="22"/>
      <c r="P4740" s="202" t="str">
        <f t="shared" si="1453"/>
        <v/>
      </c>
      <c r="Q4740" s="22"/>
      <c r="R4740" s="22"/>
      <c r="S4740" s="22"/>
      <c r="T4740" s="22"/>
      <c r="U4740" s="22"/>
      <c r="V4740" s="22"/>
      <c r="W4740" s="22"/>
      <c r="X4740" s="104"/>
      <c r="Y4740" s="195" t="str">
        <f t="shared" si="1450"/>
        <v/>
      </c>
      <c r="Z4740" s="196" t="str">
        <f t="shared" si="1451"/>
        <v/>
      </c>
      <c r="AA4740" s="22"/>
      <c r="AB4740" s="197" t="str">
        <f t="shared" si="1456"/>
        <v/>
      </c>
      <c r="AC4740" s="198" t="str">
        <f t="shared" si="1457"/>
        <v/>
      </c>
      <c r="AD4740" s="162"/>
      <c r="AE4740" s="199" t="str">
        <f t="shared" si="1458"/>
        <v/>
      </c>
      <c r="AF4740" s="199" t="str">
        <f>IF(AND(COUNTIFS($J$18:J4740,J4740)=1,AE4740=1),1,"")</f>
        <v/>
      </c>
      <c r="AG4740" s="199" t="str">
        <f>IF(C4740="","",IF(AND(COUNTIFS($J$18:J4740,J4740)=1,C4740&lt;&gt;""),1,""))</f>
        <v/>
      </c>
      <c r="AH4740" s="199" t="str">
        <f>IF(G4740="","",IF(AND(COUNTIFS($J$18:J4740,J4740)=1,G4740&lt;&gt;""),1,""))</f>
        <v/>
      </c>
      <c r="AI4740" s="200">
        <f t="shared" si="1459"/>
        <v>0</v>
      </c>
      <c r="AJ4740" s="200">
        <f t="shared" si="1460"/>
        <v>0</v>
      </c>
      <c r="AK4740" s="201" t="str">
        <f t="shared" si="1461"/>
        <v/>
      </c>
      <c r="AL4740" s="24"/>
      <c r="AM4740" s="24"/>
      <c r="AN4740" s="24"/>
      <c r="AO4740" s="24"/>
      <c r="AP4740" s="165" t="str">
        <f t="shared" si="1462"/>
        <v/>
      </c>
      <c r="AQ4740" s="203" t="str">
        <f t="shared" si="1463"/>
        <v/>
      </c>
      <c r="AR4740" s="206">
        <f t="shared" si="1464"/>
        <v>0</v>
      </c>
      <c r="AS4740" s="22" t="str">
        <f t="shared" si="1465"/>
        <v/>
      </c>
      <c r="AT4740" s="24" t="str">
        <f t="shared" si="1466"/>
        <v/>
      </c>
      <c r="AU4740" s="22" t="s">
        <v>3240</v>
      </c>
    </row>
    <row r="4741" spans="1:47">
      <c r="A4741" s="246" t="str">
        <f t="shared" si="1454"/>
        <v/>
      </c>
      <c r="B4741" s="23"/>
      <c r="C4741" s="23"/>
      <c r="D4741" s="202" t="str">
        <f t="shared" si="1455"/>
        <v/>
      </c>
      <c r="E4741" s="33" t="str">
        <f t="shared" si="1449"/>
        <v/>
      </c>
      <c r="F4741" s="23"/>
      <c r="G4741" s="23"/>
      <c r="H4741" s="29"/>
      <c r="I4741" s="204" t="str">
        <f t="shared" si="1452"/>
        <v/>
      </c>
      <c r="J4741" s="188"/>
      <c r="K4741" s="29"/>
      <c r="L4741" s="24"/>
      <c r="M4741" s="22"/>
      <c r="N4741" s="22"/>
      <c r="O4741" s="22"/>
      <c r="P4741" s="202" t="str">
        <f t="shared" si="1453"/>
        <v/>
      </c>
      <c r="Q4741" s="22"/>
      <c r="R4741" s="22"/>
      <c r="S4741" s="22"/>
      <c r="T4741" s="22"/>
      <c r="U4741" s="22"/>
      <c r="V4741" s="22"/>
      <c r="W4741" s="22"/>
      <c r="X4741" s="104"/>
      <c r="Y4741" s="195" t="str">
        <f t="shared" si="1450"/>
        <v/>
      </c>
      <c r="Z4741" s="196" t="str">
        <f t="shared" si="1451"/>
        <v/>
      </c>
      <c r="AA4741" s="22"/>
      <c r="AB4741" s="197" t="str">
        <f t="shared" si="1456"/>
        <v/>
      </c>
      <c r="AC4741" s="198" t="str">
        <f t="shared" si="1457"/>
        <v/>
      </c>
      <c r="AD4741" s="162"/>
      <c r="AE4741" s="199" t="str">
        <f t="shared" si="1458"/>
        <v/>
      </c>
      <c r="AF4741" s="199" t="str">
        <f>IF(AND(COUNTIFS($J$18:J4741,J4741)=1,AE4741=1),1,"")</f>
        <v/>
      </c>
      <c r="AG4741" s="199" t="str">
        <f>IF(C4741="","",IF(AND(COUNTIFS($J$18:J4741,J4741)=1,C4741&lt;&gt;""),1,""))</f>
        <v/>
      </c>
      <c r="AH4741" s="199" t="str">
        <f>IF(G4741="","",IF(AND(COUNTIFS($J$18:J4741,J4741)=1,G4741&lt;&gt;""),1,""))</f>
        <v/>
      </c>
      <c r="AI4741" s="200">
        <f t="shared" si="1459"/>
        <v>0</v>
      </c>
      <c r="AJ4741" s="200">
        <f t="shared" si="1460"/>
        <v>0</v>
      </c>
      <c r="AK4741" s="201" t="str">
        <f t="shared" si="1461"/>
        <v/>
      </c>
      <c r="AL4741" s="24"/>
      <c r="AM4741" s="24"/>
      <c r="AN4741" s="24"/>
      <c r="AO4741" s="24"/>
      <c r="AP4741" s="165" t="str">
        <f t="shared" si="1462"/>
        <v/>
      </c>
      <c r="AQ4741" s="203" t="str">
        <f t="shared" si="1463"/>
        <v/>
      </c>
      <c r="AR4741" s="206">
        <f t="shared" si="1464"/>
        <v>0</v>
      </c>
      <c r="AS4741" s="22" t="str">
        <f t="shared" si="1465"/>
        <v/>
      </c>
      <c r="AT4741" s="24" t="str">
        <f t="shared" si="1466"/>
        <v/>
      </c>
      <c r="AU4741" s="22" t="s">
        <v>3240</v>
      </c>
    </row>
    <row r="4742" spans="1:47">
      <c r="A4742" s="246" t="str">
        <f t="shared" si="1454"/>
        <v/>
      </c>
      <c r="B4742" s="23"/>
      <c r="C4742" s="23"/>
      <c r="D4742" s="202" t="str">
        <f t="shared" si="1455"/>
        <v/>
      </c>
      <c r="E4742" s="33" t="str">
        <f t="shared" si="1449"/>
        <v/>
      </c>
      <c r="F4742" s="23"/>
      <c r="G4742" s="23"/>
      <c r="H4742" s="29"/>
      <c r="I4742" s="204" t="str">
        <f t="shared" si="1452"/>
        <v/>
      </c>
      <c r="J4742" s="188"/>
      <c r="K4742" s="29"/>
      <c r="L4742" s="24"/>
      <c r="M4742" s="22"/>
      <c r="N4742" s="22"/>
      <c r="O4742" s="22"/>
      <c r="P4742" s="202" t="str">
        <f t="shared" si="1453"/>
        <v/>
      </c>
      <c r="Q4742" s="22"/>
      <c r="R4742" s="22"/>
      <c r="S4742" s="22"/>
      <c r="T4742" s="22"/>
      <c r="U4742" s="22"/>
      <c r="V4742" s="22"/>
      <c r="W4742" s="22"/>
      <c r="X4742" s="104"/>
      <c r="Y4742" s="195" t="str">
        <f t="shared" si="1450"/>
        <v/>
      </c>
      <c r="Z4742" s="196" t="str">
        <f t="shared" si="1451"/>
        <v/>
      </c>
      <c r="AA4742" s="22"/>
      <c r="AB4742" s="197" t="str">
        <f t="shared" si="1456"/>
        <v/>
      </c>
      <c r="AC4742" s="198" t="str">
        <f t="shared" si="1457"/>
        <v/>
      </c>
      <c r="AD4742" s="162"/>
      <c r="AE4742" s="199" t="str">
        <f t="shared" si="1458"/>
        <v/>
      </c>
      <c r="AF4742" s="199" t="str">
        <f>IF(AND(COUNTIFS($J$18:J4742,J4742)=1,AE4742=1),1,"")</f>
        <v/>
      </c>
      <c r="AG4742" s="199" t="str">
        <f>IF(C4742="","",IF(AND(COUNTIFS($J$18:J4742,J4742)=1,C4742&lt;&gt;""),1,""))</f>
        <v/>
      </c>
      <c r="AH4742" s="199" t="str">
        <f>IF(G4742="","",IF(AND(COUNTIFS($J$18:J4742,J4742)=1,G4742&lt;&gt;""),1,""))</f>
        <v/>
      </c>
      <c r="AI4742" s="200">
        <f t="shared" si="1459"/>
        <v>0</v>
      </c>
      <c r="AJ4742" s="200">
        <f t="shared" si="1460"/>
        <v>0</v>
      </c>
      <c r="AK4742" s="201" t="str">
        <f t="shared" si="1461"/>
        <v/>
      </c>
      <c r="AL4742" s="24"/>
      <c r="AM4742" s="24"/>
      <c r="AN4742" s="24"/>
      <c r="AO4742" s="24"/>
      <c r="AP4742" s="165" t="str">
        <f t="shared" si="1462"/>
        <v/>
      </c>
      <c r="AQ4742" s="203" t="str">
        <f t="shared" si="1463"/>
        <v/>
      </c>
      <c r="AR4742" s="206">
        <f t="shared" si="1464"/>
        <v>0</v>
      </c>
      <c r="AS4742" s="22" t="str">
        <f t="shared" si="1465"/>
        <v/>
      </c>
      <c r="AT4742" s="24" t="str">
        <f t="shared" si="1466"/>
        <v/>
      </c>
      <c r="AU4742" s="22" t="s">
        <v>3240</v>
      </c>
    </row>
    <row r="4743" spans="1:47">
      <c r="A4743" s="246" t="str">
        <f t="shared" si="1454"/>
        <v/>
      </c>
      <c r="B4743" s="23"/>
      <c r="C4743" s="23"/>
      <c r="D4743" s="202" t="str">
        <f t="shared" si="1455"/>
        <v/>
      </c>
      <c r="E4743" s="33" t="str">
        <f t="shared" si="1449"/>
        <v/>
      </c>
      <c r="F4743" s="23"/>
      <c r="G4743" s="23"/>
      <c r="H4743" s="29"/>
      <c r="I4743" s="204" t="str">
        <f t="shared" si="1452"/>
        <v/>
      </c>
      <c r="J4743" s="188"/>
      <c r="K4743" s="29"/>
      <c r="L4743" s="24"/>
      <c r="M4743" s="22"/>
      <c r="N4743" s="22"/>
      <c r="O4743" s="22"/>
      <c r="P4743" s="202" t="str">
        <f t="shared" si="1453"/>
        <v/>
      </c>
      <c r="Q4743" s="22"/>
      <c r="R4743" s="22"/>
      <c r="S4743" s="22"/>
      <c r="T4743" s="22"/>
      <c r="U4743" s="22"/>
      <c r="V4743" s="22"/>
      <c r="W4743" s="22"/>
      <c r="X4743" s="104"/>
      <c r="Y4743" s="195" t="str">
        <f t="shared" si="1450"/>
        <v/>
      </c>
      <c r="Z4743" s="196" t="str">
        <f t="shared" si="1451"/>
        <v/>
      </c>
      <c r="AA4743" s="22"/>
      <c r="AB4743" s="197" t="str">
        <f t="shared" si="1456"/>
        <v/>
      </c>
      <c r="AC4743" s="198" t="str">
        <f t="shared" si="1457"/>
        <v/>
      </c>
      <c r="AD4743" s="162"/>
      <c r="AE4743" s="199" t="str">
        <f t="shared" si="1458"/>
        <v/>
      </c>
      <c r="AF4743" s="199" t="str">
        <f>IF(AND(COUNTIFS($J$18:J4743,J4743)=1,AE4743=1),1,"")</f>
        <v/>
      </c>
      <c r="AG4743" s="199" t="str">
        <f>IF(C4743="","",IF(AND(COUNTIFS($J$18:J4743,J4743)=1,C4743&lt;&gt;""),1,""))</f>
        <v/>
      </c>
      <c r="AH4743" s="199" t="str">
        <f>IF(G4743="","",IF(AND(COUNTIFS($J$18:J4743,J4743)=1,G4743&lt;&gt;""),1,""))</f>
        <v/>
      </c>
      <c r="AI4743" s="200">
        <f t="shared" si="1459"/>
        <v>0</v>
      </c>
      <c r="AJ4743" s="200">
        <f t="shared" si="1460"/>
        <v>0</v>
      </c>
      <c r="AK4743" s="201" t="str">
        <f t="shared" si="1461"/>
        <v/>
      </c>
      <c r="AL4743" s="24"/>
      <c r="AM4743" s="24"/>
      <c r="AN4743" s="24"/>
      <c r="AO4743" s="24"/>
      <c r="AP4743" s="165" t="str">
        <f t="shared" si="1462"/>
        <v/>
      </c>
      <c r="AQ4743" s="203" t="str">
        <f t="shared" si="1463"/>
        <v/>
      </c>
      <c r="AR4743" s="206">
        <f t="shared" si="1464"/>
        <v>0</v>
      </c>
      <c r="AS4743" s="22" t="str">
        <f t="shared" si="1465"/>
        <v/>
      </c>
      <c r="AT4743" s="24" t="str">
        <f t="shared" si="1466"/>
        <v/>
      </c>
      <c r="AU4743" s="22" t="s">
        <v>3240</v>
      </c>
    </row>
    <row r="4744" spans="1:47">
      <c r="A4744" s="246" t="str">
        <f t="shared" si="1454"/>
        <v/>
      </c>
      <c r="B4744" s="23"/>
      <c r="C4744" s="23"/>
      <c r="D4744" s="202" t="str">
        <f t="shared" si="1455"/>
        <v/>
      </c>
      <c r="E4744" s="33" t="str">
        <f t="shared" si="1449"/>
        <v/>
      </c>
      <c r="F4744" s="23"/>
      <c r="G4744" s="23"/>
      <c r="H4744" s="29"/>
      <c r="I4744" s="204" t="str">
        <f t="shared" si="1452"/>
        <v/>
      </c>
      <c r="J4744" s="188"/>
      <c r="K4744" s="29"/>
      <c r="L4744" s="24"/>
      <c r="M4744" s="22"/>
      <c r="N4744" s="22"/>
      <c r="O4744" s="22"/>
      <c r="P4744" s="202" t="str">
        <f t="shared" si="1453"/>
        <v/>
      </c>
      <c r="Q4744" s="22"/>
      <c r="R4744" s="22"/>
      <c r="S4744" s="22"/>
      <c r="T4744" s="22"/>
      <c r="U4744" s="22"/>
      <c r="V4744" s="22"/>
      <c r="W4744" s="22"/>
      <c r="X4744" s="104"/>
      <c r="Y4744" s="195" t="str">
        <f t="shared" si="1450"/>
        <v/>
      </c>
      <c r="Z4744" s="196" t="str">
        <f t="shared" si="1451"/>
        <v/>
      </c>
      <c r="AA4744" s="22"/>
      <c r="AB4744" s="197" t="str">
        <f t="shared" si="1456"/>
        <v/>
      </c>
      <c r="AC4744" s="198" t="str">
        <f t="shared" si="1457"/>
        <v/>
      </c>
      <c r="AD4744" s="162"/>
      <c r="AE4744" s="199" t="str">
        <f t="shared" si="1458"/>
        <v/>
      </c>
      <c r="AF4744" s="199" t="str">
        <f>IF(AND(COUNTIFS($J$18:J4744,J4744)=1,AE4744=1),1,"")</f>
        <v/>
      </c>
      <c r="AG4744" s="199" t="str">
        <f>IF(C4744="","",IF(AND(COUNTIFS($J$18:J4744,J4744)=1,C4744&lt;&gt;""),1,""))</f>
        <v/>
      </c>
      <c r="AH4744" s="199" t="str">
        <f>IF(G4744="","",IF(AND(COUNTIFS($J$18:J4744,J4744)=1,G4744&lt;&gt;""),1,""))</f>
        <v/>
      </c>
      <c r="AI4744" s="200">
        <f t="shared" si="1459"/>
        <v>0</v>
      </c>
      <c r="AJ4744" s="200">
        <f t="shared" si="1460"/>
        <v>0</v>
      </c>
      <c r="AK4744" s="201" t="str">
        <f t="shared" si="1461"/>
        <v/>
      </c>
      <c r="AL4744" s="24"/>
      <c r="AM4744" s="24"/>
      <c r="AN4744" s="24"/>
      <c r="AO4744" s="24"/>
      <c r="AP4744" s="165" t="str">
        <f t="shared" si="1462"/>
        <v/>
      </c>
      <c r="AQ4744" s="203" t="str">
        <f t="shared" si="1463"/>
        <v/>
      </c>
      <c r="AR4744" s="206">
        <f t="shared" si="1464"/>
        <v>0</v>
      </c>
      <c r="AS4744" s="22" t="str">
        <f t="shared" si="1465"/>
        <v/>
      </c>
      <c r="AT4744" s="24" t="str">
        <f t="shared" si="1466"/>
        <v/>
      </c>
      <c r="AU4744" s="22" t="s">
        <v>3240</v>
      </c>
    </row>
    <row r="4745" spans="1:47">
      <c r="A4745" s="246" t="str">
        <f t="shared" si="1454"/>
        <v/>
      </c>
      <c r="B4745" s="23"/>
      <c r="C4745" s="23"/>
      <c r="D4745" s="202" t="str">
        <f t="shared" si="1455"/>
        <v/>
      </c>
      <c r="E4745" s="33" t="str">
        <f t="shared" si="1449"/>
        <v/>
      </c>
      <c r="F4745" s="23"/>
      <c r="G4745" s="23"/>
      <c r="H4745" s="29"/>
      <c r="I4745" s="204" t="str">
        <f t="shared" si="1452"/>
        <v/>
      </c>
      <c r="J4745" s="188"/>
      <c r="K4745" s="29"/>
      <c r="L4745" s="24"/>
      <c r="M4745" s="22"/>
      <c r="N4745" s="22"/>
      <c r="O4745" s="22"/>
      <c r="P4745" s="202" t="str">
        <f t="shared" si="1453"/>
        <v/>
      </c>
      <c r="Q4745" s="22"/>
      <c r="R4745" s="22"/>
      <c r="S4745" s="22"/>
      <c r="T4745" s="22"/>
      <c r="U4745" s="22"/>
      <c r="V4745" s="22"/>
      <c r="W4745" s="22"/>
      <c r="X4745" s="104"/>
      <c r="Y4745" s="195" t="str">
        <f t="shared" si="1450"/>
        <v/>
      </c>
      <c r="Z4745" s="196" t="str">
        <f t="shared" si="1451"/>
        <v/>
      </c>
      <c r="AA4745" s="22"/>
      <c r="AB4745" s="197" t="str">
        <f t="shared" si="1456"/>
        <v/>
      </c>
      <c r="AC4745" s="198" t="str">
        <f t="shared" si="1457"/>
        <v/>
      </c>
      <c r="AD4745" s="162"/>
      <c r="AE4745" s="199" t="str">
        <f t="shared" si="1458"/>
        <v/>
      </c>
      <c r="AF4745" s="199" t="str">
        <f>IF(AND(COUNTIFS($J$18:J4745,J4745)=1,AE4745=1),1,"")</f>
        <v/>
      </c>
      <c r="AG4745" s="199" t="str">
        <f>IF(C4745="","",IF(AND(COUNTIFS($J$18:J4745,J4745)=1,C4745&lt;&gt;""),1,""))</f>
        <v/>
      </c>
      <c r="AH4745" s="199" t="str">
        <f>IF(G4745="","",IF(AND(COUNTIFS($J$18:J4745,J4745)=1,G4745&lt;&gt;""),1,""))</f>
        <v/>
      </c>
      <c r="AI4745" s="200">
        <f t="shared" si="1459"/>
        <v>0</v>
      </c>
      <c r="AJ4745" s="200">
        <f t="shared" si="1460"/>
        <v>0</v>
      </c>
      <c r="AK4745" s="201" t="str">
        <f t="shared" si="1461"/>
        <v/>
      </c>
      <c r="AL4745" s="24"/>
      <c r="AM4745" s="24"/>
      <c r="AN4745" s="24"/>
      <c r="AO4745" s="24"/>
      <c r="AP4745" s="165" t="str">
        <f t="shared" si="1462"/>
        <v/>
      </c>
      <c r="AQ4745" s="203" t="str">
        <f t="shared" si="1463"/>
        <v/>
      </c>
      <c r="AR4745" s="206">
        <f t="shared" si="1464"/>
        <v>0</v>
      </c>
      <c r="AS4745" s="22" t="str">
        <f t="shared" si="1465"/>
        <v/>
      </c>
      <c r="AT4745" s="24" t="str">
        <f t="shared" si="1466"/>
        <v/>
      </c>
      <c r="AU4745" s="22" t="s">
        <v>3240</v>
      </c>
    </row>
    <row r="4746" spans="1:47">
      <c r="A4746" s="246" t="str">
        <f t="shared" si="1454"/>
        <v/>
      </c>
      <c r="B4746" s="23"/>
      <c r="C4746" s="23"/>
      <c r="D4746" s="202" t="str">
        <f t="shared" si="1455"/>
        <v/>
      </c>
      <c r="E4746" s="33" t="str">
        <f t="shared" si="1449"/>
        <v/>
      </c>
      <c r="F4746" s="23"/>
      <c r="G4746" s="23"/>
      <c r="H4746" s="29"/>
      <c r="I4746" s="204" t="str">
        <f t="shared" si="1452"/>
        <v/>
      </c>
      <c r="J4746" s="188"/>
      <c r="K4746" s="29"/>
      <c r="L4746" s="24"/>
      <c r="M4746" s="22"/>
      <c r="N4746" s="22"/>
      <c r="O4746" s="22"/>
      <c r="P4746" s="202" t="str">
        <f t="shared" si="1453"/>
        <v/>
      </c>
      <c r="Q4746" s="22"/>
      <c r="R4746" s="22"/>
      <c r="S4746" s="22"/>
      <c r="T4746" s="22"/>
      <c r="U4746" s="22"/>
      <c r="V4746" s="22"/>
      <c r="W4746" s="22"/>
      <c r="X4746" s="104"/>
      <c r="Y4746" s="195" t="str">
        <f t="shared" si="1450"/>
        <v/>
      </c>
      <c r="Z4746" s="196" t="str">
        <f t="shared" si="1451"/>
        <v/>
      </c>
      <c r="AA4746" s="22"/>
      <c r="AB4746" s="197" t="str">
        <f t="shared" si="1456"/>
        <v/>
      </c>
      <c r="AC4746" s="198" t="str">
        <f t="shared" si="1457"/>
        <v/>
      </c>
      <c r="AD4746" s="162"/>
      <c r="AE4746" s="199" t="str">
        <f t="shared" si="1458"/>
        <v/>
      </c>
      <c r="AF4746" s="199" t="str">
        <f>IF(AND(COUNTIFS($J$18:J4746,J4746)=1,AE4746=1),1,"")</f>
        <v/>
      </c>
      <c r="AG4746" s="199" t="str">
        <f>IF(C4746="","",IF(AND(COUNTIFS($J$18:J4746,J4746)=1,C4746&lt;&gt;""),1,""))</f>
        <v/>
      </c>
      <c r="AH4746" s="199" t="str">
        <f>IF(G4746="","",IF(AND(COUNTIFS($J$18:J4746,J4746)=1,G4746&lt;&gt;""),1,""))</f>
        <v/>
      </c>
      <c r="AI4746" s="200">
        <f t="shared" si="1459"/>
        <v>0</v>
      </c>
      <c r="AJ4746" s="200">
        <f t="shared" si="1460"/>
        <v>0</v>
      </c>
      <c r="AK4746" s="201" t="str">
        <f t="shared" si="1461"/>
        <v/>
      </c>
      <c r="AL4746" s="24"/>
      <c r="AM4746" s="24"/>
      <c r="AN4746" s="24"/>
      <c r="AO4746" s="24"/>
      <c r="AP4746" s="165" t="str">
        <f t="shared" si="1462"/>
        <v/>
      </c>
      <c r="AQ4746" s="203" t="str">
        <f t="shared" si="1463"/>
        <v/>
      </c>
      <c r="AR4746" s="206">
        <f t="shared" si="1464"/>
        <v>0</v>
      </c>
      <c r="AS4746" s="22" t="str">
        <f t="shared" si="1465"/>
        <v/>
      </c>
      <c r="AT4746" s="24" t="str">
        <f t="shared" si="1466"/>
        <v/>
      </c>
      <c r="AU4746" s="22" t="s">
        <v>3240</v>
      </c>
    </row>
    <row r="4747" spans="1:47">
      <c r="A4747" s="246" t="str">
        <f t="shared" si="1454"/>
        <v/>
      </c>
      <c r="B4747" s="23"/>
      <c r="C4747" s="23"/>
      <c r="D4747" s="202" t="str">
        <f t="shared" si="1455"/>
        <v/>
      </c>
      <c r="E4747" s="33" t="str">
        <f t="shared" si="1449"/>
        <v/>
      </c>
      <c r="F4747" s="23"/>
      <c r="G4747" s="23"/>
      <c r="H4747" s="29"/>
      <c r="I4747" s="204" t="str">
        <f t="shared" si="1452"/>
        <v/>
      </c>
      <c r="J4747" s="188"/>
      <c r="K4747" s="29"/>
      <c r="L4747" s="24"/>
      <c r="M4747" s="22"/>
      <c r="N4747" s="22"/>
      <c r="O4747" s="22"/>
      <c r="P4747" s="202" t="str">
        <f t="shared" si="1453"/>
        <v/>
      </c>
      <c r="Q4747" s="22"/>
      <c r="R4747" s="22"/>
      <c r="S4747" s="22"/>
      <c r="T4747" s="22"/>
      <c r="U4747" s="22"/>
      <c r="V4747" s="22"/>
      <c r="W4747" s="22"/>
      <c r="X4747" s="104"/>
      <c r="Y4747" s="195" t="str">
        <f t="shared" si="1450"/>
        <v/>
      </c>
      <c r="Z4747" s="196" t="str">
        <f t="shared" si="1451"/>
        <v/>
      </c>
      <c r="AA4747" s="22"/>
      <c r="AB4747" s="197" t="str">
        <f t="shared" si="1456"/>
        <v/>
      </c>
      <c r="AC4747" s="198" t="str">
        <f t="shared" si="1457"/>
        <v/>
      </c>
      <c r="AD4747" s="162"/>
      <c r="AE4747" s="199" t="str">
        <f t="shared" si="1458"/>
        <v/>
      </c>
      <c r="AF4747" s="199" t="str">
        <f>IF(AND(COUNTIFS($J$18:J4747,J4747)=1,AE4747=1),1,"")</f>
        <v/>
      </c>
      <c r="AG4747" s="199" t="str">
        <f>IF(C4747="","",IF(AND(COUNTIFS($J$18:J4747,J4747)=1,C4747&lt;&gt;""),1,""))</f>
        <v/>
      </c>
      <c r="AH4747" s="199" t="str">
        <f>IF(G4747="","",IF(AND(COUNTIFS($J$18:J4747,J4747)=1,G4747&lt;&gt;""),1,""))</f>
        <v/>
      </c>
      <c r="AI4747" s="200">
        <f t="shared" si="1459"/>
        <v>0</v>
      </c>
      <c r="AJ4747" s="200">
        <f t="shared" si="1460"/>
        <v>0</v>
      </c>
      <c r="AK4747" s="201" t="str">
        <f t="shared" si="1461"/>
        <v/>
      </c>
      <c r="AL4747" s="24"/>
      <c r="AM4747" s="24"/>
      <c r="AN4747" s="24"/>
      <c r="AO4747" s="24"/>
      <c r="AP4747" s="165" t="str">
        <f t="shared" si="1462"/>
        <v/>
      </c>
      <c r="AQ4747" s="203" t="str">
        <f t="shared" si="1463"/>
        <v/>
      </c>
      <c r="AR4747" s="206">
        <f t="shared" si="1464"/>
        <v>0</v>
      </c>
      <c r="AS4747" s="22" t="str">
        <f t="shared" si="1465"/>
        <v/>
      </c>
      <c r="AT4747" s="24" t="str">
        <f t="shared" si="1466"/>
        <v/>
      </c>
      <c r="AU4747" s="22" t="s">
        <v>3240</v>
      </c>
    </row>
    <row r="4748" spans="1:47">
      <c r="A4748" s="246" t="str">
        <f t="shared" si="1454"/>
        <v/>
      </c>
      <c r="B4748" s="23"/>
      <c r="C4748" s="23"/>
      <c r="D4748" s="202" t="str">
        <f t="shared" si="1455"/>
        <v/>
      </c>
      <c r="E4748" s="33" t="str">
        <f t="shared" si="1449"/>
        <v/>
      </c>
      <c r="F4748" s="23"/>
      <c r="G4748" s="23"/>
      <c r="H4748" s="29"/>
      <c r="I4748" s="204" t="str">
        <f t="shared" si="1452"/>
        <v/>
      </c>
      <c r="J4748" s="188"/>
      <c r="K4748" s="29"/>
      <c r="L4748" s="24"/>
      <c r="M4748" s="22"/>
      <c r="N4748" s="22"/>
      <c r="O4748" s="22"/>
      <c r="P4748" s="202" t="str">
        <f t="shared" si="1453"/>
        <v/>
      </c>
      <c r="Q4748" s="22"/>
      <c r="R4748" s="22"/>
      <c r="S4748" s="22"/>
      <c r="T4748" s="22"/>
      <c r="U4748" s="22"/>
      <c r="V4748" s="22"/>
      <c r="W4748" s="22"/>
      <c r="X4748" s="104"/>
      <c r="Y4748" s="195" t="str">
        <f t="shared" si="1450"/>
        <v/>
      </c>
      <c r="Z4748" s="196" t="str">
        <f t="shared" si="1451"/>
        <v/>
      </c>
      <c r="AA4748" s="22"/>
      <c r="AB4748" s="197" t="str">
        <f t="shared" si="1456"/>
        <v/>
      </c>
      <c r="AC4748" s="198" t="str">
        <f t="shared" si="1457"/>
        <v/>
      </c>
      <c r="AD4748" s="162"/>
      <c r="AE4748" s="199" t="str">
        <f t="shared" si="1458"/>
        <v/>
      </c>
      <c r="AF4748" s="199" t="str">
        <f>IF(AND(COUNTIFS($J$18:J4748,J4748)=1,AE4748=1),1,"")</f>
        <v/>
      </c>
      <c r="AG4748" s="199" t="str">
        <f>IF(C4748="","",IF(AND(COUNTIFS($J$18:J4748,J4748)=1,C4748&lt;&gt;""),1,""))</f>
        <v/>
      </c>
      <c r="AH4748" s="199" t="str">
        <f>IF(G4748="","",IF(AND(COUNTIFS($J$18:J4748,J4748)=1,G4748&lt;&gt;""),1,""))</f>
        <v/>
      </c>
      <c r="AI4748" s="200">
        <f t="shared" si="1459"/>
        <v>0</v>
      </c>
      <c r="AJ4748" s="200">
        <f t="shared" si="1460"/>
        <v>0</v>
      </c>
      <c r="AK4748" s="201" t="str">
        <f t="shared" si="1461"/>
        <v/>
      </c>
      <c r="AL4748" s="24"/>
      <c r="AM4748" s="24"/>
      <c r="AN4748" s="24"/>
      <c r="AO4748" s="24"/>
      <c r="AP4748" s="165" t="str">
        <f t="shared" si="1462"/>
        <v/>
      </c>
      <c r="AQ4748" s="203" t="str">
        <f t="shared" si="1463"/>
        <v/>
      </c>
      <c r="AR4748" s="206">
        <f t="shared" si="1464"/>
        <v>0</v>
      </c>
      <c r="AS4748" s="22" t="str">
        <f t="shared" si="1465"/>
        <v/>
      </c>
      <c r="AT4748" s="24" t="str">
        <f t="shared" si="1466"/>
        <v/>
      </c>
      <c r="AU4748" s="22" t="s">
        <v>3240</v>
      </c>
    </row>
    <row r="4749" spans="1:47">
      <c r="A4749" s="246" t="str">
        <f t="shared" si="1454"/>
        <v/>
      </c>
      <c r="B4749" s="23"/>
      <c r="C4749" s="23"/>
      <c r="D4749" s="202" t="str">
        <f t="shared" si="1455"/>
        <v/>
      </c>
      <c r="E4749" s="33" t="str">
        <f t="shared" si="1449"/>
        <v/>
      </c>
      <c r="F4749" s="23"/>
      <c r="G4749" s="23"/>
      <c r="H4749" s="29"/>
      <c r="I4749" s="204" t="str">
        <f t="shared" si="1452"/>
        <v/>
      </c>
      <c r="J4749" s="188"/>
      <c r="K4749" s="29"/>
      <c r="L4749" s="24"/>
      <c r="M4749" s="22"/>
      <c r="N4749" s="22"/>
      <c r="O4749" s="22"/>
      <c r="P4749" s="202" t="str">
        <f t="shared" si="1453"/>
        <v/>
      </c>
      <c r="Q4749" s="22"/>
      <c r="R4749" s="22"/>
      <c r="S4749" s="22"/>
      <c r="T4749" s="22"/>
      <c r="U4749" s="22"/>
      <c r="V4749" s="22"/>
      <c r="W4749" s="22"/>
      <c r="X4749" s="104"/>
      <c r="Y4749" s="195" t="str">
        <f t="shared" si="1450"/>
        <v/>
      </c>
      <c r="Z4749" s="196" t="str">
        <f t="shared" si="1451"/>
        <v/>
      </c>
      <c r="AA4749" s="22"/>
      <c r="AB4749" s="197" t="str">
        <f t="shared" si="1456"/>
        <v/>
      </c>
      <c r="AC4749" s="198" t="str">
        <f t="shared" si="1457"/>
        <v/>
      </c>
      <c r="AD4749" s="162"/>
      <c r="AE4749" s="199" t="str">
        <f t="shared" si="1458"/>
        <v/>
      </c>
      <c r="AF4749" s="199" t="str">
        <f>IF(AND(COUNTIFS($J$18:J4749,J4749)=1,AE4749=1),1,"")</f>
        <v/>
      </c>
      <c r="AG4749" s="199" t="str">
        <f>IF(C4749="","",IF(AND(COUNTIFS($J$18:J4749,J4749)=1,C4749&lt;&gt;""),1,""))</f>
        <v/>
      </c>
      <c r="AH4749" s="199" t="str">
        <f>IF(G4749="","",IF(AND(COUNTIFS($J$18:J4749,J4749)=1,G4749&lt;&gt;""),1,""))</f>
        <v/>
      </c>
      <c r="AI4749" s="200">
        <f t="shared" si="1459"/>
        <v>0</v>
      </c>
      <c r="AJ4749" s="200">
        <f t="shared" si="1460"/>
        <v>0</v>
      </c>
      <c r="AK4749" s="201" t="str">
        <f t="shared" si="1461"/>
        <v/>
      </c>
      <c r="AL4749" s="24"/>
      <c r="AM4749" s="24"/>
      <c r="AN4749" s="24"/>
      <c r="AO4749" s="24"/>
      <c r="AP4749" s="165" t="str">
        <f t="shared" si="1462"/>
        <v/>
      </c>
      <c r="AQ4749" s="203" t="str">
        <f t="shared" si="1463"/>
        <v/>
      </c>
      <c r="AR4749" s="206">
        <f t="shared" si="1464"/>
        <v>0</v>
      </c>
      <c r="AS4749" s="22" t="str">
        <f t="shared" si="1465"/>
        <v/>
      </c>
      <c r="AT4749" s="24" t="str">
        <f t="shared" si="1466"/>
        <v/>
      </c>
      <c r="AU4749" s="22" t="s">
        <v>3240</v>
      </c>
    </row>
    <row r="4750" spans="1:47">
      <c r="A4750" s="246" t="str">
        <f t="shared" si="1454"/>
        <v/>
      </c>
      <c r="B4750" s="23"/>
      <c r="C4750" s="23"/>
      <c r="D4750" s="202" t="str">
        <f t="shared" si="1455"/>
        <v/>
      </c>
      <c r="E4750" s="33" t="str">
        <f t="shared" si="1449"/>
        <v/>
      </c>
      <c r="F4750" s="23"/>
      <c r="G4750" s="23"/>
      <c r="H4750" s="29"/>
      <c r="I4750" s="204" t="str">
        <f t="shared" si="1452"/>
        <v/>
      </c>
      <c r="J4750" s="188"/>
      <c r="K4750" s="29"/>
      <c r="L4750" s="24"/>
      <c r="M4750" s="22"/>
      <c r="N4750" s="22"/>
      <c r="O4750" s="22"/>
      <c r="P4750" s="202" t="str">
        <f t="shared" si="1453"/>
        <v/>
      </c>
      <c r="Q4750" s="22"/>
      <c r="R4750" s="22"/>
      <c r="S4750" s="22"/>
      <c r="T4750" s="22"/>
      <c r="U4750" s="22"/>
      <c r="V4750" s="22"/>
      <c r="W4750" s="22"/>
      <c r="X4750" s="104"/>
      <c r="Y4750" s="195" t="str">
        <f t="shared" si="1450"/>
        <v/>
      </c>
      <c r="Z4750" s="196" t="str">
        <f t="shared" si="1451"/>
        <v/>
      </c>
      <c r="AA4750" s="22"/>
      <c r="AB4750" s="197" t="str">
        <f t="shared" si="1456"/>
        <v/>
      </c>
      <c r="AC4750" s="198" t="str">
        <f t="shared" si="1457"/>
        <v/>
      </c>
      <c r="AD4750" s="162"/>
      <c r="AE4750" s="199" t="str">
        <f t="shared" si="1458"/>
        <v/>
      </c>
      <c r="AF4750" s="199" t="str">
        <f>IF(AND(COUNTIFS($J$18:J4750,J4750)=1,AE4750=1),1,"")</f>
        <v/>
      </c>
      <c r="AG4750" s="199" t="str">
        <f>IF(C4750="","",IF(AND(COUNTIFS($J$18:J4750,J4750)=1,C4750&lt;&gt;""),1,""))</f>
        <v/>
      </c>
      <c r="AH4750" s="199" t="str">
        <f>IF(G4750="","",IF(AND(COUNTIFS($J$18:J4750,J4750)=1,G4750&lt;&gt;""),1,""))</f>
        <v/>
      </c>
      <c r="AI4750" s="200">
        <f t="shared" si="1459"/>
        <v>0</v>
      </c>
      <c r="AJ4750" s="200">
        <f t="shared" si="1460"/>
        <v>0</v>
      </c>
      <c r="AK4750" s="201" t="str">
        <f t="shared" si="1461"/>
        <v/>
      </c>
      <c r="AL4750" s="24"/>
      <c r="AM4750" s="24"/>
      <c r="AN4750" s="24"/>
      <c r="AO4750" s="24"/>
      <c r="AP4750" s="165" t="str">
        <f t="shared" si="1462"/>
        <v/>
      </c>
      <c r="AQ4750" s="203" t="str">
        <f t="shared" si="1463"/>
        <v/>
      </c>
      <c r="AR4750" s="206">
        <f t="shared" si="1464"/>
        <v>0</v>
      </c>
      <c r="AS4750" s="22" t="str">
        <f t="shared" si="1465"/>
        <v/>
      </c>
      <c r="AT4750" s="24" t="str">
        <f t="shared" si="1466"/>
        <v/>
      </c>
      <c r="AU4750" s="22" t="s">
        <v>3240</v>
      </c>
    </row>
    <row r="4751" spans="1:47">
      <c r="A4751" s="246" t="str">
        <f t="shared" si="1454"/>
        <v/>
      </c>
      <c r="B4751" s="23"/>
      <c r="C4751" s="23"/>
      <c r="D4751" s="202" t="str">
        <f t="shared" si="1455"/>
        <v/>
      </c>
      <c r="E4751" s="33" t="str">
        <f t="shared" si="1449"/>
        <v/>
      </c>
      <c r="F4751" s="23"/>
      <c r="G4751" s="23"/>
      <c r="H4751" s="29"/>
      <c r="I4751" s="204" t="str">
        <f t="shared" si="1452"/>
        <v/>
      </c>
      <c r="J4751" s="188"/>
      <c r="K4751" s="29"/>
      <c r="L4751" s="24"/>
      <c r="M4751" s="22"/>
      <c r="N4751" s="22"/>
      <c r="O4751" s="22"/>
      <c r="P4751" s="202" t="str">
        <f t="shared" si="1453"/>
        <v/>
      </c>
      <c r="Q4751" s="22"/>
      <c r="R4751" s="22"/>
      <c r="S4751" s="22"/>
      <c r="T4751" s="22"/>
      <c r="U4751" s="22"/>
      <c r="V4751" s="22"/>
      <c r="W4751" s="22"/>
      <c r="X4751" s="104"/>
      <c r="Y4751" s="195" t="str">
        <f t="shared" si="1450"/>
        <v/>
      </c>
      <c r="Z4751" s="196" t="str">
        <f t="shared" si="1451"/>
        <v/>
      </c>
      <c r="AA4751" s="22"/>
      <c r="AB4751" s="197" t="str">
        <f t="shared" si="1456"/>
        <v/>
      </c>
      <c r="AC4751" s="198" t="str">
        <f t="shared" si="1457"/>
        <v/>
      </c>
      <c r="AD4751" s="162"/>
      <c r="AE4751" s="199" t="str">
        <f t="shared" si="1458"/>
        <v/>
      </c>
      <c r="AF4751" s="199" t="str">
        <f>IF(AND(COUNTIFS($J$18:J4751,J4751)=1,AE4751=1),1,"")</f>
        <v/>
      </c>
      <c r="AG4751" s="199" t="str">
        <f>IF(C4751="","",IF(AND(COUNTIFS($J$18:J4751,J4751)=1,C4751&lt;&gt;""),1,""))</f>
        <v/>
      </c>
      <c r="AH4751" s="199" t="str">
        <f>IF(G4751="","",IF(AND(COUNTIFS($J$18:J4751,J4751)=1,G4751&lt;&gt;""),1,""))</f>
        <v/>
      </c>
      <c r="AI4751" s="200">
        <f t="shared" si="1459"/>
        <v>0</v>
      </c>
      <c r="AJ4751" s="200">
        <f t="shared" si="1460"/>
        <v>0</v>
      </c>
      <c r="AK4751" s="201" t="str">
        <f t="shared" si="1461"/>
        <v/>
      </c>
      <c r="AL4751" s="24"/>
      <c r="AM4751" s="24"/>
      <c r="AN4751" s="24"/>
      <c r="AO4751" s="24"/>
      <c r="AP4751" s="165" t="str">
        <f t="shared" si="1462"/>
        <v/>
      </c>
      <c r="AQ4751" s="203" t="str">
        <f t="shared" si="1463"/>
        <v/>
      </c>
      <c r="AR4751" s="206">
        <f t="shared" si="1464"/>
        <v>0</v>
      </c>
      <c r="AS4751" s="22" t="str">
        <f t="shared" si="1465"/>
        <v/>
      </c>
      <c r="AT4751" s="24" t="str">
        <f t="shared" si="1466"/>
        <v/>
      </c>
      <c r="AU4751" s="22" t="s">
        <v>3240</v>
      </c>
    </row>
    <row r="4752" spans="1:47">
      <c r="A4752" s="246" t="str">
        <f t="shared" si="1454"/>
        <v/>
      </c>
      <c r="B4752" s="23"/>
      <c r="C4752" s="23"/>
      <c r="D4752" s="202" t="str">
        <f t="shared" si="1455"/>
        <v/>
      </c>
      <c r="E4752" s="33" t="str">
        <f t="shared" si="1449"/>
        <v/>
      </c>
      <c r="F4752" s="23"/>
      <c r="G4752" s="23"/>
      <c r="H4752" s="29"/>
      <c r="I4752" s="204" t="str">
        <f t="shared" si="1452"/>
        <v/>
      </c>
      <c r="J4752" s="188"/>
      <c r="K4752" s="29"/>
      <c r="L4752" s="24"/>
      <c r="M4752" s="22"/>
      <c r="N4752" s="22"/>
      <c r="O4752" s="22"/>
      <c r="P4752" s="202" t="str">
        <f t="shared" si="1453"/>
        <v/>
      </c>
      <c r="Q4752" s="22"/>
      <c r="R4752" s="22"/>
      <c r="S4752" s="22"/>
      <c r="T4752" s="22"/>
      <c r="U4752" s="22"/>
      <c r="V4752" s="22"/>
      <c r="W4752" s="22"/>
      <c r="X4752" s="104"/>
      <c r="Y4752" s="195" t="str">
        <f t="shared" si="1450"/>
        <v/>
      </c>
      <c r="Z4752" s="196" t="str">
        <f t="shared" si="1451"/>
        <v/>
      </c>
      <c r="AA4752" s="22"/>
      <c r="AB4752" s="197" t="str">
        <f t="shared" si="1456"/>
        <v/>
      </c>
      <c r="AC4752" s="198" t="str">
        <f t="shared" si="1457"/>
        <v/>
      </c>
      <c r="AD4752" s="162"/>
      <c r="AE4752" s="199" t="str">
        <f t="shared" si="1458"/>
        <v/>
      </c>
      <c r="AF4752" s="199" t="str">
        <f>IF(AND(COUNTIFS($J$18:J4752,J4752)=1,AE4752=1),1,"")</f>
        <v/>
      </c>
      <c r="AG4752" s="199" t="str">
        <f>IF(C4752="","",IF(AND(COUNTIFS($J$18:J4752,J4752)=1,C4752&lt;&gt;""),1,""))</f>
        <v/>
      </c>
      <c r="AH4752" s="199" t="str">
        <f>IF(G4752="","",IF(AND(COUNTIFS($J$18:J4752,J4752)=1,G4752&lt;&gt;""),1,""))</f>
        <v/>
      </c>
      <c r="AI4752" s="200">
        <f t="shared" si="1459"/>
        <v>0</v>
      </c>
      <c r="AJ4752" s="200">
        <f t="shared" si="1460"/>
        <v>0</v>
      </c>
      <c r="AK4752" s="201" t="str">
        <f t="shared" si="1461"/>
        <v/>
      </c>
      <c r="AL4752" s="24"/>
      <c r="AM4752" s="24"/>
      <c r="AN4752" s="24"/>
      <c r="AO4752" s="24"/>
      <c r="AP4752" s="165" t="str">
        <f t="shared" si="1462"/>
        <v/>
      </c>
      <c r="AQ4752" s="203" t="str">
        <f t="shared" si="1463"/>
        <v/>
      </c>
      <c r="AR4752" s="206">
        <f t="shared" si="1464"/>
        <v>0</v>
      </c>
      <c r="AS4752" s="22" t="str">
        <f t="shared" si="1465"/>
        <v/>
      </c>
      <c r="AT4752" s="24" t="str">
        <f t="shared" si="1466"/>
        <v/>
      </c>
      <c r="AU4752" s="22" t="s">
        <v>3240</v>
      </c>
    </row>
    <row r="4753" spans="1:47">
      <c r="A4753" s="246" t="str">
        <f t="shared" si="1454"/>
        <v/>
      </c>
      <c r="B4753" s="23"/>
      <c r="C4753" s="23"/>
      <c r="D4753" s="202" t="str">
        <f t="shared" si="1455"/>
        <v/>
      </c>
      <c r="E4753" s="33" t="str">
        <f t="shared" si="1449"/>
        <v/>
      </c>
      <c r="F4753" s="23"/>
      <c r="G4753" s="23"/>
      <c r="H4753" s="29"/>
      <c r="I4753" s="204" t="str">
        <f t="shared" si="1452"/>
        <v/>
      </c>
      <c r="J4753" s="188"/>
      <c r="K4753" s="29"/>
      <c r="L4753" s="24"/>
      <c r="M4753" s="22"/>
      <c r="N4753" s="22"/>
      <c r="O4753" s="22"/>
      <c r="P4753" s="202" t="str">
        <f t="shared" si="1453"/>
        <v/>
      </c>
      <c r="Q4753" s="22"/>
      <c r="R4753" s="22"/>
      <c r="S4753" s="22"/>
      <c r="T4753" s="22"/>
      <c r="U4753" s="22"/>
      <c r="V4753" s="22"/>
      <c r="W4753" s="22"/>
      <c r="X4753" s="104"/>
      <c r="Y4753" s="195" t="str">
        <f t="shared" si="1450"/>
        <v/>
      </c>
      <c r="Z4753" s="196" t="str">
        <f t="shared" si="1451"/>
        <v/>
      </c>
      <c r="AA4753" s="22"/>
      <c r="AB4753" s="197" t="str">
        <f t="shared" si="1456"/>
        <v/>
      </c>
      <c r="AC4753" s="198" t="str">
        <f t="shared" si="1457"/>
        <v/>
      </c>
      <c r="AD4753" s="162"/>
      <c r="AE4753" s="199" t="str">
        <f t="shared" si="1458"/>
        <v/>
      </c>
      <c r="AF4753" s="199" t="str">
        <f>IF(AND(COUNTIFS($J$18:J4753,J4753)=1,AE4753=1),1,"")</f>
        <v/>
      </c>
      <c r="AG4753" s="199" t="str">
        <f>IF(C4753="","",IF(AND(COUNTIFS($J$18:J4753,J4753)=1,C4753&lt;&gt;""),1,""))</f>
        <v/>
      </c>
      <c r="AH4753" s="199" t="str">
        <f>IF(G4753="","",IF(AND(COUNTIFS($J$18:J4753,J4753)=1,G4753&lt;&gt;""),1,""))</f>
        <v/>
      </c>
      <c r="AI4753" s="200">
        <f t="shared" si="1459"/>
        <v>0</v>
      </c>
      <c r="AJ4753" s="200">
        <f t="shared" si="1460"/>
        <v>0</v>
      </c>
      <c r="AK4753" s="201" t="str">
        <f t="shared" si="1461"/>
        <v/>
      </c>
      <c r="AL4753" s="24"/>
      <c r="AM4753" s="24"/>
      <c r="AN4753" s="24"/>
      <c r="AO4753" s="24"/>
      <c r="AP4753" s="165" t="str">
        <f t="shared" si="1462"/>
        <v/>
      </c>
      <c r="AQ4753" s="203" t="str">
        <f t="shared" si="1463"/>
        <v/>
      </c>
      <c r="AR4753" s="206">
        <f t="shared" si="1464"/>
        <v>0</v>
      </c>
      <c r="AS4753" s="22" t="str">
        <f t="shared" si="1465"/>
        <v/>
      </c>
      <c r="AT4753" s="24" t="str">
        <f t="shared" si="1466"/>
        <v/>
      </c>
      <c r="AU4753" s="22" t="s">
        <v>3240</v>
      </c>
    </row>
    <row r="4754" spans="1:47">
      <c r="A4754" s="246" t="str">
        <f t="shared" si="1454"/>
        <v/>
      </c>
      <c r="B4754" s="23"/>
      <c r="C4754" s="23"/>
      <c r="D4754" s="202" t="str">
        <f t="shared" si="1455"/>
        <v/>
      </c>
      <c r="E4754" s="33" t="str">
        <f t="shared" si="1449"/>
        <v/>
      </c>
      <c r="F4754" s="23"/>
      <c r="G4754" s="23"/>
      <c r="H4754" s="29"/>
      <c r="I4754" s="204" t="str">
        <f t="shared" si="1452"/>
        <v/>
      </c>
      <c r="J4754" s="188"/>
      <c r="K4754" s="29"/>
      <c r="L4754" s="24"/>
      <c r="M4754" s="22"/>
      <c r="N4754" s="22"/>
      <c r="O4754" s="22"/>
      <c r="P4754" s="202" t="str">
        <f t="shared" si="1453"/>
        <v/>
      </c>
      <c r="Q4754" s="22"/>
      <c r="R4754" s="22"/>
      <c r="S4754" s="22"/>
      <c r="T4754" s="22"/>
      <c r="U4754" s="22"/>
      <c r="V4754" s="22"/>
      <c r="W4754" s="22"/>
      <c r="X4754" s="104"/>
      <c r="Y4754" s="195" t="str">
        <f t="shared" si="1450"/>
        <v/>
      </c>
      <c r="Z4754" s="196" t="str">
        <f t="shared" si="1451"/>
        <v/>
      </c>
      <c r="AA4754" s="22"/>
      <c r="AB4754" s="197" t="str">
        <f t="shared" si="1456"/>
        <v/>
      </c>
      <c r="AC4754" s="198" t="str">
        <f t="shared" si="1457"/>
        <v/>
      </c>
      <c r="AD4754" s="162"/>
      <c r="AE4754" s="199" t="str">
        <f t="shared" si="1458"/>
        <v/>
      </c>
      <c r="AF4754" s="199" t="str">
        <f>IF(AND(COUNTIFS($J$18:J4754,J4754)=1,AE4754=1),1,"")</f>
        <v/>
      </c>
      <c r="AG4754" s="199" t="str">
        <f>IF(C4754="","",IF(AND(COUNTIFS($J$18:J4754,J4754)=1,C4754&lt;&gt;""),1,""))</f>
        <v/>
      </c>
      <c r="AH4754" s="199" t="str">
        <f>IF(G4754="","",IF(AND(COUNTIFS($J$18:J4754,J4754)=1,G4754&lt;&gt;""),1,""))</f>
        <v/>
      </c>
      <c r="AI4754" s="200">
        <f t="shared" si="1459"/>
        <v>0</v>
      </c>
      <c r="AJ4754" s="200">
        <f t="shared" si="1460"/>
        <v>0</v>
      </c>
      <c r="AK4754" s="201" t="str">
        <f t="shared" si="1461"/>
        <v/>
      </c>
      <c r="AL4754" s="24"/>
      <c r="AM4754" s="24"/>
      <c r="AN4754" s="24"/>
      <c r="AO4754" s="24"/>
      <c r="AP4754" s="165" t="str">
        <f t="shared" si="1462"/>
        <v/>
      </c>
      <c r="AQ4754" s="203" t="str">
        <f t="shared" si="1463"/>
        <v/>
      </c>
      <c r="AR4754" s="206">
        <f t="shared" si="1464"/>
        <v>0</v>
      </c>
      <c r="AS4754" s="22" t="str">
        <f t="shared" si="1465"/>
        <v/>
      </c>
      <c r="AT4754" s="24" t="str">
        <f t="shared" si="1466"/>
        <v/>
      </c>
      <c r="AU4754" s="22" t="s">
        <v>3240</v>
      </c>
    </row>
    <row r="4755" spans="1:47">
      <c r="A4755" s="246" t="str">
        <f t="shared" si="1454"/>
        <v/>
      </c>
      <c r="B4755" s="23"/>
      <c r="C4755" s="23"/>
      <c r="D4755" s="202" t="str">
        <f t="shared" si="1455"/>
        <v/>
      </c>
      <c r="E4755" s="33" t="str">
        <f t="shared" si="1449"/>
        <v/>
      </c>
      <c r="F4755" s="23"/>
      <c r="G4755" s="23"/>
      <c r="H4755" s="29"/>
      <c r="I4755" s="204" t="str">
        <f t="shared" si="1452"/>
        <v/>
      </c>
      <c r="J4755" s="188"/>
      <c r="K4755" s="29"/>
      <c r="L4755" s="24"/>
      <c r="M4755" s="22"/>
      <c r="N4755" s="22"/>
      <c r="O4755" s="22"/>
      <c r="P4755" s="202" t="str">
        <f t="shared" si="1453"/>
        <v/>
      </c>
      <c r="Q4755" s="22"/>
      <c r="R4755" s="22"/>
      <c r="S4755" s="22"/>
      <c r="T4755" s="22"/>
      <c r="U4755" s="22"/>
      <c r="V4755" s="22"/>
      <c r="W4755" s="22"/>
      <c r="X4755" s="104"/>
      <c r="Y4755" s="195" t="str">
        <f t="shared" si="1450"/>
        <v/>
      </c>
      <c r="Z4755" s="196" t="str">
        <f t="shared" si="1451"/>
        <v/>
      </c>
      <c r="AA4755" s="22"/>
      <c r="AB4755" s="197" t="str">
        <f t="shared" si="1456"/>
        <v/>
      </c>
      <c r="AC4755" s="198" t="str">
        <f t="shared" si="1457"/>
        <v/>
      </c>
      <c r="AD4755" s="162"/>
      <c r="AE4755" s="199" t="str">
        <f t="shared" si="1458"/>
        <v/>
      </c>
      <c r="AF4755" s="199" t="str">
        <f>IF(AND(COUNTIFS($J$18:J4755,J4755)=1,AE4755=1),1,"")</f>
        <v/>
      </c>
      <c r="AG4755" s="199" t="str">
        <f>IF(C4755="","",IF(AND(COUNTIFS($J$18:J4755,J4755)=1,C4755&lt;&gt;""),1,""))</f>
        <v/>
      </c>
      <c r="AH4755" s="199" t="str">
        <f>IF(G4755="","",IF(AND(COUNTIFS($J$18:J4755,J4755)=1,G4755&lt;&gt;""),1,""))</f>
        <v/>
      </c>
      <c r="AI4755" s="200">
        <f t="shared" si="1459"/>
        <v>0</v>
      </c>
      <c r="AJ4755" s="200">
        <f t="shared" si="1460"/>
        <v>0</v>
      </c>
      <c r="AK4755" s="201" t="str">
        <f t="shared" si="1461"/>
        <v/>
      </c>
      <c r="AL4755" s="24"/>
      <c r="AM4755" s="24"/>
      <c r="AN4755" s="24"/>
      <c r="AO4755" s="24"/>
      <c r="AP4755" s="165" t="str">
        <f t="shared" si="1462"/>
        <v/>
      </c>
      <c r="AQ4755" s="203" t="str">
        <f t="shared" si="1463"/>
        <v/>
      </c>
      <c r="AR4755" s="206">
        <f t="shared" si="1464"/>
        <v>0</v>
      </c>
      <c r="AS4755" s="22" t="str">
        <f t="shared" si="1465"/>
        <v/>
      </c>
      <c r="AT4755" s="24" t="str">
        <f t="shared" si="1466"/>
        <v/>
      </c>
      <c r="AU4755" s="22" t="s">
        <v>3240</v>
      </c>
    </row>
    <row r="4756" spans="1:47">
      <c r="A4756" s="246" t="str">
        <f t="shared" si="1454"/>
        <v/>
      </c>
      <c r="B4756" s="23"/>
      <c r="C4756" s="23"/>
      <c r="D4756" s="202" t="str">
        <f t="shared" si="1455"/>
        <v/>
      </c>
      <c r="E4756" s="33" t="str">
        <f t="shared" si="1449"/>
        <v/>
      </c>
      <c r="F4756" s="23"/>
      <c r="G4756" s="23"/>
      <c r="H4756" s="29"/>
      <c r="I4756" s="204" t="str">
        <f t="shared" si="1452"/>
        <v/>
      </c>
      <c r="J4756" s="188"/>
      <c r="K4756" s="29"/>
      <c r="L4756" s="24"/>
      <c r="M4756" s="22"/>
      <c r="N4756" s="22"/>
      <c r="O4756" s="22"/>
      <c r="P4756" s="202" t="str">
        <f t="shared" si="1453"/>
        <v/>
      </c>
      <c r="Q4756" s="22"/>
      <c r="R4756" s="22"/>
      <c r="S4756" s="22"/>
      <c r="T4756" s="22"/>
      <c r="U4756" s="22"/>
      <c r="V4756" s="22"/>
      <c r="W4756" s="22"/>
      <c r="X4756" s="104"/>
      <c r="Y4756" s="195" t="str">
        <f t="shared" si="1450"/>
        <v/>
      </c>
      <c r="Z4756" s="196" t="str">
        <f t="shared" si="1451"/>
        <v/>
      </c>
      <c r="AA4756" s="22"/>
      <c r="AB4756" s="197" t="str">
        <f t="shared" si="1456"/>
        <v/>
      </c>
      <c r="AC4756" s="198" t="str">
        <f t="shared" si="1457"/>
        <v/>
      </c>
      <c r="AD4756" s="162"/>
      <c r="AE4756" s="199" t="str">
        <f t="shared" si="1458"/>
        <v/>
      </c>
      <c r="AF4756" s="199" t="str">
        <f>IF(AND(COUNTIFS($J$18:J4756,J4756)=1,AE4756=1),1,"")</f>
        <v/>
      </c>
      <c r="AG4756" s="199" t="str">
        <f>IF(C4756="","",IF(AND(COUNTIFS($J$18:J4756,J4756)=1,C4756&lt;&gt;""),1,""))</f>
        <v/>
      </c>
      <c r="AH4756" s="199" t="str">
        <f>IF(G4756="","",IF(AND(COUNTIFS($J$18:J4756,J4756)=1,G4756&lt;&gt;""),1,""))</f>
        <v/>
      </c>
      <c r="AI4756" s="200">
        <f t="shared" si="1459"/>
        <v>0</v>
      </c>
      <c r="AJ4756" s="200">
        <f t="shared" si="1460"/>
        <v>0</v>
      </c>
      <c r="AK4756" s="201" t="str">
        <f t="shared" si="1461"/>
        <v/>
      </c>
      <c r="AL4756" s="24"/>
      <c r="AM4756" s="24"/>
      <c r="AN4756" s="24"/>
      <c r="AO4756" s="24"/>
      <c r="AP4756" s="165" t="str">
        <f t="shared" si="1462"/>
        <v/>
      </c>
      <c r="AQ4756" s="203" t="str">
        <f t="shared" si="1463"/>
        <v/>
      </c>
      <c r="AR4756" s="206">
        <f t="shared" si="1464"/>
        <v>0</v>
      </c>
      <c r="AS4756" s="22" t="str">
        <f t="shared" si="1465"/>
        <v/>
      </c>
      <c r="AT4756" s="24" t="str">
        <f t="shared" si="1466"/>
        <v/>
      </c>
      <c r="AU4756" s="22" t="s">
        <v>3240</v>
      </c>
    </row>
    <row r="4757" spans="1:47">
      <c r="A4757" s="246" t="str">
        <f t="shared" si="1454"/>
        <v/>
      </c>
      <c r="B4757" s="23"/>
      <c r="C4757" s="23"/>
      <c r="D4757" s="202" t="str">
        <f t="shared" si="1455"/>
        <v/>
      </c>
      <c r="E4757" s="33" t="str">
        <f t="shared" si="1449"/>
        <v/>
      </c>
      <c r="F4757" s="23"/>
      <c r="G4757" s="23"/>
      <c r="H4757" s="29"/>
      <c r="I4757" s="204" t="str">
        <f t="shared" si="1452"/>
        <v/>
      </c>
      <c r="J4757" s="188"/>
      <c r="K4757" s="29"/>
      <c r="L4757" s="24"/>
      <c r="M4757" s="22"/>
      <c r="N4757" s="22"/>
      <c r="O4757" s="22"/>
      <c r="P4757" s="202" t="str">
        <f t="shared" si="1453"/>
        <v/>
      </c>
      <c r="Q4757" s="22"/>
      <c r="R4757" s="22"/>
      <c r="S4757" s="22"/>
      <c r="T4757" s="22"/>
      <c r="U4757" s="22"/>
      <c r="V4757" s="22"/>
      <c r="W4757" s="22"/>
      <c r="X4757" s="104"/>
      <c r="Y4757" s="195" t="str">
        <f t="shared" si="1450"/>
        <v/>
      </c>
      <c r="Z4757" s="196" t="str">
        <f t="shared" si="1451"/>
        <v/>
      </c>
      <c r="AA4757" s="22"/>
      <c r="AB4757" s="197" t="str">
        <f t="shared" si="1456"/>
        <v/>
      </c>
      <c r="AC4757" s="198" t="str">
        <f t="shared" si="1457"/>
        <v/>
      </c>
      <c r="AD4757" s="162"/>
      <c r="AE4757" s="199" t="str">
        <f t="shared" si="1458"/>
        <v/>
      </c>
      <c r="AF4757" s="199" t="str">
        <f>IF(AND(COUNTIFS($J$18:J4757,J4757)=1,AE4757=1),1,"")</f>
        <v/>
      </c>
      <c r="AG4757" s="199" t="str">
        <f>IF(C4757="","",IF(AND(COUNTIFS($J$18:J4757,J4757)=1,C4757&lt;&gt;""),1,""))</f>
        <v/>
      </c>
      <c r="AH4757" s="199" t="str">
        <f>IF(G4757="","",IF(AND(COUNTIFS($J$18:J4757,J4757)=1,G4757&lt;&gt;""),1,""))</f>
        <v/>
      </c>
      <c r="AI4757" s="200">
        <f t="shared" si="1459"/>
        <v>0</v>
      </c>
      <c r="AJ4757" s="200">
        <f t="shared" si="1460"/>
        <v>0</v>
      </c>
      <c r="AK4757" s="201" t="str">
        <f t="shared" si="1461"/>
        <v/>
      </c>
      <c r="AL4757" s="24"/>
      <c r="AM4757" s="24"/>
      <c r="AN4757" s="24"/>
      <c r="AO4757" s="24"/>
      <c r="AP4757" s="165" t="str">
        <f t="shared" si="1462"/>
        <v/>
      </c>
      <c r="AQ4757" s="203" t="str">
        <f t="shared" si="1463"/>
        <v/>
      </c>
      <c r="AR4757" s="206">
        <f t="shared" si="1464"/>
        <v>0</v>
      </c>
      <c r="AS4757" s="22" t="str">
        <f t="shared" si="1465"/>
        <v/>
      </c>
      <c r="AT4757" s="24" t="str">
        <f t="shared" si="1466"/>
        <v/>
      </c>
      <c r="AU4757" s="22" t="s">
        <v>3240</v>
      </c>
    </row>
    <row r="4758" spans="1:47">
      <c r="A4758" s="246" t="str">
        <f t="shared" si="1454"/>
        <v/>
      </c>
      <c r="B4758" s="23"/>
      <c r="C4758" s="23"/>
      <c r="D4758" s="202" t="str">
        <f t="shared" si="1455"/>
        <v/>
      </c>
      <c r="E4758" s="33" t="str">
        <f t="shared" si="1449"/>
        <v/>
      </c>
      <c r="F4758" s="23"/>
      <c r="G4758" s="23"/>
      <c r="H4758" s="29"/>
      <c r="I4758" s="204" t="str">
        <f t="shared" si="1452"/>
        <v/>
      </c>
      <c r="J4758" s="188"/>
      <c r="K4758" s="29"/>
      <c r="L4758" s="24"/>
      <c r="M4758" s="22"/>
      <c r="N4758" s="22"/>
      <c r="O4758" s="22"/>
      <c r="P4758" s="202" t="str">
        <f t="shared" si="1453"/>
        <v/>
      </c>
      <c r="Q4758" s="22"/>
      <c r="R4758" s="22"/>
      <c r="S4758" s="22"/>
      <c r="T4758" s="22"/>
      <c r="U4758" s="22"/>
      <c r="V4758" s="22"/>
      <c r="W4758" s="22"/>
      <c r="X4758" s="104"/>
      <c r="Y4758" s="195" t="str">
        <f t="shared" si="1450"/>
        <v/>
      </c>
      <c r="Z4758" s="196" t="str">
        <f t="shared" si="1451"/>
        <v/>
      </c>
      <c r="AA4758" s="22"/>
      <c r="AB4758" s="197" t="str">
        <f t="shared" si="1456"/>
        <v/>
      </c>
      <c r="AC4758" s="198" t="str">
        <f t="shared" si="1457"/>
        <v/>
      </c>
      <c r="AD4758" s="162"/>
      <c r="AE4758" s="199" t="str">
        <f t="shared" si="1458"/>
        <v/>
      </c>
      <c r="AF4758" s="199" t="str">
        <f>IF(AND(COUNTIFS($J$18:J4758,J4758)=1,AE4758=1),1,"")</f>
        <v/>
      </c>
      <c r="AG4758" s="199" t="str">
        <f>IF(C4758="","",IF(AND(COUNTIFS($J$18:J4758,J4758)=1,C4758&lt;&gt;""),1,""))</f>
        <v/>
      </c>
      <c r="AH4758" s="199" t="str">
        <f>IF(G4758="","",IF(AND(COUNTIFS($J$18:J4758,J4758)=1,G4758&lt;&gt;""),1,""))</f>
        <v/>
      </c>
      <c r="AI4758" s="200">
        <f t="shared" si="1459"/>
        <v>0</v>
      </c>
      <c r="AJ4758" s="200">
        <f t="shared" si="1460"/>
        <v>0</v>
      </c>
      <c r="AK4758" s="201" t="str">
        <f t="shared" si="1461"/>
        <v/>
      </c>
      <c r="AL4758" s="24"/>
      <c r="AM4758" s="24"/>
      <c r="AN4758" s="24"/>
      <c r="AO4758" s="24"/>
      <c r="AP4758" s="165" t="str">
        <f t="shared" si="1462"/>
        <v/>
      </c>
      <c r="AQ4758" s="203" t="str">
        <f t="shared" si="1463"/>
        <v/>
      </c>
      <c r="AR4758" s="206">
        <f t="shared" si="1464"/>
        <v>0</v>
      </c>
      <c r="AS4758" s="22" t="str">
        <f t="shared" si="1465"/>
        <v/>
      </c>
      <c r="AT4758" s="24" t="str">
        <f t="shared" si="1466"/>
        <v/>
      </c>
      <c r="AU4758" s="22" t="s">
        <v>3240</v>
      </c>
    </row>
    <row r="4759" spans="1:47">
      <c r="A4759" s="246" t="str">
        <f t="shared" si="1454"/>
        <v/>
      </c>
      <c r="B4759" s="23"/>
      <c r="C4759" s="23"/>
      <c r="D4759" s="202" t="str">
        <f t="shared" si="1455"/>
        <v/>
      </c>
      <c r="E4759" s="33" t="str">
        <f t="shared" si="1449"/>
        <v/>
      </c>
      <c r="F4759" s="23"/>
      <c r="G4759" s="23"/>
      <c r="H4759" s="29"/>
      <c r="I4759" s="204" t="str">
        <f t="shared" si="1452"/>
        <v/>
      </c>
      <c r="J4759" s="188"/>
      <c r="K4759" s="29"/>
      <c r="L4759" s="24"/>
      <c r="M4759" s="22"/>
      <c r="N4759" s="22"/>
      <c r="O4759" s="22"/>
      <c r="P4759" s="202" t="str">
        <f t="shared" si="1453"/>
        <v/>
      </c>
      <c r="Q4759" s="22"/>
      <c r="R4759" s="22"/>
      <c r="S4759" s="22"/>
      <c r="T4759" s="22"/>
      <c r="U4759" s="22"/>
      <c r="V4759" s="22"/>
      <c r="W4759" s="22"/>
      <c r="X4759" s="104"/>
      <c r="Y4759" s="195" t="str">
        <f t="shared" si="1450"/>
        <v/>
      </c>
      <c r="Z4759" s="196" t="str">
        <f t="shared" si="1451"/>
        <v/>
      </c>
      <c r="AA4759" s="22"/>
      <c r="AB4759" s="197" t="str">
        <f t="shared" si="1456"/>
        <v/>
      </c>
      <c r="AC4759" s="198" t="str">
        <f t="shared" si="1457"/>
        <v/>
      </c>
      <c r="AD4759" s="162"/>
      <c r="AE4759" s="199" t="str">
        <f t="shared" si="1458"/>
        <v/>
      </c>
      <c r="AF4759" s="199" t="str">
        <f>IF(AND(COUNTIFS($J$18:J4759,J4759)=1,AE4759=1),1,"")</f>
        <v/>
      </c>
      <c r="AG4759" s="199" t="str">
        <f>IF(C4759="","",IF(AND(COUNTIFS($J$18:J4759,J4759)=1,C4759&lt;&gt;""),1,""))</f>
        <v/>
      </c>
      <c r="AH4759" s="199" t="str">
        <f>IF(G4759="","",IF(AND(COUNTIFS($J$18:J4759,J4759)=1,G4759&lt;&gt;""),1,""))</f>
        <v/>
      </c>
      <c r="AI4759" s="200">
        <f t="shared" si="1459"/>
        <v>0</v>
      </c>
      <c r="AJ4759" s="200">
        <f t="shared" si="1460"/>
        <v>0</v>
      </c>
      <c r="AK4759" s="201" t="str">
        <f t="shared" si="1461"/>
        <v/>
      </c>
      <c r="AL4759" s="24"/>
      <c r="AM4759" s="24"/>
      <c r="AN4759" s="24"/>
      <c r="AO4759" s="24"/>
      <c r="AP4759" s="165" t="str">
        <f t="shared" si="1462"/>
        <v/>
      </c>
      <c r="AQ4759" s="203" t="str">
        <f t="shared" si="1463"/>
        <v/>
      </c>
      <c r="AR4759" s="206">
        <f t="shared" si="1464"/>
        <v>0</v>
      </c>
      <c r="AS4759" s="22" t="str">
        <f t="shared" si="1465"/>
        <v/>
      </c>
      <c r="AT4759" s="24" t="str">
        <f t="shared" si="1466"/>
        <v/>
      </c>
      <c r="AU4759" s="22" t="s">
        <v>3240</v>
      </c>
    </row>
    <row r="4760" spans="1:47">
      <c r="A4760" s="246" t="str">
        <f t="shared" si="1454"/>
        <v/>
      </c>
      <c r="B4760" s="23"/>
      <c r="C4760" s="23"/>
      <c r="D4760" s="202" t="str">
        <f t="shared" si="1455"/>
        <v/>
      </c>
      <c r="E4760" s="33" t="str">
        <f t="shared" ref="E4760:E4823" si="1467">IF(G4760="Cancel","Cancel",IF(G4760="TBA","TBA",IFERROR(IF(I4760="Q4","FY "&amp;RIGHT(F4760,2)-1&amp;"/"&amp;RIGHT(F4760,2),"FY "&amp;RIGHT(F4760,2)&amp;"/"&amp;RIGHT(F4760,2)+1),"")))</f>
        <v/>
      </c>
      <c r="F4760" s="23"/>
      <c r="G4760" s="23"/>
      <c r="H4760" s="29"/>
      <c r="I4760" s="204" t="str">
        <f t="shared" si="1452"/>
        <v/>
      </c>
      <c r="J4760" s="188"/>
      <c r="K4760" s="29"/>
      <c r="L4760" s="24"/>
      <c r="M4760" s="22"/>
      <c r="N4760" s="22"/>
      <c r="O4760" s="22"/>
      <c r="P4760" s="202" t="str">
        <f t="shared" si="1453"/>
        <v/>
      </c>
      <c r="Q4760" s="22"/>
      <c r="R4760" s="22"/>
      <c r="S4760" s="22"/>
      <c r="T4760" s="22"/>
      <c r="U4760" s="22"/>
      <c r="V4760" s="22"/>
      <c r="W4760" s="22"/>
      <c r="X4760" s="104"/>
      <c r="Y4760" s="195" t="str">
        <f t="shared" si="1450"/>
        <v/>
      </c>
      <c r="Z4760" s="196" t="str">
        <f t="shared" si="1451"/>
        <v/>
      </c>
      <c r="AA4760" s="22"/>
      <c r="AB4760" s="197" t="str">
        <f t="shared" si="1456"/>
        <v/>
      </c>
      <c r="AC4760" s="198" t="str">
        <f t="shared" si="1457"/>
        <v/>
      </c>
      <c r="AD4760" s="162"/>
      <c r="AE4760" s="199" t="str">
        <f t="shared" si="1458"/>
        <v/>
      </c>
      <c r="AF4760" s="199" t="str">
        <f>IF(AND(COUNTIFS($J$18:J4760,J4760)=1,AE4760=1),1,"")</f>
        <v/>
      </c>
      <c r="AG4760" s="199" t="str">
        <f>IF(C4760="","",IF(AND(COUNTIFS($J$18:J4760,J4760)=1,C4760&lt;&gt;""),1,""))</f>
        <v/>
      </c>
      <c r="AH4760" s="199" t="str">
        <f>IF(G4760="","",IF(AND(COUNTIFS($J$18:J4760,J4760)=1,G4760&lt;&gt;""),1,""))</f>
        <v/>
      </c>
      <c r="AI4760" s="200">
        <f t="shared" si="1459"/>
        <v>0</v>
      </c>
      <c r="AJ4760" s="200">
        <f t="shared" si="1460"/>
        <v>0</v>
      </c>
      <c r="AK4760" s="201" t="str">
        <f t="shared" si="1461"/>
        <v/>
      </c>
      <c r="AL4760" s="24"/>
      <c r="AM4760" s="24"/>
      <c r="AN4760" s="24"/>
      <c r="AO4760" s="24"/>
      <c r="AP4760" s="165" t="str">
        <f t="shared" si="1462"/>
        <v/>
      </c>
      <c r="AQ4760" s="203" t="str">
        <f t="shared" si="1463"/>
        <v/>
      </c>
      <c r="AR4760" s="206">
        <f t="shared" si="1464"/>
        <v>0</v>
      </c>
      <c r="AS4760" s="22" t="str">
        <f t="shared" si="1465"/>
        <v/>
      </c>
      <c r="AT4760" s="24" t="str">
        <f t="shared" si="1466"/>
        <v/>
      </c>
      <c r="AU4760" s="22" t="s">
        <v>3240</v>
      </c>
    </row>
    <row r="4761" spans="1:47">
      <c r="A4761" s="246" t="str">
        <f t="shared" si="1454"/>
        <v/>
      </c>
      <c r="B4761" s="23"/>
      <c r="C4761" s="23"/>
      <c r="D4761" s="202" t="str">
        <f t="shared" si="1455"/>
        <v/>
      </c>
      <c r="E4761" s="33" t="str">
        <f t="shared" si="1467"/>
        <v/>
      </c>
      <c r="F4761" s="23"/>
      <c r="G4761" s="23"/>
      <c r="H4761" s="29"/>
      <c r="I4761" s="204" t="str">
        <f t="shared" si="1452"/>
        <v/>
      </c>
      <c r="J4761" s="188"/>
      <c r="K4761" s="29"/>
      <c r="L4761" s="24"/>
      <c r="M4761" s="22"/>
      <c r="N4761" s="22"/>
      <c r="O4761" s="22"/>
      <c r="P4761" s="202" t="str">
        <f t="shared" si="1453"/>
        <v/>
      </c>
      <c r="Q4761" s="22"/>
      <c r="R4761" s="22"/>
      <c r="S4761" s="22"/>
      <c r="T4761" s="22"/>
      <c r="U4761" s="22"/>
      <c r="V4761" s="22"/>
      <c r="W4761" s="22"/>
      <c r="X4761" s="104"/>
      <c r="Y4761" s="195" t="str">
        <f t="shared" si="1450"/>
        <v/>
      </c>
      <c r="Z4761" s="196" t="str">
        <f t="shared" si="1451"/>
        <v/>
      </c>
      <c r="AA4761" s="22"/>
      <c r="AB4761" s="197" t="str">
        <f t="shared" si="1456"/>
        <v/>
      </c>
      <c r="AC4761" s="198" t="str">
        <f t="shared" si="1457"/>
        <v/>
      </c>
      <c r="AD4761" s="162"/>
      <c r="AE4761" s="199" t="str">
        <f t="shared" si="1458"/>
        <v/>
      </c>
      <c r="AF4761" s="199" t="str">
        <f>IF(AND(COUNTIFS($J$18:J4761,J4761)=1,AE4761=1),1,"")</f>
        <v/>
      </c>
      <c r="AG4761" s="199" t="str">
        <f>IF(C4761="","",IF(AND(COUNTIFS($J$18:J4761,J4761)=1,C4761&lt;&gt;""),1,""))</f>
        <v/>
      </c>
      <c r="AH4761" s="199" t="str">
        <f>IF(G4761="","",IF(AND(COUNTIFS($J$18:J4761,J4761)=1,G4761&lt;&gt;""),1,""))</f>
        <v/>
      </c>
      <c r="AI4761" s="200">
        <f t="shared" si="1459"/>
        <v>0</v>
      </c>
      <c r="AJ4761" s="200">
        <f t="shared" si="1460"/>
        <v>0</v>
      </c>
      <c r="AK4761" s="201" t="str">
        <f t="shared" si="1461"/>
        <v/>
      </c>
      <c r="AL4761" s="24"/>
      <c r="AM4761" s="24"/>
      <c r="AN4761" s="24"/>
      <c r="AO4761" s="24"/>
      <c r="AP4761" s="165" t="str">
        <f t="shared" si="1462"/>
        <v/>
      </c>
      <c r="AQ4761" s="203" t="str">
        <f t="shared" si="1463"/>
        <v/>
      </c>
      <c r="AR4761" s="206">
        <f t="shared" si="1464"/>
        <v>0</v>
      </c>
      <c r="AS4761" s="22" t="str">
        <f t="shared" si="1465"/>
        <v/>
      </c>
      <c r="AT4761" s="24" t="str">
        <f t="shared" si="1466"/>
        <v/>
      </c>
      <c r="AU4761" s="22" t="s">
        <v>3240</v>
      </c>
    </row>
    <row r="4762" spans="1:47">
      <c r="A4762" s="246" t="str">
        <f t="shared" si="1454"/>
        <v/>
      </c>
      <c r="B4762" s="23"/>
      <c r="C4762" s="23"/>
      <c r="D4762" s="202" t="str">
        <f t="shared" si="1455"/>
        <v/>
      </c>
      <c r="E4762" s="33" t="str">
        <f t="shared" si="1467"/>
        <v/>
      </c>
      <c r="F4762" s="23"/>
      <c r="G4762" s="23"/>
      <c r="H4762" s="29"/>
      <c r="I4762" s="204" t="str">
        <f t="shared" si="1452"/>
        <v/>
      </c>
      <c r="J4762" s="188"/>
      <c r="K4762" s="29"/>
      <c r="L4762" s="24"/>
      <c r="M4762" s="22"/>
      <c r="N4762" s="22"/>
      <c r="O4762" s="22"/>
      <c r="P4762" s="202" t="str">
        <f t="shared" si="1453"/>
        <v/>
      </c>
      <c r="Q4762" s="22"/>
      <c r="R4762" s="22"/>
      <c r="S4762" s="22"/>
      <c r="T4762" s="22"/>
      <c r="U4762" s="22"/>
      <c r="V4762" s="22"/>
      <c r="W4762" s="22"/>
      <c r="X4762" s="104"/>
      <c r="Y4762" s="195" t="str">
        <f t="shared" si="1450"/>
        <v/>
      </c>
      <c r="Z4762" s="196" t="str">
        <f t="shared" si="1451"/>
        <v/>
      </c>
      <c r="AA4762" s="22"/>
      <c r="AB4762" s="197" t="str">
        <f t="shared" si="1456"/>
        <v/>
      </c>
      <c r="AC4762" s="198" t="str">
        <f t="shared" si="1457"/>
        <v/>
      </c>
      <c r="AD4762" s="162"/>
      <c r="AE4762" s="199" t="str">
        <f t="shared" si="1458"/>
        <v/>
      </c>
      <c r="AF4762" s="199" t="str">
        <f>IF(AND(COUNTIFS($J$18:J4762,J4762)=1,AE4762=1),1,"")</f>
        <v/>
      </c>
      <c r="AG4762" s="199" t="str">
        <f>IF(C4762="","",IF(AND(COUNTIFS($J$18:J4762,J4762)=1,C4762&lt;&gt;""),1,""))</f>
        <v/>
      </c>
      <c r="AH4762" s="199" t="str">
        <f>IF(G4762="","",IF(AND(COUNTIFS($J$18:J4762,J4762)=1,G4762&lt;&gt;""),1,""))</f>
        <v/>
      </c>
      <c r="AI4762" s="200">
        <f t="shared" si="1459"/>
        <v>0</v>
      </c>
      <c r="AJ4762" s="200">
        <f t="shared" si="1460"/>
        <v>0</v>
      </c>
      <c r="AK4762" s="201" t="str">
        <f t="shared" si="1461"/>
        <v/>
      </c>
      <c r="AL4762" s="24"/>
      <c r="AM4762" s="24"/>
      <c r="AN4762" s="24"/>
      <c r="AO4762" s="24"/>
      <c r="AP4762" s="165" t="str">
        <f t="shared" si="1462"/>
        <v/>
      </c>
      <c r="AQ4762" s="203" t="str">
        <f t="shared" si="1463"/>
        <v/>
      </c>
      <c r="AR4762" s="206">
        <f t="shared" si="1464"/>
        <v>0</v>
      </c>
      <c r="AS4762" s="22" t="str">
        <f t="shared" si="1465"/>
        <v/>
      </c>
      <c r="AT4762" s="24" t="str">
        <f t="shared" si="1466"/>
        <v/>
      </c>
      <c r="AU4762" s="22" t="s">
        <v>3240</v>
      </c>
    </row>
    <row r="4763" spans="1:47">
      <c r="A4763" s="246" t="str">
        <f t="shared" si="1454"/>
        <v/>
      </c>
      <c r="B4763" s="23"/>
      <c r="C4763" s="23"/>
      <c r="D4763" s="202" t="str">
        <f t="shared" si="1455"/>
        <v/>
      </c>
      <c r="E4763" s="33" t="str">
        <f t="shared" si="1467"/>
        <v/>
      </c>
      <c r="F4763" s="23"/>
      <c r="G4763" s="23"/>
      <c r="H4763" s="29"/>
      <c r="I4763" s="204" t="str">
        <f t="shared" si="1452"/>
        <v/>
      </c>
      <c r="J4763" s="188"/>
      <c r="K4763" s="29"/>
      <c r="L4763" s="24"/>
      <c r="M4763" s="22"/>
      <c r="N4763" s="22"/>
      <c r="O4763" s="22"/>
      <c r="P4763" s="202" t="str">
        <f t="shared" si="1453"/>
        <v/>
      </c>
      <c r="Q4763" s="22"/>
      <c r="R4763" s="22"/>
      <c r="S4763" s="22"/>
      <c r="T4763" s="22"/>
      <c r="U4763" s="22"/>
      <c r="V4763" s="22"/>
      <c r="W4763" s="22"/>
      <c r="X4763" s="104"/>
      <c r="Y4763" s="195" t="str">
        <f t="shared" ref="Y4763:Y4826" si="1468">IF(W4763="","",IF(W4763="RMB","1.13", "1"))</f>
        <v/>
      </c>
      <c r="Z4763" s="196" t="str">
        <f t="shared" ref="Z4763:Z4826" si="1469">IF(X4763="","",X4763*MAX(O4763,N4763))</f>
        <v/>
      </c>
      <c r="AA4763" s="22"/>
      <c r="AB4763" s="197" t="str">
        <f t="shared" si="1456"/>
        <v/>
      </c>
      <c r="AC4763" s="198" t="str">
        <f t="shared" si="1457"/>
        <v/>
      </c>
      <c r="AD4763" s="162"/>
      <c r="AE4763" s="199" t="str">
        <f t="shared" si="1458"/>
        <v/>
      </c>
      <c r="AF4763" s="199" t="str">
        <f>IF(AND(COUNTIFS($J$18:J4763,J4763)=1,AE4763=1),1,"")</f>
        <v/>
      </c>
      <c r="AG4763" s="199" t="str">
        <f>IF(C4763="","",IF(AND(COUNTIFS($J$18:J4763,J4763)=1,C4763&lt;&gt;""),1,""))</f>
        <v/>
      </c>
      <c r="AH4763" s="199" t="str">
        <f>IF(G4763="","",IF(AND(COUNTIFS($J$18:J4763,J4763)=1,G4763&lt;&gt;""),1,""))</f>
        <v/>
      </c>
      <c r="AI4763" s="200">
        <f t="shared" si="1459"/>
        <v>0</v>
      </c>
      <c r="AJ4763" s="200">
        <f t="shared" si="1460"/>
        <v>0</v>
      </c>
      <c r="AK4763" s="201" t="str">
        <f t="shared" si="1461"/>
        <v/>
      </c>
      <c r="AL4763" s="24"/>
      <c r="AM4763" s="24"/>
      <c r="AN4763" s="24"/>
      <c r="AO4763" s="24"/>
      <c r="AP4763" s="165" t="str">
        <f t="shared" si="1462"/>
        <v/>
      </c>
      <c r="AQ4763" s="203" t="str">
        <f t="shared" si="1463"/>
        <v/>
      </c>
      <c r="AR4763" s="206">
        <f t="shared" si="1464"/>
        <v>0</v>
      </c>
      <c r="AS4763" s="22" t="str">
        <f t="shared" si="1465"/>
        <v/>
      </c>
      <c r="AT4763" s="24" t="str">
        <f t="shared" si="1466"/>
        <v/>
      </c>
      <c r="AU4763" s="22" t="s">
        <v>3240</v>
      </c>
    </row>
    <row r="4764" spans="1:47">
      <c r="A4764" s="246" t="str">
        <f t="shared" si="1454"/>
        <v/>
      </c>
      <c r="B4764" s="23"/>
      <c r="C4764" s="23"/>
      <c r="D4764" s="202" t="str">
        <f t="shared" si="1455"/>
        <v/>
      </c>
      <c r="E4764" s="33" t="str">
        <f t="shared" si="1467"/>
        <v/>
      </c>
      <c r="F4764" s="23"/>
      <c r="G4764" s="23"/>
      <c r="H4764" s="29"/>
      <c r="I4764" s="204" t="str">
        <f t="shared" si="1452"/>
        <v/>
      </c>
      <c r="J4764" s="188"/>
      <c r="K4764" s="29"/>
      <c r="L4764" s="24"/>
      <c r="M4764" s="22"/>
      <c r="N4764" s="22"/>
      <c r="O4764" s="22"/>
      <c r="P4764" s="202" t="str">
        <f t="shared" si="1453"/>
        <v/>
      </c>
      <c r="Q4764" s="22"/>
      <c r="R4764" s="22"/>
      <c r="S4764" s="22"/>
      <c r="T4764" s="22"/>
      <c r="U4764" s="22"/>
      <c r="V4764" s="22"/>
      <c r="W4764" s="22"/>
      <c r="X4764" s="104"/>
      <c r="Y4764" s="195" t="str">
        <f t="shared" si="1468"/>
        <v/>
      </c>
      <c r="Z4764" s="196" t="str">
        <f t="shared" si="1469"/>
        <v/>
      </c>
      <c r="AA4764" s="22"/>
      <c r="AB4764" s="197" t="str">
        <f t="shared" si="1456"/>
        <v/>
      </c>
      <c r="AC4764" s="198" t="str">
        <f t="shared" si="1457"/>
        <v/>
      </c>
      <c r="AD4764" s="162"/>
      <c r="AE4764" s="199" t="str">
        <f t="shared" si="1458"/>
        <v/>
      </c>
      <c r="AF4764" s="199" t="str">
        <f>IF(AND(COUNTIFS($J$18:J4764,J4764)=1,AE4764=1),1,"")</f>
        <v/>
      </c>
      <c r="AG4764" s="199" t="str">
        <f>IF(C4764="","",IF(AND(COUNTIFS($J$18:J4764,J4764)=1,C4764&lt;&gt;""),1,""))</f>
        <v/>
      </c>
      <c r="AH4764" s="199" t="str">
        <f>IF(G4764="","",IF(AND(COUNTIFS($J$18:J4764,J4764)=1,G4764&lt;&gt;""),1,""))</f>
        <v/>
      </c>
      <c r="AI4764" s="200">
        <f t="shared" si="1459"/>
        <v>0</v>
      </c>
      <c r="AJ4764" s="200">
        <f t="shared" si="1460"/>
        <v>0</v>
      </c>
      <c r="AK4764" s="201" t="str">
        <f t="shared" si="1461"/>
        <v/>
      </c>
      <c r="AL4764" s="24"/>
      <c r="AM4764" s="24"/>
      <c r="AN4764" s="24"/>
      <c r="AO4764" s="24"/>
      <c r="AP4764" s="165" t="str">
        <f t="shared" si="1462"/>
        <v/>
      </c>
      <c r="AQ4764" s="203" t="str">
        <f t="shared" si="1463"/>
        <v/>
      </c>
      <c r="AR4764" s="206">
        <f t="shared" si="1464"/>
        <v>0</v>
      </c>
      <c r="AS4764" s="22" t="str">
        <f t="shared" si="1465"/>
        <v/>
      </c>
      <c r="AT4764" s="24" t="str">
        <f t="shared" si="1466"/>
        <v/>
      </c>
      <c r="AU4764" s="22" t="s">
        <v>3240</v>
      </c>
    </row>
    <row r="4765" spans="1:47">
      <c r="A4765" s="246" t="str">
        <f t="shared" si="1454"/>
        <v/>
      </c>
      <c r="B4765" s="23"/>
      <c r="C4765" s="23"/>
      <c r="D4765" s="202" t="str">
        <f t="shared" si="1455"/>
        <v/>
      </c>
      <c r="E4765" s="33" t="str">
        <f t="shared" si="1467"/>
        <v/>
      </c>
      <c r="F4765" s="23"/>
      <c r="G4765" s="23"/>
      <c r="H4765" s="29"/>
      <c r="I4765" s="204" t="str">
        <f t="shared" si="1452"/>
        <v/>
      </c>
      <c r="J4765" s="188"/>
      <c r="K4765" s="29"/>
      <c r="L4765" s="24"/>
      <c r="M4765" s="22"/>
      <c r="N4765" s="22"/>
      <c r="O4765" s="22"/>
      <c r="P4765" s="202" t="str">
        <f t="shared" si="1453"/>
        <v/>
      </c>
      <c r="Q4765" s="22"/>
      <c r="R4765" s="22"/>
      <c r="S4765" s="22"/>
      <c r="T4765" s="22"/>
      <c r="U4765" s="22"/>
      <c r="V4765" s="22"/>
      <c r="W4765" s="22"/>
      <c r="X4765" s="104"/>
      <c r="Y4765" s="195" t="str">
        <f t="shared" si="1468"/>
        <v/>
      </c>
      <c r="Z4765" s="196" t="str">
        <f t="shared" si="1469"/>
        <v/>
      </c>
      <c r="AA4765" s="22"/>
      <c r="AB4765" s="197" t="str">
        <f t="shared" si="1456"/>
        <v/>
      </c>
      <c r="AC4765" s="198" t="str">
        <f t="shared" si="1457"/>
        <v/>
      </c>
      <c r="AD4765" s="162"/>
      <c r="AE4765" s="199" t="str">
        <f t="shared" si="1458"/>
        <v/>
      </c>
      <c r="AF4765" s="199" t="str">
        <f>IF(AND(COUNTIFS($J$18:J4765,J4765)=1,AE4765=1),1,"")</f>
        <v/>
      </c>
      <c r="AG4765" s="199" t="str">
        <f>IF(C4765="","",IF(AND(COUNTIFS($J$18:J4765,J4765)=1,C4765&lt;&gt;""),1,""))</f>
        <v/>
      </c>
      <c r="AH4765" s="199" t="str">
        <f>IF(G4765="","",IF(AND(COUNTIFS($J$18:J4765,J4765)=1,G4765&lt;&gt;""),1,""))</f>
        <v/>
      </c>
      <c r="AI4765" s="200">
        <f t="shared" si="1459"/>
        <v>0</v>
      </c>
      <c r="AJ4765" s="200">
        <f t="shared" si="1460"/>
        <v>0</v>
      </c>
      <c r="AK4765" s="201" t="str">
        <f t="shared" si="1461"/>
        <v/>
      </c>
      <c r="AL4765" s="24"/>
      <c r="AM4765" s="24"/>
      <c r="AN4765" s="24"/>
      <c r="AO4765" s="24"/>
      <c r="AP4765" s="165" t="str">
        <f t="shared" si="1462"/>
        <v/>
      </c>
      <c r="AQ4765" s="203" t="str">
        <f t="shared" si="1463"/>
        <v/>
      </c>
      <c r="AR4765" s="206">
        <f t="shared" si="1464"/>
        <v>0</v>
      </c>
      <c r="AS4765" s="22" t="str">
        <f t="shared" si="1465"/>
        <v/>
      </c>
      <c r="AT4765" s="24" t="str">
        <f t="shared" si="1466"/>
        <v/>
      </c>
      <c r="AU4765" s="22" t="s">
        <v>3240</v>
      </c>
    </row>
    <row r="4766" spans="1:47">
      <c r="A4766" s="246" t="str">
        <f t="shared" si="1454"/>
        <v/>
      </c>
      <c r="B4766" s="23"/>
      <c r="C4766" s="23"/>
      <c r="D4766" s="202" t="str">
        <f t="shared" si="1455"/>
        <v/>
      </c>
      <c r="E4766" s="33" t="str">
        <f t="shared" si="1467"/>
        <v/>
      </c>
      <c r="F4766" s="23"/>
      <c r="G4766" s="23"/>
      <c r="H4766" s="29"/>
      <c r="I4766" s="204" t="str">
        <f t="shared" si="1452"/>
        <v/>
      </c>
      <c r="J4766" s="188"/>
      <c r="K4766" s="29"/>
      <c r="L4766" s="24"/>
      <c r="M4766" s="22"/>
      <c r="N4766" s="22"/>
      <c r="O4766" s="22"/>
      <c r="P4766" s="202" t="str">
        <f t="shared" si="1453"/>
        <v/>
      </c>
      <c r="Q4766" s="22"/>
      <c r="R4766" s="22"/>
      <c r="S4766" s="22"/>
      <c r="T4766" s="22"/>
      <c r="U4766" s="22"/>
      <c r="V4766" s="22"/>
      <c r="W4766" s="22"/>
      <c r="X4766" s="104"/>
      <c r="Y4766" s="195" t="str">
        <f t="shared" si="1468"/>
        <v/>
      </c>
      <c r="Z4766" s="196" t="str">
        <f t="shared" si="1469"/>
        <v/>
      </c>
      <c r="AA4766" s="22"/>
      <c r="AB4766" s="197" t="str">
        <f t="shared" si="1456"/>
        <v/>
      </c>
      <c r="AC4766" s="198" t="str">
        <f t="shared" si="1457"/>
        <v/>
      </c>
      <c r="AD4766" s="162"/>
      <c r="AE4766" s="199" t="str">
        <f t="shared" si="1458"/>
        <v/>
      </c>
      <c r="AF4766" s="199" t="str">
        <f>IF(AND(COUNTIFS($J$18:J4766,J4766)=1,AE4766=1),1,"")</f>
        <v/>
      </c>
      <c r="AG4766" s="199" t="str">
        <f>IF(C4766="","",IF(AND(COUNTIFS($J$18:J4766,J4766)=1,C4766&lt;&gt;""),1,""))</f>
        <v/>
      </c>
      <c r="AH4766" s="199" t="str">
        <f>IF(G4766="","",IF(AND(COUNTIFS($J$18:J4766,J4766)=1,G4766&lt;&gt;""),1,""))</f>
        <v/>
      </c>
      <c r="AI4766" s="200">
        <f t="shared" si="1459"/>
        <v>0</v>
      </c>
      <c r="AJ4766" s="200">
        <f t="shared" si="1460"/>
        <v>0</v>
      </c>
      <c r="AK4766" s="201" t="str">
        <f t="shared" si="1461"/>
        <v/>
      </c>
      <c r="AL4766" s="24"/>
      <c r="AM4766" s="24"/>
      <c r="AN4766" s="24"/>
      <c r="AO4766" s="24"/>
      <c r="AP4766" s="165" t="str">
        <f t="shared" si="1462"/>
        <v/>
      </c>
      <c r="AQ4766" s="203" t="str">
        <f t="shared" si="1463"/>
        <v/>
      </c>
      <c r="AR4766" s="206">
        <f t="shared" si="1464"/>
        <v>0</v>
      </c>
      <c r="AS4766" s="22" t="str">
        <f t="shared" si="1465"/>
        <v/>
      </c>
      <c r="AT4766" s="24" t="str">
        <f t="shared" si="1466"/>
        <v/>
      </c>
      <c r="AU4766" s="22" t="s">
        <v>3240</v>
      </c>
    </row>
    <row r="4767" spans="1:47">
      <c r="A4767" s="246" t="str">
        <f t="shared" si="1454"/>
        <v/>
      </c>
      <c r="B4767" s="23"/>
      <c r="C4767" s="23"/>
      <c r="D4767" s="202" t="str">
        <f t="shared" si="1455"/>
        <v/>
      </c>
      <c r="E4767" s="33" t="str">
        <f t="shared" si="1467"/>
        <v/>
      </c>
      <c r="F4767" s="23"/>
      <c r="G4767" s="23"/>
      <c r="H4767" s="29"/>
      <c r="I4767" s="204" t="str">
        <f t="shared" si="1452"/>
        <v/>
      </c>
      <c r="J4767" s="188"/>
      <c r="K4767" s="29"/>
      <c r="L4767" s="24"/>
      <c r="M4767" s="22"/>
      <c r="N4767" s="22"/>
      <c r="O4767" s="22"/>
      <c r="P4767" s="202" t="str">
        <f t="shared" si="1453"/>
        <v/>
      </c>
      <c r="Q4767" s="22"/>
      <c r="R4767" s="22"/>
      <c r="S4767" s="22"/>
      <c r="T4767" s="22"/>
      <c r="U4767" s="22"/>
      <c r="V4767" s="22"/>
      <c r="W4767" s="22"/>
      <c r="X4767" s="104"/>
      <c r="Y4767" s="195" t="str">
        <f t="shared" si="1468"/>
        <v/>
      </c>
      <c r="Z4767" s="196" t="str">
        <f t="shared" si="1469"/>
        <v/>
      </c>
      <c r="AA4767" s="22"/>
      <c r="AB4767" s="197" t="str">
        <f t="shared" si="1456"/>
        <v/>
      </c>
      <c r="AC4767" s="198" t="str">
        <f t="shared" si="1457"/>
        <v/>
      </c>
      <c r="AD4767" s="162"/>
      <c r="AE4767" s="199" t="str">
        <f t="shared" si="1458"/>
        <v/>
      </c>
      <c r="AF4767" s="199" t="str">
        <f>IF(AND(COUNTIFS($J$18:J4767,J4767)=1,AE4767=1),1,"")</f>
        <v/>
      </c>
      <c r="AG4767" s="199" t="str">
        <f>IF(C4767="","",IF(AND(COUNTIFS($J$18:J4767,J4767)=1,C4767&lt;&gt;""),1,""))</f>
        <v/>
      </c>
      <c r="AH4767" s="199" t="str">
        <f>IF(G4767="","",IF(AND(COUNTIFS($J$18:J4767,J4767)=1,G4767&lt;&gt;""),1,""))</f>
        <v/>
      </c>
      <c r="AI4767" s="200">
        <f t="shared" si="1459"/>
        <v>0</v>
      </c>
      <c r="AJ4767" s="200">
        <f t="shared" si="1460"/>
        <v>0</v>
      </c>
      <c r="AK4767" s="201" t="str">
        <f t="shared" si="1461"/>
        <v/>
      </c>
      <c r="AL4767" s="24"/>
      <c r="AM4767" s="24"/>
      <c r="AN4767" s="24"/>
      <c r="AO4767" s="24"/>
      <c r="AP4767" s="165" t="str">
        <f t="shared" si="1462"/>
        <v/>
      </c>
      <c r="AQ4767" s="203" t="str">
        <f t="shared" si="1463"/>
        <v/>
      </c>
      <c r="AR4767" s="206">
        <f t="shared" si="1464"/>
        <v>0</v>
      </c>
      <c r="AS4767" s="22" t="str">
        <f t="shared" si="1465"/>
        <v/>
      </c>
      <c r="AT4767" s="24" t="str">
        <f t="shared" si="1466"/>
        <v/>
      </c>
      <c r="AU4767" s="22" t="s">
        <v>3240</v>
      </c>
    </row>
    <row r="4768" spans="1:47">
      <c r="A4768" s="246" t="str">
        <f t="shared" si="1454"/>
        <v/>
      </c>
      <c r="B4768" s="23"/>
      <c r="C4768" s="23"/>
      <c r="D4768" s="202" t="str">
        <f t="shared" si="1455"/>
        <v/>
      </c>
      <c r="E4768" s="33" t="str">
        <f t="shared" si="1467"/>
        <v/>
      </c>
      <c r="F4768" s="23"/>
      <c r="G4768" s="23"/>
      <c r="H4768" s="29"/>
      <c r="I4768" s="204" t="str">
        <f t="shared" ref="I4768:I4831" si="1470">IFERROR(IF(F4768="","",IF(F4768="TBA","TBA",IF(F4768="Cancel","Cancel",IF(AND(G4768&gt;=10,G4768&lt;=12),"Q3",IF(AND(G4768&gt;=1,G4768&lt;=3),"Q4",IF(AND(G4768&gt;=7,G4768&lt;=9),"Q2",IF(AND(G4768&gt;=4,G4768&lt;=6),"Q1"))))))),"")</f>
        <v/>
      </c>
      <c r="J4768" s="188"/>
      <c r="K4768" s="29"/>
      <c r="L4768" s="24"/>
      <c r="M4768" s="22"/>
      <c r="N4768" s="22"/>
      <c r="O4768" s="22"/>
      <c r="P4768" s="202" t="str">
        <f t="shared" si="1453"/>
        <v/>
      </c>
      <c r="Q4768" s="22"/>
      <c r="R4768" s="22"/>
      <c r="S4768" s="22"/>
      <c r="T4768" s="22"/>
      <c r="U4768" s="22"/>
      <c r="V4768" s="22"/>
      <c r="W4768" s="22"/>
      <c r="X4768" s="104"/>
      <c r="Y4768" s="195" t="str">
        <f t="shared" si="1468"/>
        <v/>
      </c>
      <c r="Z4768" s="196" t="str">
        <f t="shared" si="1469"/>
        <v/>
      </c>
      <c r="AA4768" s="22"/>
      <c r="AB4768" s="197" t="str">
        <f t="shared" si="1456"/>
        <v/>
      </c>
      <c r="AC4768" s="198" t="str">
        <f t="shared" si="1457"/>
        <v/>
      </c>
      <c r="AD4768" s="162"/>
      <c r="AE4768" s="199" t="str">
        <f t="shared" si="1458"/>
        <v/>
      </c>
      <c r="AF4768" s="199" t="str">
        <f>IF(AND(COUNTIFS($J$18:J4768,J4768)=1,AE4768=1),1,"")</f>
        <v/>
      </c>
      <c r="AG4768" s="199" t="str">
        <f>IF(C4768="","",IF(AND(COUNTIFS($J$18:J4768,J4768)=1,C4768&lt;&gt;""),1,""))</f>
        <v/>
      </c>
      <c r="AH4768" s="199" t="str">
        <f>IF(G4768="","",IF(AND(COUNTIFS($J$18:J4768,J4768)=1,G4768&lt;&gt;""),1,""))</f>
        <v/>
      </c>
      <c r="AI4768" s="200">
        <f t="shared" si="1459"/>
        <v>0</v>
      </c>
      <c r="AJ4768" s="200">
        <f t="shared" si="1460"/>
        <v>0</v>
      </c>
      <c r="AK4768" s="201" t="str">
        <f t="shared" si="1461"/>
        <v/>
      </c>
      <c r="AL4768" s="24"/>
      <c r="AM4768" s="24"/>
      <c r="AN4768" s="24"/>
      <c r="AO4768" s="24"/>
      <c r="AP4768" s="165" t="str">
        <f t="shared" si="1462"/>
        <v/>
      </c>
      <c r="AQ4768" s="203" t="str">
        <f t="shared" si="1463"/>
        <v/>
      </c>
      <c r="AR4768" s="206">
        <f t="shared" si="1464"/>
        <v>0</v>
      </c>
      <c r="AS4768" s="22" t="str">
        <f t="shared" si="1465"/>
        <v/>
      </c>
      <c r="AT4768" s="24" t="str">
        <f t="shared" si="1466"/>
        <v/>
      </c>
      <c r="AU4768" s="22" t="s">
        <v>3240</v>
      </c>
    </row>
    <row r="4769" spans="1:47">
      <c r="A4769" s="246" t="str">
        <f t="shared" si="1454"/>
        <v/>
      </c>
      <c r="B4769" s="23"/>
      <c r="C4769" s="23"/>
      <c r="D4769" s="202" t="str">
        <f t="shared" si="1455"/>
        <v/>
      </c>
      <c r="E4769" s="33" t="str">
        <f t="shared" si="1467"/>
        <v/>
      </c>
      <c r="F4769" s="23"/>
      <c r="G4769" s="23"/>
      <c r="H4769" s="29"/>
      <c r="I4769" s="204" t="str">
        <f t="shared" si="1470"/>
        <v/>
      </c>
      <c r="J4769" s="188"/>
      <c r="K4769" s="29"/>
      <c r="L4769" s="24"/>
      <c r="M4769" s="22"/>
      <c r="N4769" s="22"/>
      <c r="O4769" s="22"/>
      <c r="P4769" s="202" t="str">
        <f t="shared" ref="P4769:P4832" si="1471">IF(M4769="","",IF(AND(N4769&gt;0,L4769&lt;&gt;""),"MAIN UNIT",IF(AND(O4769&gt;0,L4769&lt;&gt;""),"SERVICE/ PARTS","C66 SERVICE/OTHERS")))</f>
        <v/>
      </c>
      <c r="Q4769" s="22"/>
      <c r="R4769" s="22"/>
      <c r="S4769" s="22"/>
      <c r="T4769" s="22"/>
      <c r="U4769" s="22"/>
      <c r="V4769" s="22"/>
      <c r="W4769" s="22"/>
      <c r="X4769" s="104"/>
      <c r="Y4769" s="195" t="str">
        <f t="shared" si="1468"/>
        <v/>
      </c>
      <c r="Z4769" s="196" t="str">
        <f t="shared" si="1469"/>
        <v/>
      </c>
      <c r="AA4769" s="22"/>
      <c r="AB4769" s="197" t="str">
        <f t="shared" si="1456"/>
        <v/>
      </c>
      <c r="AC4769" s="198" t="str">
        <f t="shared" si="1457"/>
        <v/>
      </c>
      <c r="AD4769" s="162"/>
      <c r="AE4769" s="199" t="str">
        <f t="shared" si="1458"/>
        <v/>
      </c>
      <c r="AF4769" s="199" t="str">
        <f>IF(AND(COUNTIFS($J$18:J4769,J4769)=1,AE4769=1),1,"")</f>
        <v/>
      </c>
      <c r="AG4769" s="199" t="str">
        <f>IF(C4769="","",IF(AND(COUNTIFS($J$18:J4769,J4769)=1,C4769&lt;&gt;""),1,""))</f>
        <v/>
      </c>
      <c r="AH4769" s="199" t="str">
        <f>IF(G4769="","",IF(AND(COUNTIFS($J$18:J4769,J4769)=1,G4769&lt;&gt;""),1,""))</f>
        <v/>
      </c>
      <c r="AI4769" s="200">
        <f t="shared" si="1459"/>
        <v>0</v>
      </c>
      <c r="AJ4769" s="200">
        <f t="shared" si="1460"/>
        <v>0</v>
      </c>
      <c r="AK4769" s="201" t="str">
        <f t="shared" si="1461"/>
        <v/>
      </c>
      <c r="AL4769" s="24"/>
      <c r="AM4769" s="24"/>
      <c r="AN4769" s="24"/>
      <c r="AO4769" s="24"/>
      <c r="AP4769" s="165" t="str">
        <f t="shared" si="1462"/>
        <v/>
      </c>
      <c r="AQ4769" s="203" t="str">
        <f t="shared" si="1463"/>
        <v/>
      </c>
      <c r="AR4769" s="206">
        <f t="shared" si="1464"/>
        <v>0</v>
      </c>
      <c r="AS4769" s="22" t="str">
        <f t="shared" si="1465"/>
        <v/>
      </c>
      <c r="AT4769" s="24" t="str">
        <f t="shared" si="1466"/>
        <v/>
      </c>
      <c r="AU4769" s="22" t="s">
        <v>3240</v>
      </c>
    </row>
    <row r="4770" spans="1:47">
      <c r="A4770" s="246" t="str">
        <f t="shared" ref="A4770:A4833" si="1472">IF(C4770="cancel","cancel",IFERROR(IF(D4770="Q4","FY "&amp;RIGHT(B4770,2)-1&amp;"/"&amp;RIGHT(B4770,2),"FY "&amp;RIGHT(B4770,2)&amp;"/"&amp;RIGHT(B4770,2)+1),""))</f>
        <v/>
      </c>
      <c r="B4770" s="23"/>
      <c r="C4770" s="23"/>
      <c r="D4770" s="202" t="str">
        <f t="shared" ref="D4770:D4833" si="1473">IF(B4770="","",IF(AND(C4770&gt;=10,C4770&lt;=12),"Q3",IF(AND(C4770&gt;=1,C4770&lt;=3),"Q4",IF(AND(C4770&gt;=7,C4770&lt;=9),"Q2",IF(AND(C4770&gt;=4,C4770&lt;=6),"Q1")))))</f>
        <v/>
      </c>
      <c r="E4770" s="33" t="str">
        <f t="shared" si="1467"/>
        <v/>
      </c>
      <c r="F4770" s="23"/>
      <c r="G4770" s="23"/>
      <c r="H4770" s="29"/>
      <c r="I4770" s="204" t="str">
        <f t="shared" si="1470"/>
        <v/>
      </c>
      <c r="J4770" s="188"/>
      <c r="K4770" s="29"/>
      <c r="L4770" s="24"/>
      <c r="M4770" s="22"/>
      <c r="N4770" s="22"/>
      <c r="O4770" s="22"/>
      <c r="P4770" s="202" t="str">
        <f t="shared" si="1471"/>
        <v/>
      </c>
      <c r="Q4770" s="22"/>
      <c r="R4770" s="22"/>
      <c r="S4770" s="22"/>
      <c r="T4770" s="22"/>
      <c r="U4770" s="22"/>
      <c r="V4770" s="22"/>
      <c r="W4770" s="22"/>
      <c r="X4770" s="104"/>
      <c r="Y4770" s="195" t="str">
        <f t="shared" si="1468"/>
        <v/>
      </c>
      <c r="Z4770" s="196" t="str">
        <f t="shared" si="1469"/>
        <v/>
      </c>
      <c r="AA4770" s="22"/>
      <c r="AB4770" s="197" t="str">
        <f t="shared" ref="AB4770:AB4833" si="1474">IF(AND(R4770&lt;&gt;"C66",R4770&lt;&gt;""),Z4770/Y4770*AA4770,"")</f>
        <v/>
      </c>
      <c r="AC4770" s="198" t="str">
        <f t="shared" ref="AC4770:AC4833" si="1475">IF(R4770&lt;&gt;"",AB4770*AD4770,"")</f>
        <v/>
      </c>
      <c r="AD4770" s="162"/>
      <c r="AE4770" s="199" t="str">
        <f t="shared" ref="AE4770:AE4833" si="1476">IF(Q4770="","",IF(Q4770="Yes",1,0))</f>
        <v/>
      </c>
      <c r="AF4770" s="199" t="str">
        <f>IF(AND(COUNTIFS($J$18:J4770,J4770)=1,AE4770=1),1,"")</f>
        <v/>
      </c>
      <c r="AG4770" s="199" t="str">
        <f>IF(C4770="","",IF(AND(COUNTIFS($J$18:J4770,J4770)=1,C4770&lt;&gt;""),1,""))</f>
        <v/>
      </c>
      <c r="AH4770" s="199" t="str">
        <f>IF(G4770="","",IF(AND(COUNTIFS($J$18:J4770,J4770)=1,G4770&lt;&gt;""),1,""))</f>
        <v/>
      </c>
      <c r="AI4770" s="200">
        <f t="shared" ref="AI4770:AI4833" si="1477">IF(P4770="C66 SERVICE","",SUMIFS(AB:AB,F:F,F4770,G:G,G4770,E:E,E4770))</f>
        <v>0</v>
      </c>
      <c r="AJ4770" s="200">
        <f t="shared" ref="AJ4770:AJ4833" si="1478">IF(P4770="C66 SERVICE","",SUMIFS(AC:AC,F:F,F4770,G:G,G4770,E:E,E4770))</f>
        <v>0</v>
      </c>
      <c r="AK4770" s="201" t="str">
        <f t="shared" ref="AK4770:AK4833" si="1479">IF(AJ4770&gt;0,AJ4770/AI4770,"")</f>
        <v/>
      </c>
      <c r="AL4770" s="24"/>
      <c r="AM4770" s="24"/>
      <c r="AN4770" s="24"/>
      <c r="AO4770" s="24"/>
      <c r="AP4770" s="165" t="str">
        <f t="shared" ref="AP4770:AP4833" si="1480">IF(F4770="","",F4770&amp;G4770)</f>
        <v/>
      </c>
      <c r="AQ4770" s="203" t="str">
        <f t="shared" ref="AQ4770:AQ4833" si="1481">IF(W4770="","",F4770&amp;G4770&amp;W4770)</f>
        <v/>
      </c>
      <c r="AR4770" s="206">
        <f t="shared" ref="AR4770:AR4833" si="1482">IFERROR(IF(AND(M4770="YAMAHA", R4770="C28"), "YAMAHA_Non_Mounter", IF(AND(M4770="YAMAHA", R4770="C49"), "YAMAHA_Mounter", M4770)),"")</f>
        <v>0</v>
      </c>
      <c r="AS4770" s="22" t="str">
        <f t="shared" ref="AS4770:AS4833" si="1483">IFERROR(IF(OR(G4770="TBA", G4770=""), "", DATEDIF(DATE(B4770, C4770, 1), DATE(F4770, G4770, 1), "M")),"")</f>
        <v/>
      </c>
      <c r="AT4770" s="24" t="str">
        <f t="shared" ref="AT4770:AT4833" si="1484">IF(ISNUMBER(AS4770), IF(AS4770&gt;=0, IF(AS4770&lt;=3, "0-3 months", IF(AS4770&lt;=6, "4-6 months", "&gt; 6 months"))), "")</f>
        <v/>
      </c>
      <c r="AU4770" s="22" t="s">
        <v>3240</v>
      </c>
    </row>
    <row r="4771" spans="1:47">
      <c r="A4771" s="246" t="str">
        <f t="shared" si="1472"/>
        <v/>
      </c>
      <c r="B4771" s="23"/>
      <c r="C4771" s="23"/>
      <c r="D4771" s="202" t="str">
        <f t="shared" si="1473"/>
        <v/>
      </c>
      <c r="E4771" s="33" t="str">
        <f t="shared" si="1467"/>
        <v/>
      </c>
      <c r="F4771" s="23"/>
      <c r="G4771" s="23"/>
      <c r="H4771" s="29"/>
      <c r="I4771" s="204" t="str">
        <f t="shared" si="1470"/>
        <v/>
      </c>
      <c r="J4771" s="188"/>
      <c r="K4771" s="29"/>
      <c r="L4771" s="24"/>
      <c r="M4771" s="22"/>
      <c r="N4771" s="22"/>
      <c r="O4771" s="22"/>
      <c r="P4771" s="202" t="str">
        <f t="shared" si="1471"/>
        <v/>
      </c>
      <c r="Q4771" s="22"/>
      <c r="R4771" s="22"/>
      <c r="S4771" s="22"/>
      <c r="T4771" s="22"/>
      <c r="U4771" s="22"/>
      <c r="V4771" s="22"/>
      <c r="W4771" s="22"/>
      <c r="X4771" s="104"/>
      <c r="Y4771" s="195" t="str">
        <f t="shared" si="1468"/>
        <v/>
      </c>
      <c r="Z4771" s="196" t="str">
        <f t="shared" si="1469"/>
        <v/>
      </c>
      <c r="AA4771" s="22"/>
      <c r="AB4771" s="197" t="str">
        <f t="shared" si="1474"/>
        <v/>
      </c>
      <c r="AC4771" s="198" t="str">
        <f t="shared" si="1475"/>
        <v/>
      </c>
      <c r="AD4771" s="162"/>
      <c r="AE4771" s="199" t="str">
        <f t="shared" si="1476"/>
        <v/>
      </c>
      <c r="AF4771" s="199" t="str">
        <f>IF(AND(COUNTIFS($J$18:J4771,J4771)=1,AE4771=1),1,"")</f>
        <v/>
      </c>
      <c r="AG4771" s="199" t="str">
        <f>IF(C4771="","",IF(AND(COUNTIFS($J$18:J4771,J4771)=1,C4771&lt;&gt;""),1,""))</f>
        <v/>
      </c>
      <c r="AH4771" s="199" t="str">
        <f>IF(G4771="","",IF(AND(COUNTIFS($J$18:J4771,J4771)=1,G4771&lt;&gt;""),1,""))</f>
        <v/>
      </c>
      <c r="AI4771" s="200">
        <f t="shared" si="1477"/>
        <v>0</v>
      </c>
      <c r="AJ4771" s="200">
        <f t="shared" si="1478"/>
        <v>0</v>
      </c>
      <c r="AK4771" s="201" t="str">
        <f t="shared" si="1479"/>
        <v/>
      </c>
      <c r="AL4771" s="24"/>
      <c r="AM4771" s="24"/>
      <c r="AN4771" s="24"/>
      <c r="AO4771" s="24"/>
      <c r="AP4771" s="165" t="str">
        <f t="shared" si="1480"/>
        <v/>
      </c>
      <c r="AQ4771" s="203" t="str">
        <f t="shared" si="1481"/>
        <v/>
      </c>
      <c r="AR4771" s="206">
        <f t="shared" si="1482"/>
        <v>0</v>
      </c>
      <c r="AS4771" s="22" t="str">
        <f t="shared" si="1483"/>
        <v/>
      </c>
      <c r="AT4771" s="24" t="str">
        <f t="shared" si="1484"/>
        <v/>
      </c>
      <c r="AU4771" s="22" t="s">
        <v>3240</v>
      </c>
    </row>
    <row r="4772" spans="1:47">
      <c r="A4772" s="246" t="str">
        <f t="shared" si="1472"/>
        <v/>
      </c>
      <c r="B4772" s="23"/>
      <c r="C4772" s="23"/>
      <c r="D4772" s="202" t="str">
        <f t="shared" si="1473"/>
        <v/>
      </c>
      <c r="E4772" s="33" t="str">
        <f t="shared" si="1467"/>
        <v/>
      </c>
      <c r="F4772" s="23"/>
      <c r="G4772" s="23"/>
      <c r="H4772" s="29"/>
      <c r="I4772" s="204" t="str">
        <f t="shared" si="1470"/>
        <v/>
      </c>
      <c r="J4772" s="188"/>
      <c r="K4772" s="29"/>
      <c r="L4772" s="24"/>
      <c r="M4772" s="22"/>
      <c r="N4772" s="22"/>
      <c r="O4772" s="22"/>
      <c r="P4772" s="202" t="str">
        <f t="shared" si="1471"/>
        <v/>
      </c>
      <c r="Q4772" s="22"/>
      <c r="R4772" s="22"/>
      <c r="S4772" s="22"/>
      <c r="T4772" s="22"/>
      <c r="U4772" s="22"/>
      <c r="V4772" s="22"/>
      <c r="W4772" s="22"/>
      <c r="X4772" s="104"/>
      <c r="Y4772" s="195" t="str">
        <f t="shared" si="1468"/>
        <v/>
      </c>
      <c r="Z4772" s="196" t="str">
        <f t="shared" si="1469"/>
        <v/>
      </c>
      <c r="AA4772" s="22"/>
      <c r="AB4772" s="197" t="str">
        <f t="shared" si="1474"/>
        <v/>
      </c>
      <c r="AC4772" s="198" t="str">
        <f t="shared" si="1475"/>
        <v/>
      </c>
      <c r="AD4772" s="162"/>
      <c r="AE4772" s="199" t="str">
        <f t="shared" si="1476"/>
        <v/>
      </c>
      <c r="AF4772" s="199" t="str">
        <f>IF(AND(COUNTIFS($J$18:J4772,J4772)=1,AE4772=1),1,"")</f>
        <v/>
      </c>
      <c r="AG4772" s="199" t="str">
        <f>IF(C4772="","",IF(AND(COUNTIFS($J$18:J4772,J4772)=1,C4772&lt;&gt;""),1,""))</f>
        <v/>
      </c>
      <c r="AH4772" s="199" t="str">
        <f>IF(G4772="","",IF(AND(COUNTIFS($J$18:J4772,J4772)=1,G4772&lt;&gt;""),1,""))</f>
        <v/>
      </c>
      <c r="AI4772" s="200">
        <f t="shared" si="1477"/>
        <v>0</v>
      </c>
      <c r="AJ4772" s="200">
        <f t="shared" si="1478"/>
        <v>0</v>
      </c>
      <c r="AK4772" s="201" t="str">
        <f t="shared" si="1479"/>
        <v/>
      </c>
      <c r="AL4772" s="24"/>
      <c r="AM4772" s="24"/>
      <c r="AN4772" s="24"/>
      <c r="AO4772" s="24"/>
      <c r="AP4772" s="165" t="str">
        <f t="shared" si="1480"/>
        <v/>
      </c>
      <c r="AQ4772" s="203" t="str">
        <f t="shared" si="1481"/>
        <v/>
      </c>
      <c r="AR4772" s="206">
        <f t="shared" si="1482"/>
        <v>0</v>
      </c>
      <c r="AS4772" s="22" t="str">
        <f t="shared" si="1483"/>
        <v/>
      </c>
      <c r="AT4772" s="24" t="str">
        <f t="shared" si="1484"/>
        <v/>
      </c>
      <c r="AU4772" s="22" t="s">
        <v>3240</v>
      </c>
    </row>
    <row r="4773" spans="1:47">
      <c r="A4773" s="246" t="str">
        <f t="shared" si="1472"/>
        <v/>
      </c>
      <c r="B4773" s="23"/>
      <c r="C4773" s="23"/>
      <c r="D4773" s="202" t="str">
        <f t="shared" si="1473"/>
        <v/>
      </c>
      <c r="E4773" s="33" t="str">
        <f t="shared" si="1467"/>
        <v/>
      </c>
      <c r="F4773" s="23"/>
      <c r="G4773" s="23"/>
      <c r="H4773" s="29"/>
      <c r="I4773" s="204" t="str">
        <f t="shared" si="1470"/>
        <v/>
      </c>
      <c r="J4773" s="188"/>
      <c r="K4773" s="29"/>
      <c r="L4773" s="24"/>
      <c r="M4773" s="22"/>
      <c r="N4773" s="22"/>
      <c r="O4773" s="22"/>
      <c r="P4773" s="202" t="str">
        <f t="shared" si="1471"/>
        <v/>
      </c>
      <c r="Q4773" s="22"/>
      <c r="R4773" s="22"/>
      <c r="S4773" s="22"/>
      <c r="T4773" s="22"/>
      <c r="U4773" s="22"/>
      <c r="V4773" s="22"/>
      <c r="W4773" s="22"/>
      <c r="X4773" s="104"/>
      <c r="Y4773" s="195" t="str">
        <f t="shared" si="1468"/>
        <v/>
      </c>
      <c r="Z4773" s="196" t="str">
        <f t="shared" si="1469"/>
        <v/>
      </c>
      <c r="AA4773" s="22"/>
      <c r="AB4773" s="197" t="str">
        <f t="shared" si="1474"/>
        <v/>
      </c>
      <c r="AC4773" s="198" t="str">
        <f t="shared" si="1475"/>
        <v/>
      </c>
      <c r="AD4773" s="162"/>
      <c r="AE4773" s="199" t="str">
        <f t="shared" si="1476"/>
        <v/>
      </c>
      <c r="AF4773" s="199" t="str">
        <f>IF(AND(COUNTIFS($J$18:J4773,J4773)=1,AE4773=1),1,"")</f>
        <v/>
      </c>
      <c r="AG4773" s="199" t="str">
        <f>IF(C4773="","",IF(AND(COUNTIFS($J$18:J4773,J4773)=1,C4773&lt;&gt;""),1,""))</f>
        <v/>
      </c>
      <c r="AH4773" s="199" t="str">
        <f>IF(G4773="","",IF(AND(COUNTIFS($J$18:J4773,J4773)=1,G4773&lt;&gt;""),1,""))</f>
        <v/>
      </c>
      <c r="AI4773" s="200">
        <f t="shared" si="1477"/>
        <v>0</v>
      </c>
      <c r="AJ4773" s="200">
        <f t="shared" si="1478"/>
        <v>0</v>
      </c>
      <c r="AK4773" s="201" t="str">
        <f t="shared" si="1479"/>
        <v/>
      </c>
      <c r="AL4773" s="24"/>
      <c r="AM4773" s="24"/>
      <c r="AN4773" s="24"/>
      <c r="AO4773" s="24"/>
      <c r="AP4773" s="165" t="str">
        <f t="shared" si="1480"/>
        <v/>
      </c>
      <c r="AQ4773" s="203" t="str">
        <f t="shared" si="1481"/>
        <v/>
      </c>
      <c r="AR4773" s="206">
        <f t="shared" si="1482"/>
        <v>0</v>
      </c>
      <c r="AS4773" s="22" t="str">
        <f t="shared" si="1483"/>
        <v/>
      </c>
      <c r="AT4773" s="24" t="str">
        <f t="shared" si="1484"/>
        <v/>
      </c>
      <c r="AU4773" s="22" t="s">
        <v>3240</v>
      </c>
    </row>
    <row r="4774" spans="1:47">
      <c r="A4774" s="246" t="str">
        <f t="shared" si="1472"/>
        <v/>
      </c>
      <c r="B4774" s="23"/>
      <c r="C4774" s="23"/>
      <c r="D4774" s="202" t="str">
        <f t="shared" si="1473"/>
        <v/>
      </c>
      <c r="E4774" s="33" t="str">
        <f t="shared" si="1467"/>
        <v/>
      </c>
      <c r="F4774" s="23"/>
      <c r="G4774" s="23"/>
      <c r="H4774" s="29"/>
      <c r="I4774" s="204" t="str">
        <f t="shared" si="1470"/>
        <v/>
      </c>
      <c r="J4774" s="188"/>
      <c r="K4774" s="29"/>
      <c r="L4774" s="24"/>
      <c r="M4774" s="22"/>
      <c r="N4774" s="22"/>
      <c r="O4774" s="22"/>
      <c r="P4774" s="202" t="str">
        <f t="shared" si="1471"/>
        <v/>
      </c>
      <c r="Q4774" s="22"/>
      <c r="R4774" s="22"/>
      <c r="S4774" s="22"/>
      <c r="T4774" s="22"/>
      <c r="U4774" s="22"/>
      <c r="V4774" s="22"/>
      <c r="W4774" s="22"/>
      <c r="X4774" s="104"/>
      <c r="Y4774" s="195" t="str">
        <f t="shared" si="1468"/>
        <v/>
      </c>
      <c r="Z4774" s="196" t="str">
        <f t="shared" si="1469"/>
        <v/>
      </c>
      <c r="AA4774" s="22"/>
      <c r="AB4774" s="197" t="str">
        <f t="shared" si="1474"/>
        <v/>
      </c>
      <c r="AC4774" s="198" t="str">
        <f t="shared" si="1475"/>
        <v/>
      </c>
      <c r="AD4774" s="162"/>
      <c r="AE4774" s="199" t="str">
        <f t="shared" si="1476"/>
        <v/>
      </c>
      <c r="AF4774" s="199" t="str">
        <f>IF(AND(COUNTIFS($J$18:J4774,J4774)=1,AE4774=1),1,"")</f>
        <v/>
      </c>
      <c r="AG4774" s="199" t="str">
        <f>IF(C4774="","",IF(AND(COUNTIFS($J$18:J4774,J4774)=1,C4774&lt;&gt;""),1,""))</f>
        <v/>
      </c>
      <c r="AH4774" s="199" t="str">
        <f>IF(G4774="","",IF(AND(COUNTIFS($J$18:J4774,J4774)=1,G4774&lt;&gt;""),1,""))</f>
        <v/>
      </c>
      <c r="AI4774" s="200">
        <f t="shared" si="1477"/>
        <v>0</v>
      </c>
      <c r="AJ4774" s="200">
        <f t="shared" si="1478"/>
        <v>0</v>
      </c>
      <c r="AK4774" s="201" t="str">
        <f t="shared" si="1479"/>
        <v/>
      </c>
      <c r="AL4774" s="24"/>
      <c r="AM4774" s="24"/>
      <c r="AN4774" s="24"/>
      <c r="AO4774" s="24"/>
      <c r="AP4774" s="165" t="str">
        <f t="shared" si="1480"/>
        <v/>
      </c>
      <c r="AQ4774" s="203" t="str">
        <f t="shared" si="1481"/>
        <v/>
      </c>
      <c r="AR4774" s="206">
        <f t="shared" si="1482"/>
        <v>0</v>
      </c>
      <c r="AS4774" s="22" t="str">
        <f t="shared" si="1483"/>
        <v/>
      </c>
      <c r="AT4774" s="24" t="str">
        <f t="shared" si="1484"/>
        <v/>
      </c>
      <c r="AU4774" s="22" t="s">
        <v>3240</v>
      </c>
    </row>
    <row r="4775" spans="1:47">
      <c r="A4775" s="246" t="str">
        <f t="shared" si="1472"/>
        <v/>
      </c>
      <c r="B4775" s="23"/>
      <c r="C4775" s="23"/>
      <c r="D4775" s="202" t="str">
        <f t="shared" si="1473"/>
        <v/>
      </c>
      <c r="E4775" s="33" t="str">
        <f t="shared" si="1467"/>
        <v/>
      </c>
      <c r="F4775" s="23"/>
      <c r="G4775" s="23"/>
      <c r="H4775" s="29"/>
      <c r="I4775" s="204" t="str">
        <f t="shared" si="1470"/>
        <v/>
      </c>
      <c r="J4775" s="188"/>
      <c r="K4775" s="29"/>
      <c r="L4775" s="24"/>
      <c r="M4775" s="22"/>
      <c r="N4775" s="22"/>
      <c r="O4775" s="22"/>
      <c r="P4775" s="202" t="str">
        <f t="shared" si="1471"/>
        <v/>
      </c>
      <c r="Q4775" s="22"/>
      <c r="R4775" s="22"/>
      <c r="S4775" s="22"/>
      <c r="T4775" s="22"/>
      <c r="U4775" s="22"/>
      <c r="V4775" s="22"/>
      <c r="W4775" s="22"/>
      <c r="X4775" s="104"/>
      <c r="Y4775" s="195" t="str">
        <f t="shared" si="1468"/>
        <v/>
      </c>
      <c r="Z4775" s="196" t="str">
        <f t="shared" si="1469"/>
        <v/>
      </c>
      <c r="AA4775" s="22"/>
      <c r="AB4775" s="197" t="str">
        <f t="shared" si="1474"/>
        <v/>
      </c>
      <c r="AC4775" s="198" t="str">
        <f t="shared" si="1475"/>
        <v/>
      </c>
      <c r="AD4775" s="162"/>
      <c r="AE4775" s="199" t="str">
        <f t="shared" si="1476"/>
        <v/>
      </c>
      <c r="AF4775" s="199" t="str">
        <f>IF(AND(COUNTIFS($J$18:J4775,J4775)=1,AE4775=1),1,"")</f>
        <v/>
      </c>
      <c r="AG4775" s="199" t="str">
        <f>IF(C4775="","",IF(AND(COUNTIFS($J$18:J4775,J4775)=1,C4775&lt;&gt;""),1,""))</f>
        <v/>
      </c>
      <c r="AH4775" s="199" t="str">
        <f>IF(G4775="","",IF(AND(COUNTIFS($J$18:J4775,J4775)=1,G4775&lt;&gt;""),1,""))</f>
        <v/>
      </c>
      <c r="AI4775" s="200">
        <f t="shared" si="1477"/>
        <v>0</v>
      </c>
      <c r="AJ4775" s="200">
        <f t="shared" si="1478"/>
        <v>0</v>
      </c>
      <c r="AK4775" s="201" t="str">
        <f t="shared" si="1479"/>
        <v/>
      </c>
      <c r="AL4775" s="24"/>
      <c r="AM4775" s="24"/>
      <c r="AN4775" s="24"/>
      <c r="AO4775" s="24"/>
      <c r="AP4775" s="165" t="str">
        <f t="shared" si="1480"/>
        <v/>
      </c>
      <c r="AQ4775" s="203" t="str">
        <f t="shared" si="1481"/>
        <v/>
      </c>
      <c r="AR4775" s="206">
        <f t="shared" si="1482"/>
        <v>0</v>
      </c>
      <c r="AS4775" s="22" t="str">
        <f t="shared" si="1483"/>
        <v/>
      </c>
      <c r="AT4775" s="24" t="str">
        <f t="shared" si="1484"/>
        <v/>
      </c>
      <c r="AU4775" s="22" t="s">
        <v>3240</v>
      </c>
    </row>
    <row r="4776" spans="1:47">
      <c r="A4776" s="246" t="str">
        <f t="shared" si="1472"/>
        <v/>
      </c>
      <c r="B4776" s="23"/>
      <c r="C4776" s="23"/>
      <c r="D4776" s="202" t="str">
        <f t="shared" si="1473"/>
        <v/>
      </c>
      <c r="E4776" s="33" t="str">
        <f t="shared" si="1467"/>
        <v/>
      </c>
      <c r="F4776" s="23"/>
      <c r="G4776" s="23"/>
      <c r="H4776" s="29"/>
      <c r="I4776" s="204" t="str">
        <f t="shared" si="1470"/>
        <v/>
      </c>
      <c r="J4776" s="188"/>
      <c r="K4776" s="29"/>
      <c r="L4776" s="24"/>
      <c r="M4776" s="22"/>
      <c r="N4776" s="22"/>
      <c r="O4776" s="22"/>
      <c r="P4776" s="202" t="str">
        <f t="shared" si="1471"/>
        <v/>
      </c>
      <c r="Q4776" s="22"/>
      <c r="R4776" s="22"/>
      <c r="S4776" s="22"/>
      <c r="T4776" s="22"/>
      <c r="U4776" s="22"/>
      <c r="V4776" s="22"/>
      <c r="W4776" s="22"/>
      <c r="X4776" s="104"/>
      <c r="Y4776" s="195" t="str">
        <f t="shared" si="1468"/>
        <v/>
      </c>
      <c r="Z4776" s="196" t="str">
        <f t="shared" si="1469"/>
        <v/>
      </c>
      <c r="AA4776" s="22"/>
      <c r="AB4776" s="197" t="str">
        <f t="shared" si="1474"/>
        <v/>
      </c>
      <c r="AC4776" s="198" t="str">
        <f t="shared" si="1475"/>
        <v/>
      </c>
      <c r="AD4776" s="162"/>
      <c r="AE4776" s="199" t="str">
        <f t="shared" si="1476"/>
        <v/>
      </c>
      <c r="AF4776" s="199" t="str">
        <f>IF(AND(COUNTIFS($J$18:J4776,J4776)=1,AE4776=1),1,"")</f>
        <v/>
      </c>
      <c r="AG4776" s="199" t="str">
        <f>IF(C4776="","",IF(AND(COUNTIFS($J$18:J4776,J4776)=1,C4776&lt;&gt;""),1,""))</f>
        <v/>
      </c>
      <c r="AH4776" s="199" t="str">
        <f>IF(G4776="","",IF(AND(COUNTIFS($J$18:J4776,J4776)=1,G4776&lt;&gt;""),1,""))</f>
        <v/>
      </c>
      <c r="AI4776" s="200">
        <f t="shared" si="1477"/>
        <v>0</v>
      </c>
      <c r="AJ4776" s="200">
        <f t="shared" si="1478"/>
        <v>0</v>
      </c>
      <c r="AK4776" s="201" t="str">
        <f t="shared" si="1479"/>
        <v/>
      </c>
      <c r="AL4776" s="24"/>
      <c r="AM4776" s="24"/>
      <c r="AN4776" s="24"/>
      <c r="AO4776" s="24"/>
      <c r="AP4776" s="165" t="str">
        <f t="shared" si="1480"/>
        <v/>
      </c>
      <c r="AQ4776" s="203" t="str">
        <f t="shared" si="1481"/>
        <v/>
      </c>
      <c r="AR4776" s="206">
        <f t="shared" si="1482"/>
        <v>0</v>
      </c>
      <c r="AS4776" s="22" t="str">
        <f t="shared" si="1483"/>
        <v/>
      </c>
      <c r="AT4776" s="24" t="str">
        <f t="shared" si="1484"/>
        <v/>
      </c>
      <c r="AU4776" s="22" t="s">
        <v>3240</v>
      </c>
    </row>
    <row r="4777" spans="1:47">
      <c r="A4777" s="246" t="str">
        <f t="shared" si="1472"/>
        <v/>
      </c>
      <c r="B4777" s="23"/>
      <c r="C4777" s="23"/>
      <c r="D4777" s="202" t="str">
        <f t="shared" si="1473"/>
        <v/>
      </c>
      <c r="E4777" s="33" t="str">
        <f t="shared" si="1467"/>
        <v/>
      </c>
      <c r="F4777" s="23"/>
      <c r="G4777" s="23"/>
      <c r="H4777" s="29"/>
      <c r="I4777" s="204" t="str">
        <f t="shared" si="1470"/>
        <v/>
      </c>
      <c r="J4777" s="188"/>
      <c r="K4777" s="29"/>
      <c r="L4777" s="24"/>
      <c r="M4777" s="22"/>
      <c r="N4777" s="22"/>
      <c r="O4777" s="22"/>
      <c r="P4777" s="202" t="str">
        <f t="shared" si="1471"/>
        <v/>
      </c>
      <c r="Q4777" s="22"/>
      <c r="R4777" s="22"/>
      <c r="S4777" s="22"/>
      <c r="T4777" s="22"/>
      <c r="U4777" s="22"/>
      <c r="V4777" s="22"/>
      <c r="W4777" s="22"/>
      <c r="X4777" s="104"/>
      <c r="Y4777" s="195" t="str">
        <f t="shared" si="1468"/>
        <v/>
      </c>
      <c r="Z4777" s="196" t="str">
        <f t="shared" si="1469"/>
        <v/>
      </c>
      <c r="AA4777" s="22"/>
      <c r="AB4777" s="197" t="str">
        <f t="shared" si="1474"/>
        <v/>
      </c>
      <c r="AC4777" s="198" t="str">
        <f t="shared" si="1475"/>
        <v/>
      </c>
      <c r="AD4777" s="162"/>
      <c r="AE4777" s="199" t="str">
        <f t="shared" si="1476"/>
        <v/>
      </c>
      <c r="AF4777" s="199" t="str">
        <f>IF(AND(COUNTIFS($J$18:J4777,J4777)=1,AE4777=1),1,"")</f>
        <v/>
      </c>
      <c r="AG4777" s="199" t="str">
        <f>IF(C4777="","",IF(AND(COUNTIFS($J$18:J4777,J4777)=1,C4777&lt;&gt;""),1,""))</f>
        <v/>
      </c>
      <c r="AH4777" s="199" t="str">
        <f>IF(G4777="","",IF(AND(COUNTIFS($J$18:J4777,J4777)=1,G4777&lt;&gt;""),1,""))</f>
        <v/>
      </c>
      <c r="AI4777" s="200">
        <f t="shared" si="1477"/>
        <v>0</v>
      </c>
      <c r="AJ4777" s="200">
        <f t="shared" si="1478"/>
        <v>0</v>
      </c>
      <c r="AK4777" s="201" t="str">
        <f t="shared" si="1479"/>
        <v/>
      </c>
      <c r="AL4777" s="24"/>
      <c r="AM4777" s="24"/>
      <c r="AN4777" s="24"/>
      <c r="AO4777" s="24"/>
      <c r="AP4777" s="165" t="str">
        <f t="shared" si="1480"/>
        <v/>
      </c>
      <c r="AQ4777" s="203" t="str">
        <f t="shared" si="1481"/>
        <v/>
      </c>
      <c r="AR4777" s="206">
        <f t="shared" si="1482"/>
        <v>0</v>
      </c>
      <c r="AS4777" s="22" t="str">
        <f t="shared" si="1483"/>
        <v/>
      </c>
      <c r="AT4777" s="24" t="str">
        <f t="shared" si="1484"/>
        <v/>
      </c>
      <c r="AU4777" s="22" t="s">
        <v>3240</v>
      </c>
    </row>
    <row r="4778" spans="1:47">
      <c r="A4778" s="246" t="str">
        <f t="shared" si="1472"/>
        <v/>
      </c>
      <c r="B4778" s="23"/>
      <c r="C4778" s="23"/>
      <c r="D4778" s="202" t="str">
        <f t="shared" si="1473"/>
        <v/>
      </c>
      <c r="E4778" s="33" t="str">
        <f t="shared" si="1467"/>
        <v/>
      </c>
      <c r="F4778" s="23"/>
      <c r="G4778" s="23"/>
      <c r="H4778" s="29"/>
      <c r="I4778" s="204" t="str">
        <f t="shared" si="1470"/>
        <v/>
      </c>
      <c r="J4778" s="188"/>
      <c r="K4778" s="29"/>
      <c r="L4778" s="24"/>
      <c r="M4778" s="22"/>
      <c r="N4778" s="22"/>
      <c r="O4778" s="22"/>
      <c r="P4778" s="202" t="str">
        <f t="shared" si="1471"/>
        <v/>
      </c>
      <c r="Q4778" s="22"/>
      <c r="R4778" s="22"/>
      <c r="S4778" s="22"/>
      <c r="T4778" s="22"/>
      <c r="U4778" s="22"/>
      <c r="V4778" s="22"/>
      <c r="W4778" s="22"/>
      <c r="X4778" s="104"/>
      <c r="Y4778" s="195" t="str">
        <f t="shared" si="1468"/>
        <v/>
      </c>
      <c r="Z4778" s="196" t="str">
        <f t="shared" si="1469"/>
        <v/>
      </c>
      <c r="AA4778" s="22"/>
      <c r="AB4778" s="197" t="str">
        <f t="shared" si="1474"/>
        <v/>
      </c>
      <c r="AC4778" s="198" t="str">
        <f t="shared" si="1475"/>
        <v/>
      </c>
      <c r="AD4778" s="162"/>
      <c r="AE4778" s="199" t="str">
        <f t="shared" si="1476"/>
        <v/>
      </c>
      <c r="AF4778" s="199" t="str">
        <f>IF(AND(COUNTIFS($J$18:J4778,J4778)=1,AE4778=1),1,"")</f>
        <v/>
      </c>
      <c r="AG4778" s="199" t="str">
        <f>IF(C4778="","",IF(AND(COUNTIFS($J$18:J4778,J4778)=1,C4778&lt;&gt;""),1,""))</f>
        <v/>
      </c>
      <c r="AH4778" s="199" t="str">
        <f>IF(G4778="","",IF(AND(COUNTIFS($J$18:J4778,J4778)=1,G4778&lt;&gt;""),1,""))</f>
        <v/>
      </c>
      <c r="AI4778" s="200">
        <f t="shared" si="1477"/>
        <v>0</v>
      </c>
      <c r="AJ4778" s="200">
        <f t="shared" si="1478"/>
        <v>0</v>
      </c>
      <c r="AK4778" s="201" t="str">
        <f t="shared" si="1479"/>
        <v/>
      </c>
      <c r="AL4778" s="24"/>
      <c r="AM4778" s="24"/>
      <c r="AN4778" s="24"/>
      <c r="AO4778" s="24"/>
      <c r="AP4778" s="165" t="str">
        <f t="shared" si="1480"/>
        <v/>
      </c>
      <c r="AQ4778" s="203" t="str">
        <f t="shared" si="1481"/>
        <v/>
      </c>
      <c r="AR4778" s="206">
        <f t="shared" si="1482"/>
        <v>0</v>
      </c>
      <c r="AS4778" s="22" t="str">
        <f t="shared" si="1483"/>
        <v/>
      </c>
      <c r="AT4778" s="24" t="str">
        <f t="shared" si="1484"/>
        <v/>
      </c>
      <c r="AU4778" s="22" t="s">
        <v>3240</v>
      </c>
    </row>
    <row r="4779" spans="1:47">
      <c r="A4779" s="246" t="str">
        <f t="shared" si="1472"/>
        <v/>
      </c>
      <c r="B4779" s="23"/>
      <c r="C4779" s="23"/>
      <c r="D4779" s="202" t="str">
        <f t="shared" si="1473"/>
        <v/>
      </c>
      <c r="E4779" s="33" t="str">
        <f t="shared" si="1467"/>
        <v/>
      </c>
      <c r="F4779" s="23"/>
      <c r="G4779" s="23"/>
      <c r="H4779" s="29"/>
      <c r="I4779" s="204" t="str">
        <f t="shared" si="1470"/>
        <v/>
      </c>
      <c r="J4779" s="188"/>
      <c r="K4779" s="29"/>
      <c r="L4779" s="24"/>
      <c r="M4779" s="22"/>
      <c r="N4779" s="22"/>
      <c r="O4779" s="22"/>
      <c r="P4779" s="202" t="str">
        <f t="shared" si="1471"/>
        <v/>
      </c>
      <c r="Q4779" s="22"/>
      <c r="R4779" s="22"/>
      <c r="S4779" s="22"/>
      <c r="T4779" s="22"/>
      <c r="U4779" s="22"/>
      <c r="V4779" s="22"/>
      <c r="W4779" s="22"/>
      <c r="X4779" s="104"/>
      <c r="Y4779" s="195" t="str">
        <f t="shared" si="1468"/>
        <v/>
      </c>
      <c r="Z4779" s="196" t="str">
        <f t="shared" si="1469"/>
        <v/>
      </c>
      <c r="AA4779" s="22"/>
      <c r="AB4779" s="197" t="str">
        <f t="shared" si="1474"/>
        <v/>
      </c>
      <c r="AC4779" s="198" t="str">
        <f t="shared" si="1475"/>
        <v/>
      </c>
      <c r="AD4779" s="162"/>
      <c r="AE4779" s="199" t="str">
        <f t="shared" si="1476"/>
        <v/>
      </c>
      <c r="AF4779" s="199" t="str">
        <f>IF(AND(COUNTIFS($J$18:J4779,J4779)=1,AE4779=1),1,"")</f>
        <v/>
      </c>
      <c r="AG4779" s="199" t="str">
        <f>IF(C4779="","",IF(AND(COUNTIFS($J$18:J4779,J4779)=1,C4779&lt;&gt;""),1,""))</f>
        <v/>
      </c>
      <c r="AH4779" s="199" t="str">
        <f>IF(G4779="","",IF(AND(COUNTIFS($J$18:J4779,J4779)=1,G4779&lt;&gt;""),1,""))</f>
        <v/>
      </c>
      <c r="AI4779" s="200">
        <f t="shared" si="1477"/>
        <v>0</v>
      </c>
      <c r="AJ4779" s="200">
        <f t="shared" si="1478"/>
        <v>0</v>
      </c>
      <c r="AK4779" s="201" t="str">
        <f t="shared" si="1479"/>
        <v/>
      </c>
      <c r="AL4779" s="24"/>
      <c r="AM4779" s="24"/>
      <c r="AN4779" s="24"/>
      <c r="AO4779" s="24"/>
      <c r="AP4779" s="165" t="str">
        <f t="shared" si="1480"/>
        <v/>
      </c>
      <c r="AQ4779" s="203" t="str">
        <f t="shared" si="1481"/>
        <v/>
      </c>
      <c r="AR4779" s="206">
        <f t="shared" si="1482"/>
        <v>0</v>
      </c>
      <c r="AS4779" s="22" t="str">
        <f t="shared" si="1483"/>
        <v/>
      </c>
      <c r="AT4779" s="24" t="str">
        <f t="shared" si="1484"/>
        <v/>
      </c>
      <c r="AU4779" s="22" t="s">
        <v>3240</v>
      </c>
    </row>
    <row r="4780" spans="1:47">
      <c r="A4780" s="246" t="str">
        <f t="shared" si="1472"/>
        <v/>
      </c>
      <c r="B4780" s="23"/>
      <c r="C4780" s="23"/>
      <c r="D4780" s="202" t="str">
        <f t="shared" si="1473"/>
        <v/>
      </c>
      <c r="E4780" s="33" t="str">
        <f t="shared" si="1467"/>
        <v/>
      </c>
      <c r="F4780" s="23"/>
      <c r="G4780" s="23"/>
      <c r="H4780" s="29"/>
      <c r="I4780" s="204" t="str">
        <f t="shared" si="1470"/>
        <v/>
      </c>
      <c r="J4780" s="188"/>
      <c r="K4780" s="29"/>
      <c r="L4780" s="24"/>
      <c r="M4780" s="22"/>
      <c r="N4780" s="22"/>
      <c r="O4780" s="22"/>
      <c r="P4780" s="202" t="str">
        <f t="shared" si="1471"/>
        <v/>
      </c>
      <c r="Q4780" s="22"/>
      <c r="R4780" s="22"/>
      <c r="S4780" s="22"/>
      <c r="T4780" s="22"/>
      <c r="U4780" s="22"/>
      <c r="V4780" s="22"/>
      <c r="W4780" s="22"/>
      <c r="X4780" s="104"/>
      <c r="Y4780" s="195" t="str">
        <f t="shared" si="1468"/>
        <v/>
      </c>
      <c r="Z4780" s="196" t="str">
        <f t="shared" si="1469"/>
        <v/>
      </c>
      <c r="AA4780" s="22"/>
      <c r="AB4780" s="197" t="str">
        <f t="shared" si="1474"/>
        <v/>
      </c>
      <c r="AC4780" s="198" t="str">
        <f t="shared" si="1475"/>
        <v/>
      </c>
      <c r="AD4780" s="162"/>
      <c r="AE4780" s="199" t="str">
        <f t="shared" si="1476"/>
        <v/>
      </c>
      <c r="AF4780" s="199" t="str">
        <f>IF(AND(COUNTIFS($J$18:J4780,J4780)=1,AE4780=1),1,"")</f>
        <v/>
      </c>
      <c r="AG4780" s="199" t="str">
        <f>IF(C4780="","",IF(AND(COUNTIFS($J$18:J4780,J4780)=1,C4780&lt;&gt;""),1,""))</f>
        <v/>
      </c>
      <c r="AH4780" s="199" t="str">
        <f>IF(G4780="","",IF(AND(COUNTIFS($J$18:J4780,J4780)=1,G4780&lt;&gt;""),1,""))</f>
        <v/>
      </c>
      <c r="AI4780" s="200">
        <f t="shared" si="1477"/>
        <v>0</v>
      </c>
      <c r="AJ4780" s="200">
        <f t="shared" si="1478"/>
        <v>0</v>
      </c>
      <c r="AK4780" s="201" t="str">
        <f t="shared" si="1479"/>
        <v/>
      </c>
      <c r="AL4780" s="24"/>
      <c r="AM4780" s="24"/>
      <c r="AN4780" s="24"/>
      <c r="AO4780" s="24"/>
      <c r="AP4780" s="165" t="str">
        <f t="shared" si="1480"/>
        <v/>
      </c>
      <c r="AQ4780" s="203" t="str">
        <f t="shared" si="1481"/>
        <v/>
      </c>
      <c r="AR4780" s="206">
        <f t="shared" si="1482"/>
        <v>0</v>
      </c>
      <c r="AS4780" s="22" t="str">
        <f t="shared" si="1483"/>
        <v/>
      </c>
      <c r="AT4780" s="24" t="str">
        <f t="shared" si="1484"/>
        <v/>
      </c>
      <c r="AU4780" s="22" t="s">
        <v>3240</v>
      </c>
    </row>
    <row r="4781" spans="1:47">
      <c r="A4781" s="246" t="str">
        <f t="shared" si="1472"/>
        <v/>
      </c>
      <c r="B4781" s="23"/>
      <c r="C4781" s="23"/>
      <c r="D4781" s="202" t="str">
        <f t="shared" si="1473"/>
        <v/>
      </c>
      <c r="E4781" s="33" t="str">
        <f t="shared" si="1467"/>
        <v/>
      </c>
      <c r="F4781" s="23"/>
      <c r="G4781" s="23"/>
      <c r="H4781" s="29"/>
      <c r="I4781" s="204" t="str">
        <f t="shared" si="1470"/>
        <v/>
      </c>
      <c r="J4781" s="188"/>
      <c r="K4781" s="29"/>
      <c r="L4781" s="24"/>
      <c r="M4781" s="22"/>
      <c r="N4781" s="22"/>
      <c r="O4781" s="22"/>
      <c r="P4781" s="202" t="str">
        <f t="shared" si="1471"/>
        <v/>
      </c>
      <c r="Q4781" s="22"/>
      <c r="R4781" s="22"/>
      <c r="S4781" s="22"/>
      <c r="T4781" s="22"/>
      <c r="U4781" s="22"/>
      <c r="V4781" s="22"/>
      <c r="W4781" s="22"/>
      <c r="X4781" s="104"/>
      <c r="Y4781" s="195" t="str">
        <f t="shared" si="1468"/>
        <v/>
      </c>
      <c r="Z4781" s="196" t="str">
        <f t="shared" si="1469"/>
        <v/>
      </c>
      <c r="AA4781" s="22"/>
      <c r="AB4781" s="197" t="str">
        <f t="shared" si="1474"/>
        <v/>
      </c>
      <c r="AC4781" s="198" t="str">
        <f t="shared" si="1475"/>
        <v/>
      </c>
      <c r="AD4781" s="162"/>
      <c r="AE4781" s="199" t="str">
        <f t="shared" si="1476"/>
        <v/>
      </c>
      <c r="AF4781" s="199" t="str">
        <f>IF(AND(COUNTIFS($J$18:J4781,J4781)=1,AE4781=1),1,"")</f>
        <v/>
      </c>
      <c r="AG4781" s="199" t="str">
        <f>IF(C4781="","",IF(AND(COUNTIFS($J$18:J4781,J4781)=1,C4781&lt;&gt;""),1,""))</f>
        <v/>
      </c>
      <c r="AH4781" s="199" t="str">
        <f>IF(G4781="","",IF(AND(COUNTIFS($J$18:J4781,J4781)=1,G4781&lt;&gt;""),1,""))</f>
        <v/>
      </c>
      <c r="AI4781" s="200">
        <f t="shared" si="1477"/>
        <v>0</v>
      </c>
      <c r="AJ4781" s="200">
        <f t="shared" si="1478"/>
        <v>0</v>
      </c>
      <c r="AK4781" s="201" t="str">
        <f t="shared" si="1479"/>
        <v/>
      </c>
      <c r="AL4781" s="24"/>
      <c r="AM4781" s="24"/>
      <c r="AN4781" s="24"/>
      <c r="AO4781" s="24"/>
      <c r="AP4781" s="165" t="str">
        <f t="shared" si="1480"/>
        <v/>
      </c>
      <c r="AQ4781" s="203" t="str">
        <f t="shared" si="1481"/>
        <v/>
      </c>
      <c r="AR4781" s="206">
        <f t="shared" si="1482"/>
        <v>0</v>
      </c>
      <c r="AS4781" s="22" t="str">
        <f t="shared" si="1483"/>
        <v/>
      </c>
      <c r="AT4781" s="24" t="str">
        <f t="shared" si="1484"/>
        <v/>
      </c>
      <c r="AU4781" s="22" t="s">
        <v>3240</v>
      </c>
    </row>
    <row r="4782" spans="1:47">
      <c r="A4782" s="246" t="str">
        <f t="shared" si="1472"/>
        <v/>
      </c>
      <c r="B4782" s="23"/>
      <c r="C4782" s="23"/>
      <c r="D4782" s="202" t="str">
        <f t="shared" si="1473"/>
        <v/>
      </c>
      <c r="E4782" s="33" t="str">
        <f t="shared" si="1467"/>
        <v/>
      </c>
      <c r="F4782" s="23"/>
      <c r="G4782" s="23"/>
      <c r="H4782" s="29"/>
      <c r="I4782" s="204" t="str">
        <f t="shared" si="1470"/>
        <v/>
      </c>
      <c r="J4782" s="188"/>
      <c r="K4782" s="29"/>
      <c r="L4782" s="24"/>
      <c r="M4782" s="22"/>
      <c r="N4782" s="22"/>
      <c r="O4782" s="22"/>
      <c r="P4782" s="202" t="str">
        <f t="shared" si="1471"/>
        <v/>
      </c>
      <c r="Q4782" s="22"/>
      <c r="R4782" s="22"/>
      <c r="S4782" s="22"/>
      <c r="T4782" s="22"/>
      <c r="U4782" s="22"/>
      <c r="V4782" s="22"/>
      <c r="W4782" s="22"/>
      <c r="X4782" s="104"/>
      <c r="Y4782" s="195" t="str">
        <f t="shared" si="1468"/>
        <v/>
      </c>
      <c r="Z4782" s="196" t="str">
        <f t="shared" si="1469"/>
        <v/>
      </c>
      <c r="AA4782" s="22"/>
      <c r="AB4782" s="197" t="str">
        <f t="shared" si="1474"/>
        <v/>
      </c>
      <c r="AC4782" s="198" t="str">
        <f t="shared" si="1475"/>
        <v/>
      </c>
      <c r="AD4782" s="162"/>
      <c r="AE4782" s="199" t="str">
        <f t="shared" si="1476"/>
        <v/>
      </c>
      <c r="AF4782" s="199" t="str">
        <f>IF(AND(COUNTIFS($J$18:J4782,J4782)=1,AE4782=1),1,"")</f>
        <v/>
      </c>
      <c r="AG4782" s="199" t="str">
        <f>IF(C4782="","",IF(AND(COUNTIFS($J$18:J4782,J4782)=1,C4782&lt;&gt;""),1,""))</f>
        <v/>
      </c>
      <c r="AH4782" s="199" t="str">
        <f>IF(G4782="","",IF(AND(COUNTIFS($J$18:J4782,J4782)=1,G4782&lt;&gt;""),1,""))</f>
        <v/>
      </c>
      <c r="AI4782" s="200">
        <f t="shared" si="1477"/>
        <v>0</v>
      </c>
      <c r="AJ4782" s="200">
        <f t="shared" si="1478"/>
        <v>0</v>
      </c>
      <c r="AK4782" s="201" t="str">
        <f t="shared" si="1479"/>
        <v/>
      </c>
      <c r="AL4782" s="24"/>
      <c r="AM4782" s="24"/>
      <c r="AN4782" s="24"/>
      <c r="AO4782" s="24"/>
      <c r="AP4782" s="165" t="str">
        <f t="shared" si="1480"/>
        <v/>
      </c>
      <c r="AQ4782" s="203" t="str">
        <f t="shared" si="1481"/>
        <v/>
      </c>
      <c r="AR4782" s="206">
        <f t="shared" si="1482"/>
        <v>0</v>
      </c>
      <c r="AS4782" s="22" t="str">
        <f t="shared" si="1483"/>
        <v/>
      </c>
      <c r="AT4782" s="24" t="str">
        <f t="shared" si="1484"/>
        <v/>
      </c>
      <c r="AU4782" s="22" t="s">
        <v>3240</v>
      </c>
    </row>
    <row r="4783" spans="1:47">
      <c r="A4783" s="246" t="str">
        <f t="shared" si="1472"/>
        <v/>
      </c>
      <c r="B4783" s="23"/>
      <c r="C4783" s="23"/>
      <c r="D4783" s="202" t="str">
        <f t="shared" si="1473"/>
        <v/>
      </c>
      <c r="E4783" s="33" t="str">
        <f t="shared" si="1467"/>
        <v/>
      </c>
      <c r="F4783" s="23"/>
      <c r="G4783" s="23"/>
      <c r="H4783" s="29"/>
      <c r="I4783" s="204" t="str">
        <f t="shared" si="1470"/>
        <v/>
      </c>
      <c r="J4783" s="188"/>
      <c r="K4783" s="29"/>
      <c r="L4783" s="24"/>
      <c r="M4783" s="22"/>
      <c r="N4783" s="22"/>
      <c r="O4783" s="22"/>
      <c r="P4783" s="202" t="str">
        <f t="shared" si="1471"/>
        <v/>
      </c>
      <c r="Q4783" s="22"/>
      <c r="R4783" s="22"/>
      <c r="S4783" s="22"/>
      <c r="T4783" s="22"/>
      <c r="U4783" s="22"/>
      <c r="V4783" s="22"/>
      <c r="W4783" s="22"/>
      <c r="X4783" s="104"/>
      <c r="Y4783" s="195" t="str">
        <f t="shared" si="1468"/>
        <v/>
      </c>
      <c r="Z4783" s="196" t="str">
        <f t="shared" si="1469"/>
        <v/>
      </c>
      <c r="AA4783" s="22"/>
      <c r="AB4783" s="197" t="str">
        <f t="shared" si="1474"/>
        <v/>
      </c>
      <c r="AC4783" s="198" t="str">
        <f t="shared" si="1475"/>
        <v/>
      </c>
      <c r="AD4783" s="162"/>
      <c r="AE4783" s="199" t="str">
        <f t="shared" si="1476"/>
        <v/>
      </c>
      <c r="AF4783" s="199" t="str">
        <f>IF(AND(COUNTIFS($J$18:J4783,J4783)=1,AE4783=1),1,"")</f>
        <v/>
      </c>
      <c r="AG4783" s="199" t="str">
        <f>IF(C4783="","",IF(AND(COUNTIFS($J$18:J4783,J4783)=1,C4783&lt;&gt;""),1,""))</f>
        <v/>
      </c>
      <c r="AH4783" s="199" t="str">
        <f>IF(G4783="","",IF(AND(COUNTIFS($J$18:J4783,J4783)=1,G4783&lt;&gt;""),1,""))</f>
        <v/>
      </c>
      <c r="AI4783" s="200">
        <f t="shared" si="1477"/>
        <v>0</v>
      </c>
      <c r="AJ4783" s="200">
        <f t="shared" si="1478"/>
        <v>0</v>
      </c>
      <c r="AK4783" s="201" t="str">
        <f t="shared" si="1479"/>
        <v/>
      </c>
      <c r="AL4783" s="24"/>
      <c r="AM4783" s="24"/>
      <c r="AN4783" s="24"/>
      <c r="AO4783" s="24"/>
      <c r="AP4783" s="165" t="str">
        <f t="shared" si="1480"/>
        <v/>
      </c>
      <c r="AQ4783" s="203" t="str">
        <f t="shared" si="1481"/>
        <v/>
      </c>
      <c r="AR4783" s="206">
        <f t="shared" si="1482"/>
        <v>0</v>
      </c>
      <c r="AS4783" s="22" t="str">
        <f t="shared" si="1483"/>
        <v/>
      </c>
      <c r="AT4783" s="24" t="str">
        <f t="shared" si="1484"/>
        <v/>
      </c>
      <c r="AU4783" s="22" t="s">
        <v>3240</v>
      </c>
    </row>
    <row r="4784" spans="1:47">
      <c r="A4784" s="246" t="str">
        <f t="shared" si="1472"/>
        <v/>
      </c>
      <c r="B4784" s="23"/>
      <c r="C4784" s="23"/>
      <c r="D4784" s="202" t="str">
        <f t="shared" si="1473"/>
        <v/>
      </c>
      <c r="E4784" s="33" t="str">
        <f t="shared" si="1467"/>
        <v/>
      </c>
      <c r="F4784" s="23"/>
      <c r="G4784" s="23"/>
      <c r="H4784" s="29"/>
      <c r="I4784" s="204" t="str">
        <f t="shared" si="1470"/>
        <v/>
      </c>
      <c r="J4784" s="188"/>
      <c r="K4784" s="29"/>
      <c r="L4784" s="24"/>
      <c r="M4784" s="22"/>
      <c r="N4784" s="22"/>
      <c r="O4784" s="22"/>
      <c r="P4784" s="202" t="str">
        <f t="shared" si="1471"/>
        <v/>
      </c>
      <c r="Q4784" s="22"/>
      <c r="R4784" s="22"/>
      <c r="S4784" s="22"/>
      <c r="T4784" s="22"/>
      <c r="U4784" s="22"/>
      <c r="V4784" s="22"/>
      <c r="W4784" s="22"/>
      <c r="X4784" s="104"/>
      <c r="Y4784" s="195" t="str">
        <f t="shared" si="1468"/>
        <v/>
      </c>
      <c r="Z4784" s="196" t="str">
        <f t="shared" si="1469"/>
        <v/>
      </c>
      <c r="AA4784" s="22"/>
      <c r="AB4784" s="197" t="str">
        <f t="shared" si="1474"/>
        <v/>
      </c>
      <c r="AC4784" s="198" t="str">
        <f t="shared" si="1475"/>
        <v/>
      </c>
      <c r="AD4784" s="162"/>
      <c r="AE4784" s="199" t="str">
        <f t="shared" si="1476"/>
        <v/>
      </c>
      <c r="AF4784" s="199" t="str">
        <f>IF(AND(COUNTIFS($J$18:J4784,J4784)=1,AE4784=1),1,"")</f>
        <v/>
      </c>
      <c r="AG4784" s="199" t="str">
        <f>IF(C4784="","",IF(AND(COUNTIFS($J$18:J4784,J4784)=1,C4784&lt;&gt;""),1,""))</f>
        <v/>
      </c>
      <c r="AH4784" s="199" t="str">
        <f>IF(G4784="","",IF(AND(COUNTIFS($J$18:J4784,J4784)=1,G4784&lt;&gt;""),1,""))</f>
        <v/>
      </c>
      <c r="AI4784" s="200">
        <f t="shared" si="1477"/>
        <v>0</v>
      </c>
      <c r="AJ4784" s="200">
        <f t="shared" si="1478"/>
        <v>0</v>
      </c>
      <c r="AK4784" s="201" t="str">
        <f t="shared" si="1479"/>
        <v/>
      </c>
      <c r="AL4784" s="24"/>
      <c r="AM4784" s="24"/>
      <c r="AN4784" s="24"/>
      <c r="AO4784" s="24"/>
      <c r="AP4784" s="165" t="str">
        <f t="shared" si="1480"/>
        <v/>
      </c>
      <c r="AQ4784" s="203" t="str">
        <f t="shared" si="1481"/>
        <v/>
      </c>
      <c r="AR4784" s="206">
        <f t="shared" si="1482"/>
        <v>0</v>
      </c>
      <c r="AS4784" s="22" t="str">
        <f t="shared" si="1483"/>
        <v/>
      </c>
      <c r="AT4784" s="24" t="str">
        <f t="shared" si="1484"/>
        <v/>
      </c>
      <c r="AU4784" s="22" t="s">
        <v>3240</v>
      </c>
    </row>
    <row r="4785" spans="1:47">
      <c r="A4785" s="246" t="str">
        <f t="shared" si="1472"/>
        <v/>
      </c>
      <c r="B4785" s="23"/>
      <c r="C4785" s="23"/>
      <c r="D4785" s="202" t="str">
        <f t="shared" si="1473"/>
        <v/>
      </c>
      <c r="E4785" s="33" t="str">
        <f t="shared" si="1467"/>
        <v/>
      </c>
      <c r="F4785" s="23"/>
      <c r="G4785" s="23"/>
      <c r="H4785" s="29"/>
      <c r="I4785" s="204" t="str">
        <f t="shared" si="1470"/>
        <v/>
      </c>
      <c r="J4785" s="188"/>
      <c r="K4785" s="29"/>
      <c r="L4785" s="24"/>
      <c r="M4785" s="22"/>
      <c r="N4785" s="22"/>
      <c r="O4785" s="22"/>
      <c r="P4785" s="202" t="str">
        <f t="shared" si="1471"/>
        <v/>
      </c>
      <c r="Q4785" s="22"/>
      <c r="R4785" s="22"/>
      <c r="S4785" s="22"/>
      <c r="T4785" s="22"/>
      <c r="U4785" s="22"/>
      <c r="V4785" s="22"/>
      <c r="W4785" s="22"/>
      <c r="X4785" s="104"/>
      <c r="Y4785" s="195" t="str">
        <f t="shared" si="1468"/>
        <v/>
      </c>
      <c r="Z4785" s="196" t="str">
        <f t="shared" si="1469"/>
        <v/>
      </c>
      <c r="AA4785" s="22"/>
      <c r="AB4785" s="197" t="str">
        <f t="shared" si="1474"/>
        <v/>
      </c>
      <c r="AC4785" s="198" t="str">
        <f t="shared" si="1475"/>
        <v/>
      </c>
      <c r="AD4785" s="162"/>
      <c r="AE4785" s="199" t="str">
        <f t="shared" si="1476"/>
        <v/>
      </c>
      <c r="AF4785" s="199" t="str">
        <f>IF(AND(COUNTIFS($J$18:J4785,J4785)=1,AE4785=1),1,"")</f>
        <v/>
      </c>
      <c r="AG4785" s="199" t="str">
        <f>IF(C4785="","",IF(AND(COUNTIFS($J$18:J4785,J4785)=1,C4785&lt;&gt;""),1,""))</f>
        <v/>
      </c>
      <c r="AH4785" s="199" t="str">
        <f>IF(G4785="","",IF(AND(COUNTIFS($J$18:J4785,J4785)=1,G4785&lt;&gt;""),1,""))</f>
        <v/>
      </c>
      <c r="AI4785" s="200">
        <f t="shared" si="1477"/>
        <v>0</v>
      </c>
      <c r="AJ4785" s="200">
        <f t="shared" si="1478"/>
        <v>0</v>
      </c>
      <c r="AK4785" s="201" t="str">
        <f t="shared" si="1479"/>
        <v/>
      </c>
      <c r="AL4785" s="24"/>
      <c r="AM4785" s="24"/>
      <c r="AN4785" s="24"/>
      <c r="AO4785" s="24"/>
      <c r="AP4785" s="165" t="str">
        <f t="shared" si="1480"/>
        <v/>
      </c>
      <c r="AQ4785" s="203" t="str">
        <f t="shared" si="1481"/>
        <v/>
      </c>
      <c r="AR4785" s="206">
        <f t="shared" si="1482"/>
        <v>0</v>
      </c>
      <c r="AS4785" s="22" t="str">
        <f t="shared" si="1483"/>
        <v/>
      </c>
      <c r="AT4785" s="24" t="str">
        <f t="shared" si="1484"/>
        <v/>
      </c>
      <c r="AU4785" s="22" t="s">
        <v>3240</v>
      </c>
    </row>
    <row r="4786" spans="1:47">
      <c r="A4786" s="246" t="str">
        <f t="shared" si="1472"/>
        <v/>
      </c>
      <c r="B4786" s="23"/>
      <c r="C4786" s="23"/>
      <c r="D4786" s="202" t="str">
        <f t="shared" si="1473"/>
        <v/>
      </c>
      <c r="E4786" s="33" t="str">
        <f t="shared" si="1467"/>
        <v/>
      </c>
      <c r="F4786" s="23"/>
      <c r="G4786" s="23"/>
      <c r="H4786" s="29"/>
      <c r="I4786" s="204" t="str">
        <f t="shared" si="1470"/>
        <v/>
      </c>
      <c r="J4786" s="188"/>
      <c r="K4786" s="29"/>
      <c r="L4786" s="24"/>
      <c r="M4786" s="22"/>
      <c r="N4786" s="22"/>
      <c r="O4786" s="22"/>
      <c r="P4786" s="202" t="str">
        <f t="shared" si="1471"/>
        <v/>
      </c>
      <c r="Q4786" s="22"/>
      <c r="R4786" s="22"/>
      <c r="S4786" s="22"/>
      <c r="T4786" s="22"/>
      <c r="U4786" s="22"/>
      <c r="V4786" s="22"/>
      <c r="W4786" s="22"/>
      <c r="X4786" s="104"/>
      <c r="Y4786" s="195" t="str">
        <f t="shared" si="1468"/>
        <v/>
      </c>
      <c r="Z4786" s="196" t="str">
        <f t="shared" si="1469"/>
        <v/>
      </c>
      <c r="AA4786" s="22"/>
      <c r="AB4786" s="197" t="str">
        <f t="shared" si="1474"/>
        <v/>
      </c>
      <c r="AC4786" s="198" t="str">
        <f t="shared" si="1475"/>
        <v/>
      </c>
      <c r="AD4786" s="162"/>
      <c r="AE4786" s="199" t="str">
        <f t="shared" si="1476"/>
        <v/>
      </c>
      <c r="AF4786" s="199" t="str">
        <f>IF(AND(COUNTIFS($J$18:J4786,J4786)=1,AE4786=1),1,"")</f>
        <v/>
      </c>
      <c r="AG4786" s="199" t="str">
        <f>IF(C4786="","",IF(AND(COUNTIFS($J$18:J4786,J4786)=1,C4786&lt;&gt;""),1,""))</f>
        <v/>
      </c>
      <c r="AH4786" s="199" t="str">
        <f>IF(G4786="","",IF(AND(COUNTIFS($J$18:J4786,J4786)=1,G4786&lt;&gt;""),1,""))</f>
        <v/>
      </c>
      <c r="AI4786" s="200">
        <f t="shared" si="1477"/>
        <v>0</v>
      </c>
      <c r="AJ4786" s="200">
        <f t="shared" si="1478"/>
        <v>0</v>
      </c>
      <c r="AK4786" s="201" t="str">
        <f t="shared" si="1479"/>
        <v/>
      </c>
      <c r="AL4786" s="24"/>
      <c r="AM4786" s="24"/>
      <c r="AN4786" s="24"/>
      <c r="AO4786" s="24"/>
      <c r="AP4786" s="165" t="str">
        <f t="shared" si="1480"/>
        <v/>
      </c>
      <c r="AQ4786" s="203" t="str">
        <f t="shared" si="1481"/>
        <v/>
      </c>
      <c r="AR4786" s="206">
        <f t="shared" si="1482"/>
        <v>0</v>
      </c>
      <c r="AS4786" s="22" t="str">
        <f t="shared" si="1483"/>
        <v/>
      </c>
      <c r="AT4786" s="24" t="str">
        <f t="shared" si="1484"/>
        <v/>
      </c>
      <c r="AU4786" s="22" t="s">
        <v>3240</v>
      </c>
    </row>
    <row r="4787" spans="1:47">
      <c r="A4787" s="246" t="str">
        <f t="shared" si="1472"/>
        <v/>
      </c>
      <c r="B4787" s="23"/>
      <c r="C4787" s="23"/>
      <c r="D4787" s="202" t="str">
        <f t="shared" si="1473"/>
        <v/>
      </c>
      <c r="E4787" s="33" t="str">
        <f t="shared" si="1467"/>
        <v/>
      </c>
      <c r="F4787" s="23"/>
      <c r="G4787" s="23"/>
      <c r="H4787" s="29"/>
      <c r="I4787" s="204" t="str">
        <f t="shared" si="1470"/>
        <v/>
      </c>
      <c r="J4787" s="188"/>
      <c r="K4787" s="29"/>
      <c r="L4787" s="24"/>
      <c r="M4787" s="22"/>
      <c r="N4787" s="22"/>
      <c r="O4787" s="22"/>
      <c r="P4787" s="202" t="str">
        <f t="shared" si="1471"/>
        <v/>
      </c>
      <c r="Q4787" s="22"/>
      <c r="R4787" s="22"/>
      <c r="S4787" s="22"/>
      <c r="T4787" s="22"/>
      <c r="U4787" s="22"/>
      <c r="V4787" s="22"/>
      <c r="W4787" s="22"/>
      <c r="X4787" s="104"/>
      <c r="Y4787" s="195" t="str">
        <f t="shared" si="1468"/>
        <v/>
      </c>
      <c r="Z4787" s="196" t="str">
        <f t="shared" si="1469"/>
        <v/>
      </c>
      <c r="AA4787" s="22"/>
      <c r="AB4787" s="197" t="str">
        <f t="shared" si="1474"/>
        <v/>
      </c>
      <c r="AC4787" s="198" t="str">
        <f t="shared" si="1475"/>
        <v/>
      </c>
      <c r="AD4787" s="162"/>
      <c r="AE4787" s="199" t="str">
        <f t="shared" si="1476"/>
        <v/>
      </c>
      <c r="AF4787" s="199" t="str">
        <f>IF(AND(COUNTIFS($J$18:J4787,J4787)=1,AE4787=1),1,"")</f>
        <v/>
      </c>
      <c r="AG4787" s="199" t="str">
        <f>IF(C4787="","",IF(AND(COUNTIFS($J$18:J4787,J4787)=1,C4787&lt;&gt;""),1,""))</f>
        <v/>
      </c>
      <c r="AH4787" s="199" t="str">
        <f>IF(G4787="","",IF(AND(COUNTIFS($J$18:J4787,J4787)=1,G4787&lt;&gt;""),1,""))</f>
        <v/>
      </c>
      <c r="AI4787" s="200">
        <f t="shared" si="1477"/>
        <v>0</v>
      </c>
      <c r="AJ4787" s="200">
        <f t="shared" si="1478"/>
        <v>0</v>
      </c>
      <c r="AK4787" s="201" t="str">
        <f t="shared" si="1479"/>
        <v/>
      </c>
      <c r="AL4787" s="24"/>
      <c r="AM4787" s="24"/>
      <c r="AN4787" s="24"/>
      <c r="AO4787" s="24"/>
      <c r="AP4787" s="165" t="str">
        <f t="shared" si="1480"/>
        <v/>
      </c>
      <c r="AQ4787" s="203" t="str">
        <f t="shared" si="1481"/>
        <v/>
      </c>
      <c r="AR4787" s="206">
        <f t="shared" si="1482"/>
        <v>0</v>
      </c>
      <c r="AS4787" s="22" t="str">
        <f t="shared" si="1483"/>
        <v/>
      </c>
      <c r="AT4787" s="24" t="str">
        <f t="shared" si="1484"/>
        <v/>
      </c>
      <c r="AU4787" s="22" t="s">
        <v>3240</v>
      </c>
    </row>
    <row r="4788" spans="1:47">
      <c r="A4788" s="246" t="str">
        <f t="shared" si="1472"/>
        <v/>
      </c>
      <c r="B4788" s="23"/>
      <c r="C4788" s="23"/>
      <c r="D4788" s="202" t="str">
        <f t="shared" si="1473"/>
        <v/>
      </c>
      <c r="E4788" s="33" t="str">
        <f t="shared" si="1467"/>
        <v/>
      </c>
      <c r="F4788" s="23"/>
      <c r="G4788" s="23"/>
      <c r="H4788" s="29"/>
      <c r="I4788" s="204" t="str">
        <f t="shared" si="1470"/>
        <v/>
      </c>
      <c r="J4788" s="188"/>
      <c r="K4788" s="29"/>
      <c r="L4788" s="24"/>
      <c r="M4788" s="22"/>
      <c r="N4788" s="22"/>
      <c r="O4788" s="22"/>
      <c r="P4788" s="202" t="str">
        <f t="shared" si="1471"/>
        <v/>
      </c>
      <c r="Q4788" s="22"/>
      <c r="R4788" s="22"/>
      <c r="S4788" s="22"/>
      <c r="T4788" s="22"/>
      <c r="U4788" s="22"/>
      <c r="V4788" s="22"/>
      <c r="W4788" s="22"/>
      <c r="X4788" s="104"/>
      <c r="Y4788" s="195" t="str">
        <f t="shared" si="1468"/>
        <v/>
      </c>
      <c r="Z4788" s="196" t="str">
        <f t="shared" si="1469"/>
        <v/>
      </c>
      <c r="AA4788" s="22"/>
      <c r="AB4788" s="197" t="str">
        <f t="shared" si="1474"/>
        <v/>
      </c>
      <c r="AC4788" s="198" t="str">
        <f t="shared" si="1475"/>
        <v/>
      </c>
      <c r="AD4788" s="162"/>
      <c r="AE4788" s="199" t="str">
        <f t="shared" si="1476"/>
        <v/>
      </c>
      <c r="AF4788" s="199" t="str">
        <f>IF(AND(COUNTIFS($J$18:J4788,J4788)=1,AE4788=1),1,"")</f>
        <v/>
      </c>
      <c r="AG4788" s="199" t="str">
        <f>IF(C4788="","",IF(AND(COUNTIFS($J$18:J4788,J4788)=1,C4788&lt;&gt;""),1,""))</f>
        <v/>
      </c>
      <c r="AH4788" s="199" t="str">
        <f>IF(G4788="","",IF(AND(COUNTIFS($J$18:J4788,J4788)=1,G4788&lt;&gt;""),1,""))</f>
        <v/>
      </c>
      <c r="AI4788" s="200">
        <f t="shared" si="1477"/>
        <v>0</v>
      </c>
      <c r="AJ4788" s="200">
        <f t="shared" si="1478"/>
        <v>0</v>
      </c>
      <c r="AK4788" s="201" t="str">
        <f t="shared" si="1479"/>
        <v/>
      </c>
      <c r="AL4788" s="24"/>
      <c r="AM4788" s="24"/>
      <c r="AN4788" s="24"/>
      <c r="AO4788" s="24"/>
      <c r="AP4788" s="165" t="str">
        <f t="shared" si="1480"/>
        <v/>
      </c>
      <c r="AQ4788" s="203" t="str">
        <f t="shared" si="1481"/>
        <v/>
      </c>
      <c r="AR4788" s="206">
        <f t="shared" si="1482"/>
        <v>0</v>
      </c>
      <c r="AS4788" s="22" t="str">
        <f t="shared" si="1483"/>
        <v/>
      </c>
      <c r="AT4788" s="24" t="str">
        <f t="shared" si="1484"/>
        <v/>
      </c>
      <c r="AU4788" s="22" t="s">
        <v>3240</v>
      </c>
    </row>
    <row r="4789" spans="1:47">
      <c r="A4789" s="246" t="str">
        <f t="shared" si="1472"/>
        <v/>
      </c>
      <c r="B4789" s="23"/>
      <c r="C4789" s="23"/>
      <c r="D4789" s="202" t="str">
        <f t="shared" si="1473"/>
        <v/>
      </c>
      <c r="E4789" s="33" t="str">
        <f t="shared" si="1467"/>
        <v/>
      </c>
      <c r="F4789" s="23"/>
      <c r="G4789" s="23"/>
      <c r="H4789" s="29"/>
      <c r="I4789" s="204" t="str">
        <f t="shared" si="1470"/>
        <v/>
      </c>
      <c r="J4789" s="188"/>
      <c r="K4789" s="29"/>
      <c r="L4789" s="24"/>
      <c r="M4789" s="22"/>
      <c r="N4789" s="22"/>
      <c r="O4789" s="22"/>
      <c r="P4789" s="202" t="str">
        <f t="shared" si="1471"/>
        <v/>
      </c>
      <c r="Q4789" s="22"/>
      <c r="R4789" s="22"/>
      <c r="S4789" s="22"/>
      <c r="T4789" s="22"/>
      <c r="U4789" s="22"/>
      <c r="V4789" s="22"/>
      <c r="W4789" s="22"/>
      <c r="X4789" s="104"/>
      <c r="Y4789" s="195" t="str">
        <f t="shared" si="1468"/>
        <v/>
      </c>
      <c r="Z4789" s="196" t="str">
        <f t="shared" si="1469"/>
        <v/>
      </c>
      <c r="AA4789" s="22"/>
      <c r="AB4789" s="197" t="str">
        <f t="shared" si="1474"/>
        <v/>
      </c>
      <c r="AC4789" s="198" t="str">
        <f t="shared" si="1475"/>
        <v/>
      </c>
      <c r="AD4789" s="162"/>
      <c r="AE4789" s="199" t="str">
        <f t="shared" si="1476"/>
        <v/>
      </c>
      <c r="AF4789" s="199" t="str">
        <f>IF(AND(COUNTIFS($J$18:J4789,J4789)=1,AE4789=1),1,"")</f>
        <v/>
      </c>
      <c r="AG4789" s="199" t="str">
        <f>IF(C4789="","",IF(AND(COUNTIFS($J$18:J4789,J4789)=1,C4789&lt;&gt;""),1,""))</f>
        <v/>
      </c>
      <c r="AH4789" s="199" t="str">
        <f>IF(G4789="","",IF(AND(COUNTIFS($J$18:J4789,J4789)=1,G4789&lt;&gt;""),1,""))</f>
        <v/>
      </c>
      <c r="AI4789" s="200">
        <f t="shared" si="1477"/>
        <v>0</v>
      </c>
      <c r="AJ4789" s="200">
        <f t="shared" si="1478"/>
        <v>0</v>
      </c>
      <c r="AK4789" s="201" t="str">
        <f t="shared" si="1479"/>
        <v/>
      </c>
      <c r="AL4789" s="24"/>
      <c r="AM4789" s="24"/>
      <c r="AN4789" s="24"/>
      <c r="AO4789" s="24"/>
      <c r="AP4789" s="165" t="str">
        <f t="shared" si="1480"/>
        <v/>
      </c>
      <c r="AQ4789" s="203" t="str">
        <f t="shared" si="1481"/>
        <v/>
      </c>
      <c r="AR4789" s="206">
        <f t="shared" si="1482"/>
        <v>0</v>
      </c>
      <c r="AS4789" s="22" t="str">
        <f t="shared" si="1483"/>
        <v/>
      </c>
      <c r="AT4789" s="24" t="str">
        <f t="shared" si="1484"/>
        <v/>
      </c>
      <c r="AU4789" s="22" t="s">
        <v>3240</v>
      </c>
    </row>
    <row r="4790" spans="1:47">
      <c r="A4790" s="246" t="str">
        <f t="shared" si="1472"/>
        <v/>
      </c>
      <c r="B4790" s="23"/>
      <c r="C4790" s="23"/>
      <c r="D4790" s="202" t="str">
        <f t="shared" si="1473"/>
        <v/>
      </c>
      <c r="E4790" s="33" t="str">
        <f t="shared" si="1467"/>
        <v/>
      </c>
      <c r="F4790" s="23"/>
      <c r="G4790" s="23"/>
      <c r="H4790" s="29"/>
      <c r="I4790" s="204" t="str">
        <f t="shared" si="1470"/>
        <v/>
      </c>
      <c r="J4790" s="188"/>
      <c r="K4790" s="29"/>
      <c r="L4790" s="24"/>
      <c r="M4790" s="22"/>
      <c r="N4790" s="22"/>
      <c r="O4790" s="22"/>
      <c r="P4790" s="202" t="str">
        <f t="shared" si="1471"/>
        <v/>
      </c>
      <c r="Q4790" s="22"/>
      <c r="R4790" s="22"/>
      <c r="S4790" s="22"/>
      <c r="T4790" s="22"/>
      <c r="U4790" s="22"/>
      <c r="V4790" s="22"/>
      <c r="W4790" s="22"/>
      <c r="X4790" s="104"/>
      <c r="Y4790" s="195" t="str">
        <f t="shared" si="1468"/>
        <v/>
      </c>
      <c r="Z4790" s="196" t="str">
        <f t="shared" si="1469"/>
        <v/>
      </c>
      <c r="AA4790" s="22"/>
      <c r="AB4790" s="197" t="str">
        <f t="shared" si="1474"/>
        <v/>
      </c>
      <c r="AC4790" s="198" t="str">
        <f t="shared" si="1475"/>
        <v/>
      </c>
      <c r="AD4790" s="162"/>
      <c r="AE4790" s="199" t="str">
        <f t="shared" si="1476"/>
        <v/>
      </c>
      <c r="AF4790" s="199" t="str">
        <f>IF(AND(COUNTIFS($J$18:J4790,J4790)=1,AE4790=1),1,"")</f>
        <v/>
      </c>
      <c r="AG4790" s="199" t="str">
        <f>IF(C4790="","",IF(AND(COUNTIFS($J$18:J4790,J4790)=1,C4790&lt;&gt;""),1,""))</f>
        <v/>
      </c>
      <c r="AH4790" s="199" t="str">
        <f>IF(G4790="","",IF(AND(COUNTIFS($J$18:J4790,J4790)=1,G4790&lt;&gt;""),1,""))</f>
        <v/>
      </c>
      <c r="AI4790" s="200">
        <f t="shared" si="1477"/>
        <v>0</v>
      </c>
      <c r="AJ4790" s="200">
        <f t="shared" si="1478"/>
        <v>0</v>
      </c>
      <c r="AK4790" s="201" t="str">
        <f t="shared" si="1479"/>
        <v/>
      </c>
      <c r="AL4790" s="24"/>
      <c r="AM4790" s="24"/>
      <c r="AN4790" s="24"/>
      <c r="AO4790" s="24"/>
      <c r="AP4790" s="165" t="str">
        <f t="shared" si="1480"/>
        <v/>
      </c>
      <c r="AQ4790" s="203" t="str">
        <f t="shared" si="1481"/>
        <v/>
      </c>
      <c r="AR4790" s="206">
        <f t="shared" si="1482"/>
        <v>0</v>
      </c>
      <c r="AS4790" s="22" t="str">
        <f t="shared" si="1483"/>
        <v/>
      </c>
      <c r="AT4790" s="24" t="str">
        <f t="shared" si="1484"/>
        <v/>
      </c>
      <c r="AU4790" s="22" t="s">
        <v>3240</v>
      </c>
    </row>
    <row r="4791" spans="1:47">
      <c r="A4791" s="246" t="str">
        <f t="shared" si="1472"/>
        <v/>
      </c>
      <c r="B4791" s="23"/>
      <c r="C4791" s="23"/>
      <c r="D4791" s="202" t="str">
        <f t="shared" si="1473"/>
        <v/>
      </c>
      <c r="E4791" s="33" t="str">
        <f t="shared" si="1467"/>
        <v/>
      </c>
      <c r="F4791" s="23"/>
      <c r="G4791" s="23"/>
      <c r="H4791" s="29"/>
      <c r="I4791" s="204" t="str">
        <f t="shared" si="1470"/>
        <v/>
      </c>
      <c r="J4791" s="188"/>
      <c r="K4791" s="29"/>
      <c r="L4791" s="24"/>
      <c r="M4791" s="22"/>
      <c r="N4791" s="22"/>
      <c r="O4791" s="22"/>
      <c r="P4791" s="202" t="str">
        <f t="shared" si="1471"/>
        <v/>
      </c>
      <c r="Q4791" s="22"/>
      <c r="R4791" s="22"/>
      <c r="S4791" s="22"/>
      <c r="T4791" s="22"/>
      <c r="U4791" s="22"/>
      <c r="V4791" s="22"/>
      <c r="W4791" s="22"/>
      <c r="X4791" s="104"/>
      <c r="Y4791" s="195" t="str">
        <f t="shared" si="1468"/>
        <v/>
      </c>
      <c r="Z4791" s="196" t="str">
        <f t="shared" si="1469"/>
        <v/>
      </c>
      <c r="AA4791" s="22"/>
      <c r="AB4791" s="197" t="str">
        <f t="shared" si="1474"/>
        <v/>
      </c>
      <c r="AC4791" s="198" t="str">
        <f t="shared" si="1475"/>
        <v/>
      </c>
      <c r="AD4791" s="162"/>
      <c r="AE4791" s="199" t="str">
        <f t="shared" si="1476"/>
        <v/>
      </c>
      <c r="AF4791" s="199" t="str">
        <f>IF(AND(COUNTIFS($J$18:J4791,J4791)=1,AE4791=1),1,"")</f>
        <v/>
      </c>
      <c r="AG4791" s="199" t="str">
        <f>IF(C4791="","",IF(AND(COUNTIFS($J$18:J4791,J4791)=1,C4791&lt;&gt;""),1,""))</f>
        <v/>
      </c>
      <c r="AH4791" s="199" t="str">
        <f>IF(G4791="","",IF(AND(COUNTIFS($J$18:J4791,J4791)=1,G4791&lt;&gt;""),1,""))</f>
        <v/>
      </c>
      <c r="AI4791" s="200">
        <f t="shared" si="1477"/>
        <v>0</v>
      </c>
      <c r="AJ4791" s="200">
        <f t="shared" si="1478"/>
        <v>0</v>
      </c>
      <c r="AK4791" s="201" t="str">
        <f t="shared" si="1479"/>
        <v/>
      </c>
      <c r="AL4791" s="24"/>
      <c r="AM4791" s="24"/>
      <c r="AN4791" s="24"/>
      <c r="AO4791" s="24"/>
      <c r="AP4791" s="165" t="str">
        <f t="shared" si="1480"/>
        <v/>
      </c>
      <c r="AQ4791" s="203" t="str">
        <f t="shared" si="1481"/>
        <v/>
      </c>
      <c r="AR4791" s="206">
        <f t="shared" si="1482"/>
        <v>0</v>
      </c>
      <c r="AS4791" s="22" t="str">
        <f t="shared" si="1483"/>
        <v/>
      </c>
      <c r="AT4791" s="24" t="str">
        <f t="shared" si="1484"/>
        <v/>
      </c>
      <c r="AU4791" s="22" t="s">
        <v>3240</v>
      </c>
    </row>
    <row r="4792" spans="1:47">
      <c r="A4792" s="246" t="str">
        <f t="shared" si="1472"/>
        <v/>
      </c>
      <c r="B4792" s="23"/>
      <c r="C4792" s="23"/>
      <c r="D4792" s="202" t="str">
        <f t="shared" si="1473"/>
        <v/>
      </c>
      <c r="E4792" s="33" t="str">
        <f t="shared" si="1467"/>
        <v/>
      </c>
      <c r="F4792" s="23"/>
      <c r="G4792" s="23"/>
      <c r="H4792" s="29"/>
      <c r="I4792" s="204" t="str">
        <f t="shared" si="1470"/>
        <v/>
      </c>
      <c r="J4792" s="188"/>
      <c r="K4792" s="29"/>
      <c r="L4792" s="24"/>
      <c r="M4792" s="22"/>
      <c r="N4792" s="22"/>
      <c r="O4792" s="22"/>
      <c r="P4792" s="202" t="str">
        <f t="shared" si="1471"/>
        <v/>
      </c>
      <c r="Q4792" s="22"/>
      <c r="R4792" s="22"/>
      <c r="S4792" s="22"/>
      <c r="T4792" s="22"/>
      <c r="U4792" s="22"/>
      <c r="V4792" s="22"/>
      <c r="W4792" s="22"/>
      <c r="X4792" s="104"/>
      <c r="Y4792" s="195" t="str">
        <f t="shared" si="1468"/>
        <v/>
      </c>
      <c r="Z4792" s="196" t="str">
        <f t="shared" si="1469"/>
        <v/>
      </c>
      <c r="AA4792" s="22"/>
      <c r="AB4792" s="197" t="str">
        <f t="shared" si="1474"/>
        <v/>
      </c>
      <c r="AC4792" s="198" t="str">
        <f t="shared" si="1475"/>
        <v/>
      </c>
      <c r="AD4792" s="162"/>
      <c r="AE4792" s="199" t="str">
        <f t="shared" si="1476"/>
        <v/>
      </c>
      <c r="AF4792" s="199" t="str">
        <f>IF(AND(COUNTIFS($J$18:J4792,J4792)=1,AE4792=1),1,"")</f>
        <v/>
      </c>
      <c r="AG4792" s="199" t="str">
        <f>IF(C4792="","",IF(AND(COUNTIFS($J$18:J4792,J4792)=1,C4792&lt;&gt;""),1,""))</f>
        <v/>
      </c>
      <c r="AH4792" s="199" t="str">
        <f>IF(G4792="","",IF(AND(COUNTIFS($J$18:J4792,J4792)=1,G4792&lt;&gt;""),1,""))</f>
        <v/>
      </c>
      <c r="AI4792" s="200">
        <f t="shared" si="1477"/>
        <v>0</v>
      </c>
      <c r="AJ4792" s="200">
        <f t="shared" si="1478"/>
        <v>0</v>
      </c>
      <c r="AK4792" s="201" t="str">
        <f t="shared" si="1479"/>
        <v/>
      </c>
      <c r="AL4792" s="24"/>
      <c r="AM4792" s="24"/>
      <c r="AN4792" s="24"/>
      <c r="AO4792" s="24"/>
      <c r="AP4792" s="165" t="str">
        <f t="shared" si="1480"/>
        <v/>
      </c>
      <c r="AQ4792" s="203" t="str">
        <f t="shared" si="1481"/>
        <v/>
      </c>
      <c r="AR4792" s="206">
        <f t="shared" si="1482"/>
        <v>0</v>
      </c>
      <c r="AS4792" s="22" t="str">
        <f t="shared" si="1483"/>
        <v/>
      </c>
      <c r="AT4792" s="24" t="str">
        <f t="shared" si="1484"/>
        <v/>
      </c>
      <c r="AU4792" s="22" t="s">
        <v>3240</v>
      </c>
    </row>
    <row r="4793" spans="1:47">
      <c r="A4793" s="246" t="str">
        <f t="shared" si="1472"/>
        <v/>
      </c>
      <c r="B4793" s="23"/>
      <c r="C4793" s="23"/>
      <c r="D4793" s="202" t="str">
        <f t="shared" si="1473"/>
        <v/>
      </c>
      <c r="E4793" s="33" t="str">
        <f t="shared" si="1467"/>
        <v/>
      </c>
      <c r="F4793" s="23"/>
      <c r="G4793" s="23"/>
      <c r="H4793" s="29"/>
      <c r="I4793" s="204" t="str">
        <f t="shared" si="1470"/>
        <v/>
      </c>
      <c r="J4793" s="188"/>
      <c r="K4793" s="29"/>
      <c r="L4793" s="24"/>
      <c r="M4793" s="22"/>
      <c r="N4793" s="22"/>
      <c r="O4793" s="22"/>
      <c r="P4793" s="202" t="str">
        <f t="shared" si="1471"/>
        <v/>
      </c>
      <c r="Q4793" s="22"/>
      <c r="R4793" s="22"/>
      <c r="S4793" s="22"/>
      <c r="T4793" s="22"/>
      <c r="U4793" s="22"/>
      <c r="V4793" s="22"/>
      <c r="W4793" s="22"/>
      <c r="X4793" s="104"/>
      <c r="Y4793" s="195" t="str">
        <f t="shared" si="1468"/>
        <v/>
      </c>
      <c r="Z4793" s="196" t="str">
        <f t="shared" si="1469"/>
        <v/>
      </c>
      <c r="AA4793" s="22"/>
      <c r="AB4793" s="197" t="str">
        <f t="shared" si="1474"/>
        <v/>
      </c>
      <c r="AC4793" s="198" t="str">
        <f t="shared" si="1475"/>
        <v/>
      </c>
      <c r="AD4793" s="162"/>
      <c r="AE4793" s="199" t="str">
        <f t="shared" si="1476"/>
        <v/>
      </c>
      <c r="AF4793" s="199" t="str">
        <f>IF(AND(COUNTIFS($J$18:J4793,J4793)=1,AE4793=1),1,"")</f>
        <v/>
      </c>
      <c r="AG4793" s="199" t="str">
        <f>IF(C4793="","",IF(AND(COUNTIFS($J$18:J4793,J4793)=1,C4793&lt;&gt;""),1,""))</f>
        <v/>
      </c>
      <c r="AH4793" s="199" t="str">
        <f>IF(G4793="","",IF(AND(COUNTIFS($J$18:J4793,J4793)=1,G4793&lt;&gt;""),1,""))</f>
        <v/>
      </c>
      <c r="AI4793" s="200">
        <f t="shared" si="1477"/>
        <v>0</v>
      </c>
      <c r="AJ4793" s="200">
        <f t="shared" si="1478"/>
        <v>0</v>
      </c>
      <c r="AK4793" s="201" t="str">
        <f t="shared" si="1479"/>
        <v/>
      </c>
      <c r="AL4793" s="24"/>
      <c r="AM4793" s="24"/>
      <c r="AN4793" s="24"/>
      <c r="AO4793" s="24"/>
      <c r="AP4793" s="165" t="str">
        <f t="shared" si="1480"/>
        <v/>
      </c>
      <c r="AQ4793" s="203" t="str">
        <f t="shared" si="1481"/>
        <v/>
      </c>
      <c r="AR4793" s="206">
        <f t="shared" si="1482"/>
        <v>0</v>
      </c>
      <c r="AS4793" s="22" t="str">
        <f t="shared" si="1483"/>
        <v/>
      </c>
      <c r="AT4793" s="24" t="str">
        <f t="shared" si="1484"/>
        <v/>
      </c>
      <c r="AU4793" s="22" t="s">
        <v>3240</v>
      </c>
    </row>
    <row r="4794" spans="1:47">
      <c r="A4794" s="246" t="str">
        <f t="shared" si="1472"/>
        <v/>
      </c>
      <c r="B4794" s="23"/>
      <c r="C4794" s="23"/>
      <c r="D4794" s="202" t="str">
        <f t="shared" si="1473"/>
        <v/>
      </c>
      <c r="E4794" s="33" t="str">
        <f t="shared" si="1467"/>
        <v/>
      </c>
      <c r="F4794" s="23"/>
      <c r="G4794" s="23"/>
      <c r="H4794" s="29"/>
      <c r="I4794" s="204" t="str">
        <f t="shared" si="1470"/>
        <v/>
      </c>
      <c r="J4794" s="188"/>
      <c r="K4794" s="29"/>
      <c r="L4794" s="24"/>
      <c r="M4794" s="22"/>
      <c r="N4794" s="22"/>
      <c r="O4794" s="22"/>
      <c r="P4794" s="202" t="str">
        <f t="shared" si="1471"/>
        <v/>
      </c>
      <c r="Q4794" s="22"/>
      <c r="R4794" s="22"/>
      <c r="S4794" s="22"/>
      <c r="T4794" s="22"/>
      <c r="U4794" s="22"/>
      <c r="V4794" s="22"/>
      <c r="W4794" s="22"/>
      <c r="X4794" s="104"/>
      <c r="Y4794" s="195" t="str">
        <f t="shared" si="1468"/>
        <v/>
      </c>
      <c r="Z4794" s="196" t="str">
        <f t="shared" si="1469"/>
        <v/>
      </c>
      <c r="AA4794" s="22"/>
      <c r="AB4794" s="197" t="str">
        <f t="shared" si="1474"/>
        <v/>
      </c>
      <c r="AC4794" s="198" t="str">
        <f t="shared" si="1475"/>
        <v/>
      </c>
      <c r="AD4794" s="162"/>
      <c r="AE4794" s="199" t="str">
        <f t="shared" si="1476"/>
        <v/>
      </c>
      <c r="AF4794" s="199" t="str">
        <f>IF(AND(COUNTIFS($J$18:J4794,J4794)=1,AE4794=1),1,"")</f>
        <v/>
      </c>
      <c r="AG4794" s="199" t="str">
        <f>IF(C4794="","",IF(AND(COUNTIFS($J$18:J4794,J4794)=1,C4794&lt;&gt;""),1,""))</f>
        <v/>
      </c>
      <c r="AH4794" s="199" t="str">
        <f>IF(G4794="","",IF(AND(COUNTIFS($J$18:J4794,J4794)=1,G4794&lt;&gt;""),1,""))</f>
        <v/>
      </c>
      <c r="AI4794" s="200">
        <f t="shared" si="1477"/>
        <v>0</v>
      </c>
      <c r="AJ4794" s="200">
        <f t="shared" si="1478"/>
        <v>0</v>
      </c>
      <c r="AK4794" s="201" t="str">
        <f t="shared" si="1479"/>
        <v/>
      </c>
      <c r="AL4794" s="24"/>
      <c r="AM4794" s="24"/>
      <c r="AN4794" s="24"/>
      <c r="AO4794" s="24"/>
      <c r="AP4794" s="165" t="str">
        <f t="shared" si="1480"/>
        <v/>
      </c>
      <c r="AQ4794" s="203" t="str">
        <f t="shared" si="1481"/>
        <v/>
      </c>
      <c r="AR4794" s="206">
        <f t="shared" si="1482"/>
        <v>0</v>
      </c>
      <c r="AS4794" s="22" t="str">
        <f t="shared" si="1483"/>
        <v/>
      </c>
      <c r="AT4794" s="24" t="str">
        <f t="shared" si="1484"/>
        <v/>
      </c>
      <c r="AU4794" s="22" t="s">
        <v>3240</v>
      </c>
    </row>
    <row r="4795" spans="1:47">
      <c r="A4795" s="246" t="str">
        <f t="shared" si="1472"/>
        <v/>
      </c>
      <c r="B4795" s="23"/>
      <c r="C4795" s="23"/>
      <c r="D4795" s="202" t="str">
        <f t="shared" si="1473"/>
        <v/>
      </c>
      <c r="E4795" s="33" t="str">
        <f t="shared" si="1467"/>
        <v/>
      </c>
      <c r="F4795" s="23"/>
      <c r="G4795" s="23"/>
      <c r="H4795" s="29"/>
      <c r="I4795" s="204" t="str">
        <f t="shared" si="1470"/>
        <v/>
      </c>
      <c r="J4795" s="188"/>
      <c r="K4795" s="29"/>
      <c r="L4795" s="24"/>
      <c r="M4795" s="22"/>
      <c r="N4795" s="22"/>
      <c r="O4795" s="22"/>
      <c r="P4795" s="202" t="str">
        <f t="shared" si="1471"/>
        <v/>
      </c>
      <c r="Q4795" s="22"/>
      <c r="R4795" s="22"/>
      <c r="S4795" s="22"/>
      <c r="T4795" s="22"/>
      <c r="U4795" s="22"/>
      <c r="V4795" s="22"/>
      <c r="W4795" s="22"/>
      <c r="X4795" s="104"/>
      <c r="Y4795" s="195" t="str">
        <f t="shared" si="1468"/>
        <v/>
      </c>
      <c r="Z4795" s="196" t="str">
        <f t="shared" si="1469"/>
        <v/>
      </c>
      <c r="AA4795" s="22"/>
      <c r="AB4795" s="197" t="str">
        <f t="shared" si="1474"/>
        <v/>
      </c>
      <c r="AC4795" s="198" t="str">
        <f t="shared" si="1475"/>
        <v/>
      </c>
      <c r="AD4795" s="162"/>
      <c r="AE4795" s="199" t="str">
        <f t="shared" si="1476"/>
        <v/>
      </c>
      <c r="AF4795" s="199" t="str">
        <f>IF(AND(COUNTIFS($J$18:J4795,J4795)=1,AE4795=1),1,"")</f>
        <v/>
      </c>
      <c r="AG4795" s="199" t="str">
        <f>IF(C4795="","",IF(AND(COUNTIFS($J$18:J4795,J4795)=1,C4795&lt;&gt;""),1,""))</f>
        <v/>
      </c>
      <c r="AH4795" s="199" t="str">
        <f>IF(G4795="","",IF(AND(COUNTIFS($J$18:J4795,J4795)=1,G4795&lt;&gt;""),1,""))</f>
        <v/>
      </c>
      <c r="AI4795" s="200">
        <f t="shared" si="1477"/>
        <v>0</v>
      </c>
      <c r="AJ4795" s="200">
        <f t="shared" si="1478"/>
        <v>0</v>
      </c>
      <c r="AK4795" s="201" t="str">
        <f t="shared" si="1479"/>
        <v/>
      </c>
      <c r="AL4795" s="24"/>
      <c r="AM4795" s="24"/>
      <c r="AN4795" s="24"/>
      <c r="AO4795" s="24"/>
      <c r="AP4795" s="165" t="str">
        <f t="shared" si="1480"/>
        <v/>
      </c>
      <c r="AQ4795" s="203" t="str">
        <f t="shared" si="1481"/>
        <v/>
      </c>
      <c r="AR4795" s="206">
        <f t="shared" si="1482"/>
        <v>0</v>
      </c>
      <c r="AS4795" s="22" t="str">
        <f t="shared" si="1483"/>
        <v/>
      </c>
      <c r="AT4795" s="24" t="str">
        <f t="shared" si="1484"/>
        <v/>
      </c>
      <c r="AU4795" s="22" t="s">
        <v>3240</v>
      </c>
    </row>
    <row r="4796" spans="1:47">
      <c r="A4796" s="246" t="str">
        <f t="shared" si="1472"/>
        <v/>
      </c>
      <c r="B4796" s="23"/>
      <c r="C4796" s="23"/>
      <c r="D4796" s="202" t="str">
        <f t="shared" si="1473"/>
        <v/>
      </c>
      <c r="E4796" s="33" t="str">
        <f t="shared" si="1467"/>
        <v/>
      </c>
      <c r="F4796" s="23"/>
      <c r="G4796" s="23"/>
      <c r="H4796" s="29"/>
      <c r="I4796" s="204" t="str">
        <f t="shared" si="1470"/>
        <v/>
      </c>
      <c r="J4796" s="188"/>
      <c r="K4796" s="29"/>
      <c r="L4796" s="24"/>
      <c r="M4796" s="22"/>
      <c r="N4796" s="22"/>
      <c r="O4796" s="22"/>
      <c r="P4796" s="202" t="str">
        <f t="shared" si="1471"/>
        <v/>
      </c>
      <c r="Q4796" s="22"/>
      <c r="R4796" s="22"/>
      <c r="S4796" s="22"/>
      <c r="T4796" s="22"/>
      <c r="U4796" s="22"/>
      <c r="V4796" s="22"/>
      <c r="W4796" s="22"/>
      <c r="X4796" s="104"/>
      <c r="Y4796" s="195" t="str">
        <f t="shared" si="1468"/>
        <v/>
      </c>
      <c r="Z4796" s="196" t="str">
        <f t="shared" si="1469"/>
        <v/>
      </c>
      <c r="AA4796" s="22"/>
      <c r="AB4796" s="197" t="str">
        <f t="shared" si="1474"/>
        <v/>
      </c>
      <c r="AC4796" s="198" t="str">
        <f t="shared" si="1475"/>
        <v/>
      </c>
      <c r="AD4796" s="162"/>
      <c r="AE4796" s="199" t="str">
        <f t="shared" si="1476"/>
        <v/>
      </c>
      <c r="AF4796" s="199" t="str">
        <f>IF(AND(COUNTIFS($J$18:J4796,J4796)=1,AE4796=1),1,"")</f>
        <v/>
      </c>
      <c r="AG4796" s="199" t="str">
        <f>IF(C4796="","",IF(AND(COUNTIFS($J$18:J4796,J4796)=1,C4796&lt;&gt;""),1,""))</f>
        <v/>
      </c>
      <c r="AH4796" s="199" t="str">
        <f>IF(G4796="","",IF(AND(COUNTIFS($J$18:J4796,J4796)=1,G4796&lt;&gt;""),1,""))</f>
        <v/>
      </c>
      <c r="AI4796" s="200">
        <f t="shared" si="1477"/>
        <v>0</v>
      </c>
      <c r="AJ4796" s="200">
        <f t="shared" si="1478"/>
        <v>0</v>
      </c>
      <c r="AK4796" s="201" t="str">
        <f t="shared" si="1479"/>
        <v/>
      </c>
      <c r="AL4796" s="24"/>
      <c r="AM4796" s="24"/>
      <c r="AN4796" s="24"/>
      <c r="AO4796" s="24"/>
      <c r="AP4796" s="165" t="str">
        <f t="shared" si="1480"/>
        <v/>
      </c>
      <c r="AQ4796" s="203" t="str">
        <f t="shared" si="1481"/>
        <v/>
      </c>
      <c r="AR4796" s="206">
        <f t="shared" si="1482"/>
        <v>0</v>
      </c>
      <c r="AS4796" s="22" t="str">
        <f t="shared" si="1483"/>
        <v/>
      </c>
      <c r="AT4796" s="24" t="str">
        <f t="shared" si="1484"/>
        <v/>
      </c>
      <c r="AU4796" s="22" t="s">
        <v>3240</v>
      </c>
    </row>
    <row r="4797" spans="1:47">
      <c r="A4797" s="246" t="str">
        <f t="shared" si="1472"/>
        <v/>
      </c>
      <c r="B4797" s="23"/>
      <c r="C4797" s="23"/>
      <c r="D4797" s="202" t="str">
        <f t="shared" si="1473"/>
        <v/>
      </c>
      <c r="E4797" s="33" t="str">
        <f t="shared" si="1467"/>
        <v/>
      </c>
      <c r="F4797" s="23"/>
      <c r="G4797" s="23"/>
      <c r="H4797" s="29"/>
      <c r="I4797" s="204" t="str">
        <f t="shared" si="1470"/>
        <v/>
      </c>
      <c r="J4797" s="188"/>
      <c r="K4797" s="29"/>
      <c r="L4797" s="24"/>
      <c r="M4797" s="22"/>
      <c r="N4797" s="22"/>
      <c r="O4797" s="22"/>
      <c r="P4797" s="202" t="str">
        <f t="shared" si="1471"/>
        <v/>
      </c>
      <c r="Q4797" s="22"/>
      <c r="R4797" s="22"/>
      <c r="S4797" s="22"/>
      <c r="T4797" s="22"/>
      <c r="U4797" s="22"/>
      <c r="V4797" s="22"/>
      <c r="W4797" s="22"/>
      <c r="X4797" s="104"/>
      <c r="Y4797" s="195" t="str">
        <f t="shared" si="1468"/>
        <v/>
      </c>
      <c r="Z4797" s="196" t="str">
        <f t="shared" si="1469"/>
        <v/>
      </c>
      <c r="AA4797" s="22"/>
      <c r="AB4797" s="197" t="str">
        <f t="shared" si="1474"/>
        <v/>
      </c>
      <c r="AC4797" s="198" t="str">
        <f t="shared" si="1475"/>
        <v/>
      </c>
      <c r="AD4797" s="162"/>
      <c r="AE4797" s="199" t="str">
        <f t="shared" si="1476"/>
        <v/>
      </c>
      <c r="AF4797" s="199" t="str">
        <f>IF(AND(COUNTIFS($J$18:J4797,J4797)=1,AE4797=1),1,"")</f>
        <v/>
      </c>
      <c r="AG4797" s="199" t="str">
        <f>IF(C4797="","",IF(AND(COUNTIFS($J$18:J4797,J4797)=1,C4797&lt;&gt;""),1,""))</f>
        <v/>
      </c>
      <c r="AH4797" s="199" t="str">
        <f>IF(G4797="","",IF(AND(COUNTIFS($J$18:J4797,J4797)=1,G4797&lt;&gt;""),1,""))</f>
        <v/>
      </c>
      <c r="AI4797" s="200">
        <f t="shared" si="1477"/>
        <v>0</v>
      </c>
      <c r="AJ4797" s="200">
        <f t="shared" si="1478"/>
        <v>0</v>
      </c>
      <c r="AK4797" s="201" t="str">
        <f t="shared" si="1479"/>
        <v/>
      </c>
      <c r="AL4797" s="24"/>
      <c r="AM4797" s="24"/>
      <c r="AN4797" s="24"/>
      <c r="AO4797" s="24"/>
      <c r="AP4797" s="165" t="str">
        <f t="shared" si="1480"/>
        <v/>
      </c>
      <c r="AQ4797" s="203" t="str">
        <f t="shared" si="1481"/>
        <v/>
      </c>
      <c r="AR4797" s="206">
        <f t="shared" si="1482"/>
        <v>0</v>
      </c>
      <c r="AS4797" s="22" t="str">
        <f t="shared" si="1483"/>
        <v/>
      </c>
      <c r="AT4797" s="24" t="str">
        <f t="shared" si="1484"/>
        <v/>
      </c>
      <c r="AU4797" s="22" t="s">
        <v>3240</v>
      </c>
    </row>
    <row r="4798" spans="1:47">
      <c r="A4798" s="246" t="str">
        <f t="shared" si="1472"/>
        <v/>
      </c>
      <c r="B4798" s="23"/>
      <c r="C4798" s="23"/>
      <c r="D4798" s="202" t="str">
        <f t="shared" si="1473"/>
        <v/>
      </c>
      <c r="E4798" s="33" t="str">
        <f t="shared" si="1467"/>
        <v/>
      </c>
      <c r="F4798" s="23"/>
      <c r="G4798" s="23"/>
      <c r="H4798" s="29"/>
      <c r="I4798" s="204" t="str">
        <f t="shared" si="1470"/>
        <v/>
      </c>
      <c r="J4798" s="188"/>
      <c r="K4798" s="29"/>
      <c r="L4798" s="24"/>
      <c r="M4798" s="22"/>
      <c r="N4798" s="22"/>
      <c r="O4798" s="22"/>
      <c r="P4798" s="202" t="str">
        <f t="shared" si="1471"/>
        <v/>
      </c>
      <c r="Q4798" s="22"/>
      <c r="R4798" s="22"/>
      <c r="S4798" s="22"/>
      <c r="T4798" s="22"/>
      <c r="U4798" s="22"/>
      <c r="V4798" s="22"/>
      <c r="W4798" s="22"/>
      <c r="X4798" s="104"/>
      <c r="Y4798" s="195" t="str">
        <f t="shared" si="1468"/>
        <v/>
      </c>
      <c r="Z4798" s="196" t="str">
        <f t="shared" si="1469"/>
        <v/>
      </c>
      <c r="AA4798" s="22"/>
      <c r="AB4798" s="197" t="str">
        <f t="shared" si="1474"/>
        <v/>
      </c>
      <c r="AC4798" s="198" t="str">
        <f t="shared" si="1475"/>
        <v/>
      </c>
      <c r="AD4798" s="162"/>
      <c r="AE4798" s="199" t="str">
        <f t="shared" si="1476"/>
        <v/>
      </c>
      <c r="AF4798" s="199" t="str">
        <f>IF(AND(COUNTIFS($J$18:J4798,J4798)=1,AE4798=1),1,"")</f>
        <v/>
      </c>
      <c r="AG4798" s="199" t="str">
        <f>IF(C4798="","",IF(AND(COUNTIFS($J$18:J4798,J4798)=1,C4798&lt;&gt;""),1,""))</f>
        <v/>
      </c>
      <c r="AH4798" s="199" t="str">
        <f>IF(G4798="","",IF(AND(COUNTIFS($J$18:J4798,J4798)=1,G4798&lt;&gt;""),1,""))</f>
        <v/>
      </c>
      <c r="AI4798" s="200">
        <f t="shared" si="1477"/>
        <v>0</v>
      </c>
      <c r="AJ4798" s="200">
        <f t="shared" si="1478"/>
        <v>0</v>
      </c>
      <c r="AK4798" s="201" t="str">
        <f t="shared" si="1479"/>
        <v/>
      </c>
      <c r="AL4798" s="24"/>
      <c r="AM4798" s="24"/>
      <c r="AN4798" s="24"/>
      <c r="AO4798" s="24"/>
      <c r="AP4798" s="165" t="str">
        <f t="shared" si="1480"/>
        <v/>
      </c>
      <c r="AQ4798" s="203" t="str">
        <f t="shared" si="1481"/>
        <v/>
      </c>
      <c r="AR4798" s="206">
        <f t="shared" si="1482"/>
        <v>0</v>
      </c>
      <c r="AS4798" s="22" t="str">
        <f t="shared" si="1483"/>
        <v/>
      </c>
      <c r="AT4798" s="24" t="str">
        <f t="shared" si="1484"/>
        <v/>
      </c>
      <c r="AU4798" s="22" t="s">
        <v>3240</v>
      </c>
    </row>
    <row r="4799" spans="1:47">
      <c r="A4799" s="246" t="str">
        <f t="shared" si="1472"/>
        <v/>
      </c>
      <c r="B4799" s="23"/>
      <c r="C4799" s="23"/>
      <c r="D4799" s="202" t="str">
        <f t="shared" si="1473"/>
        <v/>
      </c>
      <c r="E4799" s="33" t="str">
        <f t="shared" si="1467"/>
        <v/>
      </c>
      <c r="F4799" s="23"/>
      <c r="G4799" s="23"/>
      <c r="H4799" s="29"/>
      <c r="I4799" s="204" t="str">
        <f t="shared" si="1470"/>
        <v/>
      </c>
      <c r="J4799" s="188"/>
      <c r="K4799" s="29"/>
      <c r="L4799" s="24"/>
      <c r="M4799" s="22"/>
      <c r="N4799" s="22"/>
      <c r="O4799" s="22"/>
      <c r="P4799" s="202" t="str">
        <f t="shared" si="1471"/>
        <v/>
      </c>
      <c r="Q4799" s="22"/>
      <c r="R4799" s="22"/>
      <c r="S4799" s="22"/>
      <c r="T4799" s="22"/>
      <c r="U4799" s="22"/>
      <c r="V4799" s="22"/>
      <c r="W4799" s="22"/>
      <c r="X4799" s="104"/>
      <c r="Y4799" s="195" t="str">
        <f t="shared" si="1468"/>
        <v/>
      </c>
      <c r="Z4799" s="196" t="str">
        <f t="shared" si="1469"/>
        <v/>
      </c>
      <c r="AA4799" s="22"/>
      <c r="AB4799" s="197" t="str">
        <f t="shared" si="1474"/>
        <v/>
      </c>
      <c r="AC4799" s="198" t="str">
        <f t="shared" si="1475"/>
        <v/>
      </c>
      <c r="AD4799" s="162"/>
      <c r="AE4799" s="199" t="str">
        <f t="shared" si="1476"/>
        <v/>
      </c>
      <c r="AF4799" s="199" t="str">
        <f>IF(AND(COUNTIFS($J$18:J4799,J4799)=1,AE4799=1),1,"")</f>
        <v/>
      </c>
      <c r="AG4799" s="199" t="str">
        <f>IF(C4799="","",IF(AND(COUNTIFS($J$18:J4799,J4799)=1,C4799&lt;&gt;""),1,""))</f>
        <v/>
      </c>
      <c r="AH4799" s="199" t="str">
        <f>IF(G4799="","",IF(AND(COUNTIFS($J$18:J4799,J4799)=1,G4799&lt;&gt;""),1,""))</f>
        <v/>
      </c>
      <c r="AI4799" s="200">
        <f t="shared" si="1477"/>
        <v>0</v>
      </c>
      <c r="AJ4799" s="200">
        <f t="shared" si="1478"/>
        <v>0</v>
      </c>
      <c r="AK4799" s="201" t="str">
        <f t="shared" si="1479"/>
        <v/>
      </c>
      <c r="AL4799" s="24"/>
      <c r="AM4799" s="24"/>
      <c r="AN4799" s="24"/>
      <c r="AO4799" s="24"/>
      <c r="AP4799" s="165" t="str">
        <f t="shared" si="1480"/>
        <v/>
      </c>
      <c r="AQ4799" s="203" t="str">
        <f t="shared" si="1481"/>
        <v/>
      </c>
      <c r="AR4799" s="206">
        <f t="shared" si="1482"/>
        <v>0</v>
      </c>
      <c r="AS4799" s="22" t="str">
        <f t="shared" si="1483"/>
        <v/>
      </c>
      <c r="AT4799" s="24" t="str">
        <f t="shared" si="1484"/>
        <v/>
      </c>
      <c r="AU4799" s="22" t="s">
        <v>3240</v>
      </c>
    </row>
    <row r="4800" spans="1:47">
      <c r="A4800" s="246" t="str">
        <f t="shared" si="1472"/>
        <v/>
      </c>
      <c r="B4800" s="23"/>
      <c r="C4800" s="23"/>
      <c r="D4800" s="202" t="str">
        <f t="shared" si="1473"/>
        <v/>
      </c>
      <c r="E4800" s="33" t="str">
        <f t="shared" si="1467"/>
        <v/>
      </c>
      <c r="F4800" s="23"/>
      <c r="G4800" s="23"/>
      <c r="H4800" s="29"/>
      <c r="I4800" s="204" t="str">
        <f t="shared" si="1470"/>
        <v/>
      </c>
      <c r="J4800" s="188"/>
      <c r="K4800" s="29"/>
      <c r="L4800" s="24"/>
      <c r="M4800" s="22"/>
      <c r="N4800" s="22"/>
      <c r="O4800" s="22"/>
      <c r="P4800" s="202" t="str">
        <f t="shared" si="1471"/>
        <v/>
      </c>
      <c r="Q4800" s="22"/>
      <c r="R4800" s="22"/>
      <c r="S4800" s="22"/>
      <c r="T4800" s="22"/>
      <c r="U4800" s="22"/>
      <c r="V4800" s="22"/>
      <c r="W4800" s="22"/>
      <c r="X4800" s="104"/>
      <c r="Y4800" s="195" t="str">
        <f t="shared" si="1468"/>
        <v/>
      </c>
      <c r="Z4800" s="196" t="str">
        <f t="shared" si="1469"/>
        <v/>
      </c>
      <c r="AA4800" s="22"/>
      <c r="AB4800" s="197" t="str">
        <f t="shared" si="1474"/>
        <v/>
      </c>
      <c r="AC4800" s="198" t="str">
        <f t="shared" si="1475"/>
        <v/>
      </c>
      <c r="AD4800" s="162"/>
      <c r="AE4800" s="199" t="str">
        <f t="shared" si="1476"/>
        <v/>
      </c>
      <c r="AF4800" s="199" t="str">
        <f>IF(AND(COUNTIFS($J$18:J4800,J4800)=1,AE4800=1),1,"")</f>
        <v/>
      </c>
      <c r="AG4800" s="199" t="str">
        <f>IF(C4800="","",IF(AND(COUNTIFS($J$18:J4800,J4800)=1,C4800&lt;&gt;""),1,""))</f>
        <v/>
      </c>
      <c r="AH4800" s="199" t="str">
        <f>IF(G4800="","",IF(AND(COUNTIFS($J$18:J4800,J4800)=1,G4800&lt;&gt;""),1,""))</f>
        <v/>
      </c>
      <c r="AI4800" s="200">
        <f t="shared" si="1477"/>
        <v>0</v>
      </c>
      <c r="AJ4800" s="200">
        <f t="shared" si="1478"/>
        <v>0</v>
      </c>
      <c r="AK4800" s="201" t="str">
        <f t="shared" si="1479"/>
        <v/>
      </c>
      <c r="AL4800" s="24"/>
      <c r="AM4800" s="24"/>
      <c r="AN4800" s="24"/>
      <c r="AO4800" s="24"/>
      <c r="AP4800" s="165" t="str">
        <f t="shared" si="1480"/>
        <v/>
      </c>
      <c r="AQ4800" s="203" t="str">
        <f t="shared" si="1481"/>
        <v/>
      </c>
      <c r="AR4800" s="206">
        <f t="shared" si="1482"/>
        <v>0</v>
      </c>
      <c r="AS4800" s="22" t="str">
        <f t="shared" si="1483"/>
        <v/>
      </c>
      <c r="AT4800" s="24" t="str">
        <f t="shared" si="1484"/>
        <v/>
      </c>
      <c r="AU4800" s="22" t="s">
        <v>3240</v>
      </c>
    </row>
    <row r="4801" spans="1:47">
      <c r="A4801" s="246" t="str">
        <f t="shared" si="1472"/>
        <v/>
      </c>
      <c r="B4801" s="23"/>
      <c r="C4801" s="23"/>
      <c r="D4801" s="202" t="str">
        <f t="shared" si="1473"/>
        <v/>
      </c>
      <c r="E4801" s="33" t="str">
        <f t="shared" si="1467"/>
        <v/>
      </c>
      <c r="F4801" s="23"/>
      <c r="G4801" s="23"/>
      <c r="H4801" s="29"/>
      <c r="I4801" s="204" t="str">
        <f t="shared" si="1470"/>
        <v/>
      </c>
      <c r="J4801" s="188"/>
      <c r="K4801" s="29"/>
      <c r="L4801" s="24"/>
      <c r="M4801" s="22"/>
      <c r="N4801" s="22"/>
      <c r="O4801" s="22"/>
      <c r="P4801" s="202" t="str">
        <f t="shared" si="1471"/>
        <v/>
      </c>
      <c r="Q4801" s="22"/>
      <c r="R4801" s="22"/>
      <c r="S4801" s="22"/>
      <c r="T4801" s="22"/>
      <c r="U4801" s="22"/>
      <c r="V4801" s="22"/>
      <c r="W4801" s="22"/>
      <c r="X4801" s="104"/>
      <c r="Y4801" s="195" t="str">
        <f t="shared" si="1468"/>
        <v/>
      </c>
      <c r="Z4801" s="196" t="str">
        <f t="shared" si="1469"/>
        <v/>
      </c>
      <c r="AA4801" s="22"/>
      <c r="AB4801" s="197" t="str">
        <f t="shared" si="1474"/>
        <v/>
      </c>
      <c r="AC4801" s="198" t="str">
        <f t="shared" si="1475"/>
        <v/>
      </c>
      <c r="AD4801" s="162"/>
      <c r="AE4801" s="199" t="str">
        <f t="shared" si="1476"/>
        <v/>
      </c>
      <c r="AF4801" s="199" t="str">
        <f>IF(AND(COUNTIFS($J$18:J4801,J4801)=1,AE4801=1),1,"")</f>
        <v/>
      </c>
      <c r="AG4801" s="199" t="str">
        <f>IF(C4801="","",IF(AND(COUNTIFS($J$18:J4801,J4801)=1,C4801&lt;&gt;""),1,""))</f>
        <v/>
      </c>
      <c r="AH4801" s="199" t="str">
        <f>IF(G4801="","",IF(AND(COUNTIFS($J$18:J4801,J4801)=1,G4801&lt;&gt;""),1,""))</f>
        <v/>
      </c>
      <c r="AI4801" s="200">
        <f t="shared" si="1477"/>
        <v>0</v>
      </c>
      <c r="AJ4801" s="200">
        <f t="shared" si="1478"/>
        <v>0</v>
      </c>
      <c r="AK4801" s="201" t="str">
        <f t="shared" si="1479"/>
        <v/>
      </c>
      <c r="AL4801" s="24"/>
      <c r="AM4801" s="24"/>
      <c r="AN4801" s="24"/>
      <c r="AO4801" s="24"/>
      <c r="AP4801" s="165" t="str">
        <f t="shared" si="1480"/>
        <v/>
      </c>
      <c r="AQ4801" s="203" t="str">
        <f t="shared" si="1481"/>
        <v/>
      </c>
      <c r="AR4801" s="206">
        <f t="shared" si="1482"/>
        <v>0</v>
      </c>
      <c r="AS4801" s="22" t="str">
        <f t="shared" si="1483"/>
        <v/>
      </c>
      <c r="AT4801" s="24" t="str">
        <f t="shared" si="1484"/>
        <v/>
      </c>
      <c r="AU4801" s="22" t="s">
        <v>3240</v>
      </c>
    </row>
    <row r="4802" spans="1:47">
      <c r="A4802" s="246" t="str">
        <f t="shared" si="1472"/>
        <v/>
      </c>
      <c r="B4802" s="23"/>
      <c r="C4802" s="23"/>
      <c r="D4802" s="202" t="str">
        <f t="shared" si="1473"/>
        <v/>
      </c>
      <c r="E4802" s="33" t="str">
        <f t="shared" si="1467"/>
        <v/>
      </c>
      <c r="F4802" s="23"/>
      <c r="G4802" s="23"/>
      <c r="H4802" s="29"/>
      <c r="I4802" s="204" t="str">
        <f t="shared" si="1470"/>
        <v/>
      </c>
      <c r="J4802" s="188"/>
      <c r="K4802" s="29"/>
      <c r="L4802" s="24"/>
      <c r="M4802" s="22"/>
      <c r="N4802" s="22"/>
      <c r="O4802" s="22"/>
      <c r="P4802" s="202" t="str">
        <f t="shared" si="1471"/>
        <v/>
      </c>
      <c r="Q4802" s="22"/>
      <c r="R4802" s="22"/>
      <c r="S4802" s="22"/>
      <c r="T4802" s="22"/>
      <c r="U4802" s="22"/>
      <c r="V4802" s="22"/>
      <c r="W4802" s="22"/>
      <c r="X4802" s="104"/>
      <c r="Y4802" s="195" t="str">
        <f t="shared" si="1468"/>
        <v/>
      </c>
      <c r="Z4802" s="196" t="str">
        <f t="shared" si="1469"/>
        <v/>
      </c>
      <c r="AA4802" s="22"/>
      <c r="AB4802" s="197" t="str">
        <f t="shared" si="1474"/>
        <v/>
      </c>
      <c r="AC4802" s="198" t="str">
        <f t="shared" si="1475"/>
        <v/>
      </c>
      <c r="AD4802" s="162"/>
      <c r="AE4802" s="199" t="str">
        <f t="shared" si="1476"/>
        <v/>
      </c>
      <c r="AF4802" s="199" t="str">
        <f>IF(AND(COUNTIFS($J$18:J4802,J4802)=1,AE4802=1),1,"")</f>
        <v/>
      </c>
      <c r="AG4802" s="199" t="str">
        <f>IF(C4802="","",IF(AND(COUNTIFS($J$18:J4802,J4802)=1,C4802&lt;&gt;""),1,""))</f>
        <v/>
      </c>
      <c r="AH4802" s="199" t="str">
        <f>IF(G4802="","",IF(AND(COUNTIFS($J$18:J4802,J4802)=1,G4802&lt;&gt;""),1,""))</f>
        <v/>
      </c>
      <c r="AI4802" s="200">
        <f t="shared" si="1477"/>
        <v>0</v>
      </c>
      <c r="AJ4802" s="200">
        <f t="shared" si="1478"/>
        <v>0</v>
      </c>
      <c r="AK4802" s="201" t="str">
        <f t="shared" si="1479"/>
        <v/>
      </c>
      <c r="AL4802" s="24"/>
      <c r="AM4802" s="24"/>
      <c r="AN4802" s="24"/>
      <c r="AO4802" s="24"/>
      <c r="AP4802" s="165" t="str">
        <f t="shared" si="1480"/>
        <v/>
      </c>
      <c r="AQ4802" s="203" t="str">
        <f t="shared" si="1481"/>
        <v/>
      </c>
      <c r="AR4802" s="206">
        <f t="shared" si="1482"/>
        <v>0</v>
      </c>
      <c r="AS4802" s="22" t="str">
        <f t="shared" si="1483"/>
        <v/>
      </c>
      <c r="AT4802" s="24" t="str">
        <f t="shared" si="1484"/>
        <v/>
      </c>
      <c r="AU4802" s="22" t="s">
        <v>3240</v>
      </c>
    </row>
    <row r="4803" spans="1:47">
      <c r="A4803" s="246" t="str">
        <f t="shared" si="1472"/>
        <v/>
      </c>
      <c r="B4803" s="23"/>
      <c r="C4803" s="23"/>
      <c r="D4803" s="202" t="str">
        <f t="shared" si="1473"/>
        <v/>
      </c>
      <c r="E4803" s="33" t="str">
        <f t="shared" si="1467"/>
        <v/>
      </c>
      <c r="F4803" s="23"/>
      <c r="G4803" s="23"/>
      <c r="H4803" s="29"/>
      <c r="I4803" s="204" t="str">
        <f t="shared" si="1470"/>
        <v/>
      </c>
      <c r="J4803" s="188"/>
      <c r="K4803" s="29"/>
      <c r="L4803" s="24"/>
      <c r="M4803" s="22"/>
      <c r="N4803" s="22"/>
      <c r="O4803" s="22"/>
      <c r="P4803" s="202" t="str">
        <f t="shared" si="1471"/>
        <v/>
      </c>
      <c r="Q4803" s="22"/>
      <c r="R4803" s="22"/>
      <c r="S4803" s="22"/>
      <c r="T4803" s="22"/>
      <c r="U4803" s="22"/>
      <c r="V4803" s="22"/>
      <c r="W4803" s="22"/>
      <c r="X4803" s="104"/>
      <c r="Y4803" s="195" t="str">
        <f t="shared" si="1468"/>
        <v/>
      </c>
      <c r="Z4803" s="196" t="str">
        <f t="shared" si="1469"/>
        <v/>
      </c>
      <c r="AA4803" s="22"/>
      <c r="AB4803" s="197" t="str">
        <f t="shared" si="1474"/>
        <v/>
      </c>
      <c r="AC4803" s="198" t="str">
        <f t="shared" si="1475"/>
        <v/>
      </c>
      <c r="AD4803" s="162"/>
      <c r="AE4803" s="199" t="str">
        <f t="shared" si="1476"/>
        <v/>
      </c>
      <c r="AF4803" s="199" t="str">
        <f>IF(AND(COUNTIFS($J$18:J4803,J4803)=1,AE4803=1),1,"")</f>
        <v/>
      </c>
      <c r="AG4803" s="199" t="str">
        <f>IF(C4803="","",IF(AND(COUNTIFS($J$18:J4803,J4803)=1,C4803&lt;&gt;""),1,""))</f>
        <v/>
      </c>
      <c r="AH4803" s="199" t="str">
        <f>IF(G4803="","",IF(AND(COUNTIFS($J$18:J4803,J4803)=1,G4803&lt;&gt;""),1,""))</f>
        <v/>
      </c>
      <c r="AI4803" s="200">
        <f t="shared" si="1477"/>
        <v>0</v>
      </c>
      <c r="AJ4803" s="200">
        <f t="shared" si="1478"/>
        <v>0</v>
      </c>
      <c r="AK4803" s="201" t="str">
        <f t="shared" si="1479"/>
        <v/>
      </c>
      <c r="AL4803" s="24"/>
      <c r="AM4803" s="24"/>
      <c r="AN4803" s="24"/>
      <c r="AO4803" s="24"/>
      <c r="AP4803" s="165" t="str">
        <f t="shared" si="1480"/>
        <v/>
      </c>
      <c r="AQ4803" s="203" t="str">
        <f t="shared" si="1481"/>
        <v/>
      </c>
      <c r="AR4803" s="206">
        <f t="shared" si="1482"/>
        <v>0</v>
      </c>
      <c r="AS4803" s="22" t="str">
        <f t="shared" si="1483"/>
        <v/>
      </c>
      <c r="AT4803" s="24" t="str">
        <f t="shared" si="1484"/>
        <v/>
      </c>
      <c r="AU4803" s="22" t="s">
        <v>3240</v>
      </c>
    </row>
    <row r="4804" spans="1:47">
      <c r="A4804" s="246" t="str">
        <f t="shared" si="1472"/>
        <v/>
      </c>
      <c r="B4804" s="23"/>
      <c r="C4804" s="23"/>
      <c r="D4804" s="202" t="str">
        <f t="shared" si="1473"/>
        <v/>
      </c>
      <c r="E4804" s="33" t="str">
        <f t="shared" si="1467"/>
        <v/>
      </c>
      <c r="F4804" s="23"/>
      <c r="G4804" s="23"/>
      <c r="H4804" s="29"/>
      <c r="I4804" s="204" t="str">
        <f t="shared" si="1470"/>
        <v/>
      </c>
      <c r="J4804" s="188"/>
      <c r="K4804" s="29"/>
      <c r="L4804" s="24"/>
      <c r="M4804" s="22"/>
      <c r="N4804" s="22"/>
      <c r="O4804" s="22"/>
      <c r="P4804" s="202" t="str">
        <f t="shared" si="1471"/>
        <v/>
      </c>
      <c r="Q4804" s="22"/>
      <c r="R4804" s="22"/>
      <c r="S4804" s="22"/>
      <c r="T4804" s="22"/>
      <c r="U4804" s="22"/>
      <c r="V4804" s="22"/>
      <c r="W4804" s="22"/>
      <c r="X4804" s="104"/>
      <c r="Y4804" s="195" t="str">
        <f t="shared" si="1468"/>
        <v/>
      </c>
      <c r="Z4804" s="196" t="str">
        <f t="shared" si="1469"/>
        <v/>
      </c>
      <c r="AA4804" s="22"/>
      <c r="AB4804" s="197" t="str">
        <f t="shared" si="1474"/>
        <v/>
      </c>
      <c r="AC4804" s="198" t="str">
        <f t="shared" si="1475"/>
        <v/>
      </c>
      <c r="AD4804" s="162"/>
      <c r="AE4804" s="199" t="str">
        <f t="shared" si="1476"/>
        <v/>
      </c>
      <c r="AF4804" s="199" t="str">
        <f>IF(AND(COUNTIFS($J$18:J4804,J4804)=1,AE4804=1),1,"")</f>
        <v/>
      </c>
      <c r="AG4804" s="199" t="str">
        <f>IF(C4804="","",IF(AND(COUNTIFS($J$18:J4804,J4804)=1,C4804&lt;&gt;""),1,""))</f>
        <v/>
      </c>
      <c r="AH4804" s="199" t="str">
        <f>IF(G4804="","",IF(AND(COUNTIFS($J$18:J4804,J4804)=1,G4804&lt;&gt;""),1,""))</f>
        <v/>
      </c>
      <c r="AI4804" s="200">
        <f t="shared" si="1477"/>
        <v>0</v>
      </c>
      <c r="AJ4804" s="200">
        <f t="shared" si="1478"/>
        <v>0</v>
      </c>
      <c r="AK4804" s="201" t="str">
        <f t="shared" si="1479"/>
        <v/>
      </c>
      <c r="AL4804" s="24"/>
      <c r="AM4804" s="24"/>
      <c r="AN4804" s="24"/>
      <c r="AO4804" s="24"/>
      <c r="AP4804" s="165" t="str">
        <f t="shared" si="1480"/>
        <v/>
      </c>
      <c r="AQ4804" s="203" t="str">
        <f t="shared" si="1481"/>
        <v/>
      </c>
      <c r="AR4804" s="206">
        <f t="shared" si="1482"/>
        <v>0</v>
      </c>
      <c r="AS4804" s="22" t="str">
        <f t="shared" si="1483"/>
        <v/>
      </c>
      <c r="AT4804" s="24" t="str">
        <f t="shared" si="1484"/>
        <v/>
      </c>
      <c r="AU4804" s="22" t="s">
        <v>3240</v>
      </c>
    </row>
    <row r="4805" spans="1:47">
      <c r="A4805" s="246" t="str">
        <f t="shared" si="1472"/>
        <v/>
      </c>
      <c r="B4805" s="23"/>
      <c r="C4805" s="23"/>
      <c r="D4805" s="202" t="str">
        <f t="shared" si="1473"/>
        <v/>
      </c>
      <c r="E4805" s="33" t="str">
        <f t="shared" si="1467"/>
        <v/>
      </c>
      <c r="F4805" s="23"/>
      <c r="G4805" s="23"/>
      <c r="H4805" s="29"/>
      <c r="I4805" s="204" t="str">
        <f t="shared" si="1470"/>
        <v/>
      </c>
      <c r="J4805" s="188"/>
      <c r="K4805" s="29"/>
      <c r="L4805" s="24"/>
      <c r="M4805" s="22"/>
      <c r="N4805" s="22"/>
      <c r="O4805" s="22"/>
      <c r="P4805" s="202" t="str">
        <f t="shared" si="1471"/>
        <v/>
      </c>
      <c r="Q4805" s="22"/>
      <c r="R4805" s="22"/>
      <c r="S4805" s="22"/>
      <c r="T4805" s="22"/>
      <c r="U4805" s="22"/>
      <c r="V4805" s="22"/>
      <c r="W4805" s="22"/>
      <c r="X4805" s="104"/>
      <c r="Y4805" s="195" t="str">
        <f t="shared" si="1468"/>
        <v/>
      </c>
      <c r="Z4805" s="196" t="str">
        <f t="shared" si="1469"/>
        <v/>
      </c>
      <c r="AA4805" s="22"/>
      <c r="AB4805" s="197" t="str">
        <f t="shared" si="1474"/>
        <v/>
      </c>
      <c r="AC4805" s="198" t="str">
        <f t="shared" si="1475"/>
        <v/>
      </c>
      <c r="AD4805" s="162"/>
      <c r="AE4805" s="199" t="str">
        <f t="shared" si="1476"/>
        <v/>
      </c>
      <c r="AF4805" s="199" t="str">
        <f>IF(AND(COUNTIFS($J$18:J4805,J4805)=1,AE4805=1),1,"")</f>
        <v/>
      </c>
      <c r="AG4805" s="199" t="str">
        <f>IF(C4805="","",IF(AND(COUNTIFS($J$18:J4805,J4805)=1,C4805&lt;&gt;""),1,""))</f>
        <v/>
      </c>
      <c r="AH4805" s="199" t="str">
        <f>IF(G4805="","",IF(AND(COUNTIFS($J$18:J4805,J4805)=1,G4805&lt;&gt;""),1,""))</f>
        <v/>
      </c>
      <c r="AI4805" s="200">
        <f t="shared" si="1477"/>
        <v>0</v>
      </c>
      <c r="AJ4805" s="200">
        <f t="shared" si="1478"/>
        <v>0</v>
      </c>
      <c r="AK4805" s="201" t="str">
        <f t="shared" si="1479"/>
        <v/>
      </c>
      <c r="AL4805" s="24"/>
      <c r="AM4805" s="24"/>
      <c r="AN4805" s="24"/>
      <c r="AO4805" s="24"/>
      <c r="AP4805" s="165" t="str">
        <f t="shared" si="1480"/>
        <v/>
      </c>
      <c r="AQ4805" s="203" t="str">
        <f t="shared" si="1481"/>
        <v/>
      </c>
      <c r="AR4805" s="206">
        <f t="shared" si="1482"/>
        <v>0</v>
      </c>
      <c r="AS4805" s="22" t="str">
        <f t="shared" si="1483"/>
        <v/>
      </c>
      <c r="AT4805" s="24" t="str">
        <f t="shared" si="1484"/>
        <v/>
      </c>
      <c r="AU4805" s="22" t="s">
        <v>3240</v>
      </c>
    </row>
    <row r="4806" spans="1:47">
      <c r="A4806" s="246" t="str">
        <f t="shared" si="1472"/>
        <v/>
      </c>
      <c r="B4806" s="23"/>
      <c r="C4806" s="23"/>
      <c r="D4806" s="202" t="str">
        <f t="shared" si="1473"/>
        <v/>
      </c>
      <c r="E4806" s="33" t="str">
        <f t="shared" si="1467"/>
        <v/>
      </c>
      <c r="F4806" s="23"/>
      <c r="G4806" s="23"/>
      <c r="H4806" s="29"/>
      <c r="I4806" s="204" t="str">
        <f t="shared" si="1470"/>
        <v/>
      </c>
      <c r="J4806" s="188"/>
      <c r="K4806" s="29"/>
      <c r="L4806" s="24"/>
      <c r="M4806" s="22"/>
      <c r="N4806" s="22"/>
      <c r="O4806" s="22"/>
      <c r="P4806" s="202" t="str">
        <f t="shared" si="1471"/>
        <v/>
      </c>
      <c r="Q4806" s="22"/>
      <c r="R4806" s="22"/>
      <c r="S4806" s="22"/>
      <c r="T4806" s="22"/>
      <c r="U4806" s="22"/>
      <c r="V4806" s="22"/>
      <c r="W4806" s="22"/>
      <c r="X4806" s="104"/>
      <c r="Y4806" s="195" t="str">
        <f t="shared" si="1468"/>
        <v/>
      </c>
      <c r="Z4806" s="196" t="str">
        <f t="shared" si="1469"/>
        <v/>
      </c>
      <c r="AA4806" s="22"/>
      <c r="AB4806" s="197" t="str">
        <f t="shared" si="1474"/>
        <v/>
      </c>
      <c r="AC4806" s="198" t="str">
        <f t="shared" si="1475"/>
        <v/>
      </c>
      <c r="AD4806" s="162"/>
      <c r="AE4806" s="199" t="str">
        <f t="shared" si="1476"/>
        <v/>
      </c>
      <c r="AF4806" s="199" t="str">
        <f>IF(AND(COUNTIFS($J$18:J4806,J4806)=1,AE4806=1),1,"")</f>
        <v/>
      </c>
      <c r="AG4806" s="199" t="str">
        <f>IF(C4806="","",IF(AND(COUNTIFS($J$18:J4806,J4806)=1,C4806&lt;&gt;""),1,""))</f>
        <v/>
      </c>
      <c r="AH4806" s="199" t="str">
        <f>IF(G4806="","",IF(AND(COUNTIFS($J$18:J4806,J4806)=1,G4806&lt;&gt;""),1,""))</f>
        <v/>
      </c>
      <c r="AI4806" s="200">
        <f t="shared" si="1477"/>
        <v>0</v>
      </c>
      <c r="AJ4806" s="200">
        <f t="shared" si="1478"/>
        <v>0</v>
      </c>
      <c r="AK4806" s="201" t="str">
        <f t="shared" si="1479"/>
        <v/>
      </c>
      <c r="AL4806" s="24"/>
      <c r="AM4806" s="24"/>
      <c r="AN4806" s="24"/>
      <c r="AO4806" s="24"/>
      <c r="AP4806" s="165" t="str">
        <f t="shared" si="1480"/>
        <v/>
      </c>
      <c r="AQ4806" s="203" t="str">
        <f t="shared" si="1481"/>
        <v/>
      </c>
      <c r="AR4806" s="206">
        <f t="shared" si="1482"/>
        <v>0</v>
      </c>
      <c r="AS4806" s="22" t="str">
        <f t="shared" si="1483"/>
        <v/>
      </c>
      <c r="AT4806" s="24" t="str">
        <f t="shared" si="1484"/>
        <v/>
      </c>
      <c r="AU4806" s="22" t="s">
        <v>3240</v>
      </c>
    </row>
    <row r="4807" spans="1:47">
      <c r="A4807" s="246" t="str">
        <f t="shared" si="1472"/>
        <v/>
      </c>
      <c r="B4807" s="23"/>
      <c r="C4807" s="23"/>
      <c r="D4807" s="202" t="str">
        <f t="shared" si="1473"/>
        <v/>
      </c>
      <c r="E4807" s="33" t="str">
        <f t="shared" si="1467"/>
        <v/>
      </c>
      <c r="F4807" s="23"/>
      <c r="G4807" s="23"/>
      <c r="H4807" s="29"/>
      <c r="I4807" s="204" t="str">
        <f t="shared" si="1470"/>
        <v/>
      </c>
      <c r="J4807" s="188"/>
      <c r="K4807" s="29"/>
      <c r="L4807" s="24"/>
      <c r="M4807" s="22"/>
      <c r="N4807" s="22"/>
      <c r="O4807" s="22"/>
      <c r="P4807" s="202" t="str">
        <f t="shared" si="1471"/>
        <v/>
      </c>
      <c r="Q4807" s="22"/>
      <c r="R4807" s="22"/>
      <c r="S4807" s="22"/>
      <c r="T4807" s="22"/>
      <c r="U4807" s="22"/>
      <c r="V4807" s="22"/>
      <c r="W4807" s="22"/>
      <c r="X4807" s="104"/>
      <c r="Y4807" s="195" t="str">
        <f t="shared" si="1468"/>
        <v/>
      </c>
      <c r="Z4807" s="196" t="str">
        <f t="shared" si="1469"/>
        <v/>
      </c>
      <c r="AA4807" s="22"/>
      <c r="AB4807" s="197" t="str">
        <f t="shared" si="1474"/>
        <v/>
      </c>
      <c r="AC4807" s="198" t="str">
        <f t="shared" si="1475"/>
        <v/>
      </c>
      <c r="AD4807" s="162"/>
      <c r="AE4807" s="199" t="str">
        <f t="shared" si="1476"/>
        <v/>
      </c>
      <c r="AF4807" s="199" t="str">
        <f>IF(AND(COUNTIFS($J$18:J4807,J4807)=1,AE4807=1),1,"")</f>
        <v/>
      </c>
      <c r="AG4807" s="199" t="str">
        <f>IF(C4807="","",IF(AND(COUNTIFS($J$18:J4807,J4807)=1,C4807&lt;&gt;""),1,""))</f>
        <v/>
      </c>
      <c r="AH4807" s="199" t="str">
        <f>IF(G4807="","",IF(AND(COUNTIFS($J$18:J4807,J4807)=1,G4807&lt;&gt;""),1,""))</f>
        <v/>
      </c>
      <c r="AI4807" s="200">
        <f t="shared" si="1477"/>
        <v>0</v>
      </c>
      <c r="AJ4807" s="200">
        <f t="shared" si="1478"/>
        <v>0</v>
      </c>
      <c r="AK4807" s="201" t="str">
        <f t="shared" si="1479"/>
        <v/>
      </c>
      <c r="AL4807" s="24"/>
      <c r="AM4807" s="24"/>
      <c r="AN4807" s="24"/>
      <c r="AO4807" s="24"/>
      <c r="AP4807" s="165" t="str">
        <f t="shared" si="1480"/>
        <v/>
      </c>
      <c r="AQ4807" s="203" t="str">
        <f t="shared" si="1481"/>
        <v/>
      </c>
      <c r="AR4807" s="206">
        <f t="shared" si="1482"/>
        <v>0</v>
      </c>
      <c r="AS4807" s="22" t="str">
        <f t="shared" si="1483"/>
        <v/>
      </c>
      <c r="AT4807" s="24" t="str">
        <f t="shared" si="1484"/>
        <v/>
      </c>
      <c r="AU4807" s="22" t="s">
        <v>3240</v>
      </c>
    </row>
    <row r="4808" spans="1:47">
      <c r="A4808" s="246" t="str">
        <f t="shared" si="1472"/>
        <v/>
      </c>
      <c r="B4808" s="23"/>
      <c r="C4808" s="23"/>
      <c r="D4808" s="202" t="str">
        <f t="shared" si="1473"/>
        <v/>
      </c>
      <c r="E4808" s="33" t="str">
        <f t="shared" si="1467"/>
        <v/>
      </c>
      <c r="F4808" s="23"/>
      <c r="G4808" s="23"/>
      <c r="H4808" s="29"/>
      <c r="I4808" s="204" t="str">
        <f t="shared" si="1470"/>
        <v/>
      </c>
      <c r="J4808" s="188"/>
      <c r="K4808" s="29"/>
      <c r="L4808" s="24"/>
      <c r="M4808" s="22"/>
      <c r="N4808" s="22"/>
      <c r="O4808" s="22"/>
      <c r="P4808" s="202" t="str">
        <f t="shared" si="1471"/>
        <v/>
      </c>
      <c r="Q4808" s="22"/>
      <c r="R4808" s="22"/>
      <c r="S4808" s="22"/>
      <c r="T4808" s="22"/>
      <c r="U4808" s="22"/>
      <c r="V4808" s="22"/>
      <c r="W4808" s="22"/>
      <c r="X4808" s="104"/>
      <c r="Y4808" s="195" t="str">
        <f t="shared" si="1468"/>
        <v/>
      </c>
      <c r="Z4808" s="196" t="str">
        <f t="shared" si="1469"/>
        <v/>
      </c>
      <c r="AA4808" s="22"/>
      <c r="AB4808" s="197" t="str">
        <f t="shared" si="1474"/>
        <v/>
      </c>
      <c r="AC4808" s="198" t="str">
        <f t="shared" si="1475"/>
        <v/>
      </c>
      <c r="AD4808" s="162"/>
      <c r="AE4808" s="199" t="str">
        <f t="shared" si="1476"/>
        <v/>
      </c>
      <c r="AF4808" s="199" t="str">
        <f>IF(AND(COUNTIFS($J$18:J4808,J4808)=1,AE4808=1),1,"")</f>
        <v/>
      </c>
      <c r="AG4808" s="199" t="str">
        <f>IF(C4808="","",IF(AND(COUNTIFS($J$18:J4808,J4808)=1,C4808&lt;&gt;""),1,""))</f>
        <v/>
      </c>
      <c r="AH4808" s="199" t="str">
        <f>IF(G4808="","",IF(AND(COUNTIFS($J$18:J4808,J4808)=1,G4808&lt;&gt;""),1,""))</f>
        <v/>
      </c>
      <c r="AI4808" s="200">
        <f t="shared" si="1477"/>
        <v>0</v>
      </c>
      <c r="AJ4808" s="200">
        <f t="shared" si="1478"/>
        <v>0</v>
      </c>
      <c r="AK4808" s="201" t="str">
        <f t="shared" si="1479"/>
        <v/>
      </c>
      <c r="AL4808" s="24"/>
      <c r="AM4808" s="24"/>
      <c r="AN4808" s="24"/>
      <c r="AO4808" s="24"/>
      <c r="AP4808" s="165" t="str">
        <f t="shared" si="1480"/>
        <v/>
      </c>
      <c r="AQ4808" s="203" t="str">
        <f t="shared" si="1481"/>
        <v/>
      </c>
      <c r="AR4808" s="206">
        <f t="shared" si="1482"/>
        <v>0</v>
      </c>
      <c r="AS4808" s="22" t="str">
        <f t="shared" si="1483"/>
        <v/>
      </c>
      <c r="AT4808" s="24" t="str">
        <f t="shared" si="1484"/>
        <v/>
      </c>
      <c r="AU4808" s="22" t="s">
        <v>3240</v>
      </c>
    </row>
    <row r="4809" spans="1:47">
      <c r="A4809" s="246" t="str">
        <f t="shared" si="1472"/>
        <v/>
      </c>
      <c r="B4809" s="23"/>
      <c r="C4809" s="23"/>
      <c r="D4809" s="202" t="str">
        <f t="shared" si="1473"/>
        <v/>
      </c>
      <c r="E4809" s="33" t="str">
        <f t="shared" si="1467"/>
        <v/>
      </c>
      <c r="F4809" s="23"/>
      <c r="G4809" s="23"/>
      <c r="H4809" s="29"/>
      <c r="I4809" s="204" t="str">
        <f t="shared" si="1470"/>
        <v/>
      </c>
      <c r="J4809" s="188"/>
      <c r="K4809" s="29"/>
      <c r="L4809" s="24"/>
      <c r="M4809" s="22"/>
      <c r="N4809" s="22"/>
      <c r="O4809" s="22"/>
      <c r="P4809" s="202" t="str">
        <f t="shared" si="1471"/>
        <v/>
      </c>
      <c r="Q4809" s="22"/>
      <c r="R4809" s="22"/>
      <c r="S4809" s="22"/>
      <c r="T4809" s="22"/>
      <c r="U4809" s="22"/>
      <c r="V4809" s="22"/>
      <c r="W4809" s="22"/>
      <c r="X4809" s="104"/>
      <c r="Y4809" s="195" t="str">
        <f t="shared" si="1468"/>
        <v/>
      </c>
      <c r="Z4809" s="196" t="str">
        <f t="shared" si="1469"/>
        <v/>
      </c>
      <c r="AA4809" s="22"/>
      <c r="AB4809" s="197" t="str">
        <f t="shared" si="1474"/>
        <v/>
      </c>
      <c r="AC4809" s="198" t="str">
        <f t="shared" si="1475"/>
        <v/>
      </c>
      <c r="AD4809" s="162"/>
      <c r="AE4809" s="199" t="str">
        <f t="shared" si="1476"/>
        <v/>
      </c>
      <c r="AF4809" s="199" t="str">
        <f>IF(AND(COUNTIFS($J$18:J4809,J4809)=1,AE4809=1),1,"")</f>
        <v/>
      </c>
      <c r="AG4809" s="199" t="str">
        <f>IF(C4809="","",IF(AND(COUNTIFS($J$18:J4809,J4809)=1,C4809&lt;&gt;""),1,""))</f>
        <v/>
      </c>
      <c r="AH4809" s="199" t="str">
        <f>IF(G4809="","",IF(AND(COUNTIFS($J$18:J4809,J4809)=1,G4809&lt;&gt;""),1,""))</f>
        <v/>
      </c>
      <c r="AI4809" s="200">
        <f t="shared" si="1477"/>
        <v>0</v>
      </c>
      <c r="AJ4809" s="200">
        <f t="shared" si="1478"/>
        <v>0</v>
      </c>
      <c r="AK4809" s="201" t="str">
        <f t="shared" si="1479"/>
        <v/>
      </c>
      <c r="AL4809" s="24"/>
      <c r="AM4809" s="24"/>
      <c r="AN4809" s="24"/>
      <c r="AO4809" s="24"/>
      <c r="AP4809" s="165" t="str">
        <f t="shared" si="1480"/>
        <v/>
      </c>
      <c r="AQ4809" s="203" t="str">
        <f t="shared" si="1481"/>
        <v/>
      </c>
      <c r="AR4809" s="206">
        <f t="shared" si="1482"/>
        <v>0</v>
      </c>
      <c r="AS4809" s="22" t="str">
        <f t="shared" si="1483"/>
        <v/>
      </c>
      <c r="AT4809" s="24" t="str">
        <f t="shared" si="1484"/>
        <v/>
      </c>
      <c r="AU4809" s="22" t="s">
        <v>3240</v>
      </c>
    </row>
    <row r="4810" spans="1:47">
      <c r="A4810" s="246" t="str">
        <f t="shared" si="1472"/>
        <v/>
      </c>
      <c r="B4810" s="23"/>
      <c r="C4810" s="23"/>
      <c r="D4810" s="202" t="str">
        <f t="shared" si="1473"/>
        <v/>
      </c>
      <c r="E4810" s="33" t="str">
        <f t="shared" si="1467"/>
        <v/>
      </c>
      <c r="F4810" s="23"/>
      <c r="G4810" s="23"/>
      <c r="H4810" s="29"/>
      <c r="I4810" s="204" t="str">
        <f t="shared" si="1470"/>
        <v/>
      </c>
      <c r="J4810" s="188"/>
      <c r="K4810" s="29"/>
      <c r="L4810" s="24"/>
      <c r="M4810" s="22"/>
      <c r="N4810" s="22"/>
      <c r="O4810" s="22"/>
      <c r="P4810" s="202" t="str">
        <f t="shared" si="1471"/>
        <v/>
      </c>
      <c r="Q4810" s="22"/>
      <c r="R4810" s="22"/>
      <c r="S4810" s="22"/>
      <c r="T4810" s="22"/>
      <c r="U4810" s="22"/>
      <c r="V4810" s="22"/>
      <c r="W4810" s="22"/>
      <c r="X4810" s="104"/>
      <c r="Y4810" s="195" t="str">
        <f t="shared" si="1468"/>
        <v/>
      </c>
      <c r="Z4810" s="196" t="str">
        <f t="shared" si="1469"/>
        <v/>
      </c>
      <c r="AA4810" s="22"/>
      <c r="AB4810" s="197" t="str">
        <f t="shared" si="1474"/>
        <v/>
      </c>
      <c r="AC4810" s="198" t="str">
        <f t="shared" si="1475"/>
        <v/>
      </c>
      <c r="AD4810" s="162"/>
      <c r="AE4810" s="199" t="str">
        <f t="shared" si="1476"/>
        <v/>
      </c>
      <c r="AF4810" s="199" t="str">
        <f>IF(AND(COUNTIFS($J$18:J4810,J4810)=1,AE4810=1),1,"")</f>
        <v/>
      </c>
      <c r="AG4810" s="199" t="str">
        <f>IF(C4810="","",IF(AND(COUNTIFS($J$18:J4810,J4810)=1,C4810&lt;&gt;""),1,""))</f>
        <v/>
      </c>
      <c r="AH4810" s="199" t="str">
        <f>IF(G4810="","",IF(AND(COUNTIFS($J$18:J4810,J4810)=1,G4810&lt;&gt;""),1,""))</f>
        <v/>
      </c>
      <c r="AI4810" s="200">
        <f t="shared" si="1477"/>
        <v>0</v>
      </c>
      <c r="AJ4810" s="200">
        <f t="shared" si="1478"/>
        <v>0</v>
      </c>
      <c r="AK4810" s="201" t="str">
        <f t="shared" si="1479"/>
        <v/>
      </c>
      <c r="AL4810" s="24"/>
      <c r="AM4810" s="24"/>
      <c r="AN4810" s="24"/>
      <c r="AO4810" s="24"/>
      <c r="AP4810" s="165" t="str">
        <f t="shared" si="1480"/>
        <v/>
      </c>
      <c r="AQ4810" s="203" t="str">
        <f t="shared" si="1481"/>
        <v/>
      </c>
      <c r="AR4810" s="206">
        <f t="shared" si="1482"/>
        <v>0</v>
      </c>
      <c r="AS4810" s="22" t="str">
        <f t="shared" si="1483"/>
        <v/>
      </c>
      <c r="AT4810" s="24" t="str">
        <f t="shared" si="1484"/>
        <v/>
      </c>
      <c r="AU4810" s="22" t="s">
        <v>3240</v>
      </c>
    </row>
    <row r="4811" spans="1:47">
      <c r="A4811" s="246" t="str">
        <f t="shared" si="1472"/>
        <v/>
      </c>
      <c r="B4811" s="23"/>
      <c r="C4811" s="23"/>
      <c r="D4811" s="202" t="str">
        <f t="shared" si="1473"/>
        <v/>
      </c>
      <c r="E4811" s="33" t="str">
        <f t="shared" si="1467"/>
        <v/>
      </c>
      <c r="F4811" s="23"/>
      <c r="G4811" s="23"/>
      <c r="H4811" s="29"/>
      <c r="I4811" s="204" t="str">
        <f t="shared" si="1470"/>
        <v/>
      </c>
      <c r="J4811" s="188"/>
      <c r="K4811" s="29"/>
      <c r="L4811" s="24"/>
      <c r="M4811" s="22"/>
      <c r="N4811" s="22"/>
      <c r="O4811" s="22"/>
      <c r="P4811" s="202" t="str">
        <f t="shared" si="1471"/>
        <v/>
      </c>
      <c r="Q4811" s="22"/>
      <c r="R4811" s="22"/>
      <c r="S4811" s="22"/>
      <c r="T4811" s="22"/>
      <c r="U4811" s="22"/>
      <c r="V4811" s="22"/>
      <c r="W4811" s="22"/>
      <c r="X4811" s="104"/>
      <c r="Y4811" s="195" t="str">
        <f t="shared" si="1468"/>
        <v/>
      </c>
      <c r="Z4811" s="196" t="str">
        <f t="shared" si="1469"/>
        <v/>
      </c>
      <c r="AA4811" s="22"/>
      <c r="AB4811" s="197" t="str">
        <f t="shared" si="1474"/>
        <v/>
      </c>
      <c r="AC4811" s="198" t="str">
        <f t="shared" si="1475"/>
        <v/>
      </c>
      <c r="AD4811" s="162"/>
      <c r="AE4811" s="199" t="str">
        <f t="shared" si="1476"/>
        <v/>
      </c>
      <c r="AF4811" s="199" t="str">
        <f>IF(AND(COUNTIFS($J$18:J4811,J4811)=1,AE4811=1),1,"")</f>
        <v/>
      </c>
      <c r="AG4811" s="199" t="str">
        <f>IF(C4811="","",IF(AND(COUNTIFS($J$18:J4811,J4811)=1,C4811&lt;&gt;""),1,""))</f>
        <v/>
      </c>
      <c r="AH4811" s="199" t="str">
        <f>IF(G4811="","",IF(AND(COUNTIFS($J$18:J4811,J4811)=1,G4811&lt;&gt;""),1,""))</f>
        <v/>
      </c>
      <c r="AI4811" s="200">
        <f t="shared" si="1477"/>
        <v>0</v>
      </c>
      <c r="AJ4811" s="200">
        <f t="shared" si="1478"/>
        <v>0</v>
      </c>
      <c r="AK4811" s="201" t="str">
        <f t="shared" si="1479"/>
        <v/>
      </c>
      <c r="AL4811" s="24"/>
      <c r="AM4811" s="24"/>
      <c r="AN4811" s="24"/>
      <c r="AO4811" s="24"/>
      <c r="AP4811" s="165" t="str">
        <f t="shared" si="1480"/>
        <v/>
      </c>
      <c r="AQ4811" s="203" t="str">
        <f t="shared" si="1481"/>
        <v/>
      </c>
      <c r="AR4811" s="206">
        <f t="shared" si="1482"/>
        <v>0</v>
      </c>
      <c r="AS4811" s="22" t="str">
        <f t="shared" si="1483"/>
        <v/>
      </c>
      <c r="AT4811" s="24" t="str">
        <f t="shared" si="1484"/>
        <v/>
      </c>
      <c r="AU4811" s="22" t="s">
        <v>3240</v>
      </c>
    </row>
    <row r="4812" spans="1:47">
      <c r="A4812" s="246" t="str">
        <f t="shared" si="1472"/>
        <v/>
      </c>
      <c r="B4812" s="23"/>
      <c r="C4812" s="23"/>
      <c r="D4812" s="202" t="str">
        <f t="shared" si="1473"/>
        <v/>
      </c>
      <c r="E4812" s="33" t="str">
        <f t="shared" si="1467"/>
        <v/>
      </c>
      <c r="F4812" s="23"/>
      <c r="G4812" s="23"/>
      <c r="H4812" s="29"/>
      <c r="I4812" s="204" t="str">
        <f t="shared" si="1470"/>
        <v/>
      </c>
      <c r="J4812" s="188"/>
      <c r="K4812" s="29"/>
      <c r="L4812" s="24"/>
      <c r="M4812" s="22"/>
      <c r="N4812" s="22"/>
      <c r="O4812" s="22"/>
      <c r="P4812" s="202" t="str">
        <f t="shared" si="1471"/>
        <v/>
      </c>
      <c r="Q4812" s="22"/>
      <c r="R4812" s="22"/>
      <c r="S4812" s="22"/>
      <c r="T4812" s="22"/>
      <c r="U4812" s="22"/>
      <c r="V4812" s="22"/>
      <c r="W4812" s="22"/>
      <c r="X4812" s="104"/>
      <c r="Y4812" s="195" t="str">
        <f t="shared" si="1468"/>
        <v/>
      </c>
      <c r="Z4812" s="196" t="str">
        <f t="shared" si="1469"/>
        <v/>
      </c>
      <c r="AA4812" s="22"/>
      <c r="AB4812" s="197" t="str">
        <f t="shared" si="1474"/>
        <v/>
      </c>
      <c r="AC4812" s="198" t="str">
        <f t="shared" si="1475"/>
        <v/>
      </c>
      <c r="AD4812" s="162"/>
      <c r="AE4812" s="199" t="str">
        <f t="shared" si="1476"/>
        <v/>
      </c>
      <c r="AF4812" s="199" t="str">
        <f>IF(AND(COUNTIFS($J$18:J4812,J4812)=1,AE4812=1),1,"")</f>
        <v/>
      </c>
      <c r="AG4812" s="199" t="str">
        <f>IF(C4812="","",IF(AND(COUNTIFS($J$18:J4812,J4812)=1,C4812&lt;&gt;""),1,""))</f>
        <v/>
      </c>
      <c r="AH4812" s="199" t="str">
        <f>IF(G4812="","",IF(AND(COUNTIFS($J$18:J4812,J4812)=1,G4812&lt;&gt;""),1,""))</f>
        <v/>
      </c>
      <c r="AI4812" s="200">
        <f t="shared" si="1477"/>
        <v>0</v>
      </c>
      <c r="AJ4812" s="200">
        <f t="shared" si="1478"/>
        <v>0</v>
      </c>
      <c r="AK4812" s="201" t="str">
        <f t="shared" si="1479"/>
        <v/>
      </c>
      <c r="AL4812" s="24"/>
      <c r="AM4812" s="24"/>
      <c r="AN4812" s="24"/>
      <c r="AO4812" s="24"/>
      <c r="AP4812" s="165" t="str">
        <f t="shared" si="1480"/>
        <v/>
      </c>
      <c r="AQ4812" s="203" t="str">
        <f t="shared" si="1481"/>
        <v/>
      </c>
      <c r="AR4812" s="206">
        <f t="shared" si="1482"/>
        <v>0</v>
      </c>
      <c r="AS4812" s="22" t="str">
        <f t="shared" si="1483"/>
        <v/>
      </c>
      <c r="AT4812" s="24" t="str">
        <f t="shared" si="1484"/>
        <v/>
      </c>
      <c r="AU4812" s="22" t="s">
        <v>3240</v>
      </c>
    </row>
    <row r="4813" spans="1:47">
      <c r="A4813" s="246" t="str">
        <f t="shared" si="1472"/>
        <v/>
      </c>
      <c r="B4813" s="23"/>
      <c r="C4813" s="23"/>
      <c r="D4813" s="202" t="str">
        <f t="shared" si="1473"/>
        <v/>
      </c>
      <c r="E4813" s="33" t="str">
        <f t="shared" si="1467"/>
        <v/>
      </c>
      <c r="F4813" s="23"/>
      <c r="G4813" s="23"/>
      <c r="H4813" s="29"/>
      <c r="I4813" s="204" t="str">
        <f t="shared" si="1470"/>
        <v/>
      </c>
      <c r="J4813" s="188"/>
      <c r="K4813" s="29"/>
      <c r="L4813" s="24"/>
      <c r="M4813" s="22"/>
      <c r="N4813" s="22"/>
      <c r="O4813" s="22"/>
      <c r="P4813" s="202" t="str">
        <f t="shared" si="1471"/>
        <v/>
      </c>
      <c r="Q4813" s="22"/>
      <c r="R4813" s="22"/>
      <c r="S4813" s="22"/>
      <c r="T4813" s="22"/>
      <c r="U4813" s="22"/>
      <c r="V4813" s="22"/>
      <c r="W4813" s="22"/>
      <c r="X4813" s="104"/>
      <c r="Y4813" s="195" t="str">
        <f t="shared" si="1468"/>
        <v/>
      </c>
      <c r="Z4813" s="196" t="str">
        <f t="shared" si="1469"/>
        <v/>
      </c>
      <c r="AA4813" s="22"/>
      <c r="AB4813" s="197" t="str">
        <f t="shared" si="1474"/>
        <v/>
      </c>
      <c r="AC4813" s="198" t="str">
        <f t="shared" si="1475"/>
        <v/>
      </c>
      <c r="AD4813" s="162"/>
      <c r="AE4813" s="199" t="str">
        <f t="shared" si="1476"/>
        <v/>
      </c>
      <c r="AF4813" s="199" t="str">
        <f>IF(AND(COUNTIFS($J$18:J4813,J4813)=1,AE4813=1),1,"")</f>
        <v/>
      </c>
      <c r="AG4813" s="199" t="str">
        <f>IF(C4813="","",IF(AND(COUNTIFS($J$18:J4813,J4813)=1,C4813&lt;&gt;""),1,""))</f>
        <v/>
      </c>
      <c r="AH4813" s="199" t="str">
        <f>IF(G4813="","",IF(AND(COUNTIFS($J$18:J4813,J4813)=1,G4813&lt;&gt;""),1,""))</f>
        <v/>
      </c>
      <c r="AI4813" s="200">
        <f t="shared" si="1477"/>
        <v>0</v>
      </c>
      <c r="AJ4813" s="200">
        <f t="shared" si="1478"/>
        <v>0</v>
      </c>
      <c r="AK4813" s="201" t="str">
        <f t="shared" si="1479"/>
        <v/>
      </c>
      <c r="AL4813" s="24"/>
      <c r="AM4813" s="24"/>
      <c r="AN4813" s="24"/>
      <c r="AO4813" s="24"/>
      <c r="AP4813" s="165" t="str">
        <f t="shared" si="1480"/>
        <v/>
      </c>
      <c r="AQ4813" s="203" t="str">
        <f t="shared" si="1481"/>
        <v/>
      </c>
      <c r="AR4813" s="206">
        <f t="shared" si="1482"/>
        <v>0</v>
      </c>
      <c r="AS4813" s="22" t="str">
        <f t="shared" si="1483"/>
        <v/>
      </c>
      <c r="AT4813" s="24" t="str">
        <f t="shared" si="1484"/>
        <v/>
      </c>
      <c r="AU4813" s="22" t="s">
        <v>3240</v>
      </c>
    </row>
    <row r="4814" spans="1:47">
      <c r="A4814" s="246" t="str">
        <f t="shared" si="1472"/>
        <v/>
      </c>
      <c r="B4814" s="23"/>
      <c r="C4814" s="23"/>
      <c r="D4814" s="202" t="str">
        <f t="shared" si="1473"/>
        <v/>
      </c>
      <c r="E4814" s="33" t="str">
        <f t="shared" si="1467"/>
        <v/>
      </c>
      <c r="F4814" s="23"/>
      <c r="G4814" s="23"/>
      <c r="H4814" s="29"/>
      <c r="I4814" s="204" t="str">
        <f t="shared" si="1470"/>
        <v/>
      </c>
      <c r="J4814" s="188"/>
      <c r="K4814" s="29"/>
      <c r="L4814" s="24"/>
      <c r="M4814" s="22"/>
      <c r="N4814" s="22"/>
      <c r="O4814" s="22"/>
      <c r="P4814" s="202" t="str">
        <f t="shared" si="1471"/>
        <v/>
      </c>
      <c r="Q4814" s="22"/>
      <c r="R4814" s="22"/>
      <c r="S4814" s="22"/>
      <c r="T4814" s="22"/>
      <c r="U4814" s="22"/>
      <c r="V4814" s="22"/>
      <c r="W4814" s="22"/>
      <c r="X4814" s="104"/>
      <c r="Y4814" s="195" t="str">
        <f t="shared" si="1468"/>
        <v/>
      </c>
      <c r="Z4814" s="196" t="str">
        <f t="shared" si="1469"/>
        <v/>
      </c>
      <c r="AA4814" s="22"/>
      <c r="AB4814" s="197" t="str">
        <f t="shared" si="1474"/>
        <v/>
      </c>
      <c r="AC4814" s="198" t="str">
        <f t="shared" si="1475"/>
        <v/>
      </c>
      <c r="AD4814" s="162"/>
      <c r="AE4814" s="199" t="str">
        <f t="shared" si="1476"/>
        <v/>
      </c>
      <c r="AF4814" s="199" t="str">
        <f>IF(AND(COUNTIFS($J$18:J4814,J4814)=1,AE4814=1),1,"")</f>
        <v/>
      </c>
      <c r="AG4814" s="199" t="str">
        <f>IF(C4814="","",IF(AND(COUNTIFS($J$18:J4814,J4814)=1,C4814&lt;&gt;""),1,""))</f>
        <v/>
      </c>
      <c r="AH4814" s="199" t="str">
        <f>IF(G4814="","",IF(AND(COUNTIFS($J$18:J4814,J4814)=1,G4814&lt;&gt;""),1,""))</f>
        <v/>
      </c>
      <c r="AI4814" s="200">
        <f t="shared" si="1477"/>
        <v>0</v>
      </c>
      <c r="AJ4814" s="200">
        <f t="shared" si="1478"/>
        <v>0</v>
      </c>
      <c r="AK4814" s="201" t="str">
        <f t="shared" si="1479"/>
        <v/>
      </c>
      <c r="AL4814" s="24"/>
      <c r="AM4814" s="24"/>
      <c r="AN4814" s="24"/>
      <c r="AO4814" s="24"/>
      <c r="AP4814" s="165" t="str">
        <f t="shared" si="1480"/>
        <v/>
      </c>
      <c r="AQ4814" s="203" t="str">
        <f t="shared" si="1481"/>
        <v/>
      </c>
      <c r="AR4814" s="206">
        <f t="shared" si="1482"/>
        <v>0</v>
      </c>
      <c r="AS4814" s="22" t="str">
        <f t="shared" si="1483"/>
        <v/>
      </c>
      <c r="AT4814" s="24" t="str">
        <f t="shared" si="1484"/>
        <v/>
      </c>
      <c r="AU4814" s="22" t="s">
        <v>3240</v>
      </c>
    </row>
    <row r="4815" spans="1:47">
      <c r="A4815" s="246" t="str">
        <f t="shared" si="1472"/>
        <v/>
      </c>
      <c r="B4815" s="23"/>
      <c r="C4815" s="23"/>
      <c r="D4815" s="202" t="str">
        <f t="shared" si="1473"/>
        <v/>
      </c>
      <c r="E4815" s="33" t="str">
        <f t="shared" si="1467"/>
        <v/>
      </c>
      <c r="F4815" s="23"/>
      <c r="G4815" s="23"/>
      <c r="H4815" s="29"/>
      <c r="I4815" s="204" t="str">
        <f t="shared" si="1470"/>
        <v/>
      </c>
      <c r="J4815" s="188"/>
      <c r="K4815" s="29"/>
      <c r="L4815" s="24"/>
      <c r="M4815" s="22"/>
      <c r="N4815" s="22"/>
      <c r="O4815" s="22"/>
      <c r="P4815" s="202" t="str">
        <f t="shared" si="1471"/>
        <v/>
      </c>
      <c r="Q4815" s="22"/>
      <c r="R4815" s="22"/>
      <c r="S4815" s="22"/>
      <c r="T4815" s="22"/>
      <c r="U4815" s="22"/>
      <c r="V4815" s="22"/>
      <c r="W4815" s="22"/>
      <c r="X4815" s="104"/>
      <c r="Y4815" s="195" t="str">
        <f t="shared" si="1468"/>
        <v/>
      </c>
      <c r="Z4815" s="196" t="str">
        <f t="shared" si="1469"/>
        <v/>
      </c>
      <c r="AA4815" s="22"/>
      <c r="AB4815" s="197" t="str">
        <f t="shared" si="1474"/>
        <v/>
      </c>
      <c r="AC4815" s="198" t="str">
        <f t="shared" si="1475"/>
        <v/>
      </c>
      <c r="AD4815" s="162"/>
      <c r="AE4815" s="199" t="str">
        <f t="shared" si="1476"/>
        <v/>
      </c>
      <c r="AF4815" s="199" t="str">
        <f>IF(AND(COUNTIFS($J$18:J4815,J4815)=1,AE4815=1),1,"")</f>
        <v/>
      </c>
      <c r="AG4815" s="199" t="str">
        <f>IF(C4815="","",IF(AND(COUNTIFS($J$18:J4815,J4815)=1,C4815&lt;&gt;""),1,""))</f>
        <v/>
      </c>
      <c r="AH4815" s="199" t="str">
        <f>IF(G4815="","",IF(AND(COUNTIFS($J$18:J4815,J4815)=1,G4815&lt;&gt;""),1,""))</f>
        <v/>
      </c>
      <c r="AI4815" s="200">
        <f t="shared" si="1477"/>
        <v>0</v>
      </c>
      <c r="AJ4815" s="200">
        <f t="shared" si="1478"/>
        <v>0</v>
      </c>
      <c r="AK4815" s="201" t="str">
        <f t="shared" si="1479"/>
        <v/>
      </c>
      <c r="AL4815" s="24"/>
      <c r="AM4815" s="24"/>
      <c r="AN4815" s="24"/>
      <c r="AO4815" s="24"/>
      <c r="AP4815" s="165" t="str">
        <f t="shared" si="1480"/>
        <v/>
      </c>
      <c r="AQ4815" s="203" t="str">
        <f t="shared" si="1481"/>
        <v/>
      </c>
      <c r="AR4815" s="206">
        <f t="shared" si="1482"/>
        <v>0</v>
      </c>
      <c r="AS4815" s="22" t="str">
        <f t="shared" si="1483"/>
        <v/>
      </c>
      <c r="AT4815" s="24" t="str">
        <f t="shared" si="1484"/>
        <v/>
      </c>
      <c r="AU4815" s="22" t="s">
        <v>3240</v>
      </c>
    </row>
    <row r="4816" spans="1:47">
      <c r="A4816" s="246" t="str">
        <f t="shared" si="1472"/>
        <v/>
      </c>
      <c r="B4816" s="23"/>
      <c r="C4816" s="23"/>
      <c r="D4816" s="202" t="str">
        <f t="shared" si="1473"/>
        <v/>
      </c>
      <c r="E4816" s="33" t="str">
        <f t="shared" si="1467"/>
        <v/>
      </c>
      <c r="F4816" s="23"/>
      <c r="G4816" s="23"/>
      <c r="H4816" s="29"/>
      <c r="I4816" s="204" t="str">
        <f t="shared" si="1470"/>
        <v/>
      </c>
      <c r="J4816" s="188"/>
      <c r="K4816" s="29"/>
      <c r="L4816" s="24"/>
      <c r="M4816" s="22"/>
      <c r="N4816" s="22"/>
      <c r="O4816" s="22"/>
      <c r="P4816" s="202" t="str">
        <f t="shared" si="1471"/>
        <v/>
      </c>
      <c r="Q4816" s="22"/>
      <c r="R4816" s="22"/>
      <c r="S4816" s="22"/>
      <c r="T4816" s="22"/>
      <c r="U4816" s="22"/>
      <c r="V4816" s="22"/>
      <c r="W4816" s="22"/>
      <c r="X4816" s="104"/>
      <c r="Y4816" s="195" t="str">
        <f t="shared" si="1468"/>
        <v/>
      </c>
      <c r="Z4816" s="196" t="str">
        <f t="shared" si="1469"/>
        <v/>
      </c>
      <c r="AA4816" s="22"/>
      <c r="AB4816" s="197" t="str">
        <f t="shared" si="1474"/>
        <v/>
      </c>
      <c r="AC4816" s="198" t="str">
        <f t="shared" si="1475"/>
        <v/>
      </c>
      <c r="AD4816" s="162"/>
      <c r="AE4816" s="199" t="str">
        <f t="shared" si="1476"/>
        <v/>
      </c>
      <c r="AF4816" s="199" t="str">
        <f>IF(AND(COUNTIFS($J$18:J4816,J4816)=1,AE4816=1),1,"")</f>
        <v/>
      </c>
      <c r="AG4816" s="199" t="str">
        <f>IF(C4816="","",IF(AND(COUNTIFS($J$18:J4816,J4816)=1,C4816&lt;&gt;""),1,""))</f>
        <v/>
      </c>
      <c r="AH4816" s="199" t="str">
        <f>IF(G4816="","",IF(AND(COUNTIFS($J$18:J4816,J4816)=1,G4816&lt;&gt;""),1,""))</f>
        <v/>
      </c>
      <c r="AI4816" s="200">
        <f t="shared" si="1477"/>
        <v>0</v>
      </c>
      <c r="AJ4816" s="200">
        <f t="shared" si="1478"/>
        <v>0</v>
      </c>
      <c r="AK4816" s="201" t="str">
        <f t="shared" si="1479"/>
        <v/>
      </c>
      <c r="AL4816" s="24"/>
      <c r="AM4816" s="24"/>
      <c r="AN4816" s="24"/>
      <c r="AO4816" s="24"/>
      <c r="AP4816" s="165" t="str">
        <f t="shared" si="1480"/>
        <v/>
      </c>
      <c r="AQ4816" s="203" t="str">
        <f t="shared" si="1481"/>
        <v/>
      </c>
      <c r="AR4816" s="206">
        <f t="shared" si="1482"/>
        <v>0</v>
      </c>
      <c r="AS4816" s="22" t="str">
        <f t="shared" si="1483"/>
        <v/>
      </c>
      <c r="AT4816" s="24" t="str">
        <f t="shared" si="1484"/>
        <v/>
      </c>
      <c r="AU4816" s="22" t="s">
        <v>3240</v>
      </c>
    </row>
    <row r="4817" spans="1:47">
      <c r="A4817" s="246" t="str">
        <f t="shared" si="1472"/>
        <v/>
      </c>
      <c r="B4817" s="23"/>
      <c r="C4817" s="23"/>
      <c r="D4817" s="202" t="str">
        <f t="shared" si="1473"/>
        <v/>
      </c>
      <c r="E4817" s="33" t="str">
        <f t="shared" si="1467"/>
        <v/>
      </c>
      <c r="F4817" s="23"/>
      <c r="G4817" s="23"/>
      <c r="H4817" s="29"/>
      <c r="I4817" s="204" t="str">
        <f t="shared" si="1470"/>
        <v/>
      </c>
      <c r="J4817" s="188"/>
      <c r="K4817" s="29"/>
      <c r="L4817" s="24"/>
      <c r="M4817" s="22"/>
      <c r="N4817" s="22"/>
      <c r="O4817" s="22"/>
      <c r="P4817" s="202" t="str">
        <f t="shared" si="1471"/>
        <v/>
      </c>
      <c r="Q4817" s="22"/>
      <c r="R4817" s="22"/>
      <c r="S4817" s="22"/>
      <c r="T4817" s="22"/>
      <c r="U4817" s="22"/>
      <c r="V4817" s="22"/>
      <c r="W4817" s="22"/>
      <c r="X4817" s="104"/>
      <c r="Y4817" s="195" t="str">
        <f t="shared" si="1468"/>
        <v/>
      </c>
      <c r="Z4817" s="196" t="str">
        <f t="shared" si="1469"/>
        <v/>
      </c>
      <c r="AA4817" s="22"/>
      <c r="AB4817" s="197" t="str">
        <f t="shared" si="1474"/>
        <v/>
      </c>
      <c r="AC4817" s="198" t="str">
        <f t="shared" si="1475"/>
        <v/>
      </c>
      <c r="AD4817" s="162"/>
      <c r="AE4817" s="199" t="str">
        <f t="shared" si="1476"/>
        <v/>
      </c>
      <c r="AF4817" s="199" t="str">
        <f>IF(AND(COUNTIFS($J$18:J4817,J4817)=1,AE4817=1),1,"")</f>
        <v/>
      </c>
      <c r="AG4817" s="199" t="str">
        <f>IF(C4817="","",IF(AND(COUNTIFS($J$18:J4817,J4817)=1,C4817&lt;&gt;""),1,""))</f>
        <v/>
      </c>
      <c r="AH4817" s="199" t="str">
        <f>IF(G4817="","",IF(AND(COUNTIFS($J$18:J4817,J4817)=1,G4817&lt;&gt;""),1,""))</f>
        <v/>
      </c>
      <c r="AI4817" s="200">
        <f t="shared" si="1477"/>
        <v>0</v>
      </c>
      <c r="AJ4817" s="200">
        <f t="shared" si="1478"/>
        <v>0</v>
      </c>
      <c r="AK4817" s="201" t="str">
        <f t="shared" si="1479"/>
        <v/>
      </c>
      <c r="AL4817" s="24"/>
      <c r="AM4817" s="24"/>
      <c r="AN4817" s="24"/>
      <c r="AO4817" s="24"/>
      <c r="AP4817" s="165" t="str">
        <f t="shared" si="1480"/>
        <v/>
      </c>
      <c r="AQ4817" s="203" t="str">
        <f t="shared" si="1481"/>
        <v/>
      </c>
      <c r="AR4817" s="206">
        <f t="shared" si="1482"/>
        <v>0</v>
      </c>
      <c r="AS4817" s="22" t="str">
        <f t="shared" si="1483"/>
        <v/>
      </c>
      <c r="AT4817" s="24" t="str">
        <f t="shared" si="1484"/>
        <v/>
      </c>
      <c r="AU4817" s="22" t="s">
        <v>3240</v>
      </c>
    </row>
    <row r="4818" spans="1:47">
      <c r="A4818" s="246" t="str">
        <f t="shared" si="1472"/>
        <v/>
      </c>
      <c r="B4818" s="23"/>
      <c r="C4818" s="23"/>
      <c r="D4818" s="202" t="str">
        <f t="shared" si="1473"/>
        <v/>
      </c>
      <c r="E4818" s="33" t="str">
        <f t="shared" si="1467"/>
        <v/>
      </c>
      <c r="F4818" s="23"/>
      <c r="G4818" s="23"/>
      <c r="H4818" s="29"/>
      <c r="I4818" s="204" t="str">
        <f t="shared" si="1470"/>
        <v/>
      </c>
      <c r="J4818" s="188"/>
      <c r="K4818" s="29"/>
      <c r="L4818" s="24"/>
      <c r="M4818" s="22"/>
      <c r="N4818" s="22"/>
      <c r="O4818" s="22"/>
      <c r="P4818" s="202" t="str">
        <f t="shared" si="1471"/>
        <v/>
      </c>
      <c r="Q4818" s="22"/>
      <c r="R4818" s="22"/>
      <c r="S4818" s="22"/>
      <c r="T4818" s="22"/>
      <c r="U4818" s="22"/>
      <c r="V4818" s="22"/>
      <c r="W4818" s="22"/>
      <c r="X4818" s="104"/>
      <c r="Y4818" s="195" t="str">
        <f t="shared" si="1468"/>
        <v/>
      </c>
      <c r="Z4818" s="196" t="str">
        <f t="shared" si="1469"/>
        <v/>
      </c>
      <c r="AA4818" s="22"/>
      <c r="AB4818" s="197" t="str">
        <f t="shared" si="1474"/>
        <v/>
      </c>
      <c r="AC4818" s="198" t="str">
        <f t="shared" si="1475"/>
        <v/>
      </c>
      <c r="AD4818" s="162"/>
      <c r="AE4818" s="199" t="str">
        <f t="shared" si="1476"/>
        <v/>
      </c>
      <c r="AF4818" s="199" t="str">
        <f>IF(AND(COUNTIFS($J$18:J4818,J4818)=1,AE4818=1),1,"")</f>
        <v/>
      </c>
      <c r="AG4818" s="199" t="str">
        <f>IF(C4818="","",IF(AND(COUNTIFS($J$18:J4818,J4818)=1,C4818&lt;&gt;""),1,""))</f>
        <v/>
      </c>
      <c r="AH4818" s="199" t="str">
        <f>IF(G4818="","",IF(AND(COUNTIFS($J$18:J4818,J4818)=1,G4818&lt;&gt;""),1,""))</f>
        <v/>
      </c>
      <c r="AI4818" s="200">
        <f t="shared" si="1477"/>
        <v>0</v>
      </c>
      <c r="AJ4818" s="200">
        <f t="shared" si="1478"/>
        <v>0</v>
      </c>
      <c r="AK4818" s="201" t="str">
        <f t="shared" si="1479"/>
        <v/>
      </c>
      <c r="AL4818" s="24"/>
      <c r="AM4818" s="24"/>
      <c r="AN4818" s="24"/>
      <c r="AO4818" s="24"/>
      <c r="AP4818" s="165" t="str">
        <f t="shared" si="1480"/>
        <v/>
      </c>
      <c r="AQ4818" s="203" t="str">
        <f t="shared" si="1481"/>
        <v/>
      </c>
      <c r="AR4818" s="206">
        <f t="shared" si="1482"/>
        <v>0</v>
      </c>
      <c r="AS4818" s="22" t="str">
        <f t="shared" si="1483"/>
        <v/>
      </c>
      <c r="AT4818" s="24" t="str">
        <f t="shared" si="1484"/>
        <v/>
      </c>
      <c r="AU4818" s="22" t="s">
        <v>3240</v>
      </c>
    </row>
    <row r="4819" spans="1:47">
      <c r="A4819" s="246" t="str">
        <f t="shared" si="1472"/>
        <v/>
      </c>
      <c r="B4819" s="23"/>
      <c r="C4819" s="23"/>
      <c r="D4819" s="202" t="str">
        <f t="shared" si="1473"/>
        <v/>
      </c>
      <c r="E4819" s="33" t="str">
        <f t="shared" si="1467"/>
        <v/>
      </c>
      <c r="F4819" s="23"/>
      <c r="G4819" s="23"/>
      <c r="H4819" s="29"/>
      <c r="I4819" s="204" t="str">
        <f t="shared" si="1470"/>
        <v/>
      </c>
      <c r="J4819" s="188"/>
      <c r="K4819" s="29"/>
      <c r="L4819" s="24"/>
      <c r="M4819" s="22"/>
      <c r="N4819" s="22"/>
      <c r="O4819" s="22"/>
      <c r="P4819" s="202" t="str">
        <f t="shared" si="1471"/>
        <v/>
      </c>
      <c r="Q4819" s="22"/>
      <c r="R4819" s="22"/>
      <c r="S4819" s="22"/>
      <c r="T4819" s="22"/>
      <c r="U4819" s="22"/>
      <c r="V4819" s="22"/>
      <c r="W4819" s="22"/>
      <c r="X4819" s="104"/>
      <c r="Y4819" s="195" t="str">
        <f t="shared" si="1468"/>
        <v/>
      </c>
      <c r="Z4819" s="196" t="str">
        <f t="shared" si="1469"/>
        <v/>
      </c>
      <c r="AA4819" s="22"/>
      <c r="AB4819" s="197" t="str">
        <f t="shared" si="1474"/>
        <v/>
      </c>
      <c r="AC4819" s="198" t="str">
        <f t="shared" si="1475"/>
        <v/>
      </c>
      <c r="AD4819" s="162"/>
      <c r="AE4819" s="199" t="str">
        <f t="shared" si="1476"/>
        <v/>
      </c>
      <c r="AF4819" s="199" t="str">
        <f>IF(AND(COUNTIFS($J$18:J4819,J4819)=1,AE4819=1),1,"")</f>
        <v/>
      </c>
      <c r="AG4819" s="199" t="str">
        <f>IF(C4819="","",IF(AND(COUNTIFS($J$18:J4819,J4819)=1,C4819&lt;&gt;""),1,""))</f>
        <v/>
      </c>
      <c r="AH4819" s="199" t="str">
        <f>IF(G4819="","",IF(AND(COUNTIFS($J$18:J4819,J4819)=1,G4819&lt;&gt;""),1,""))</f>
        <v/>
      </c>
      <c r="AI4819" s="200">
        <f t="shared" si="1477"/>
        <v>0</v>
      </c>
      <c r="AJ4819" s="200">
        <f t="shared" si="1478"/>
        <v>0</v>
      </c>
      <c r="AK4819" s="201" t="str">
        <f t="shared" si="1479"/>
        <v/>
      </c>
      <c r="AL4819" s="24"/>
      <c r="AM4819" s="24"/>
      <c r="AN4819" s="24"/>
      <c r="AO4819" s="24"/>
      <c r="AP4819" s="165" t="str">
        <f t="shared" si="1480"/>
        <v/>
      </c>
      <c r="AQ4819" s="203" t="str">
        <f t="shared" si="1481"/>
        <v/>
      </c>
      <c r="AR4819" s="206">
        <f t="shared" si="1482"/>
        <v>0</v>
      </c>
      <c r="AS4819" s="22" t="str">
        <f t="shared" si="1483"/>
        <v/>
      </c>
      <c r="AT4819" s="24" t="str">
        <f t="shared" si="1484"/>
        <v/>
      </c>
      <c r="AU4819" s="22" t="s">
        <v>3240</v>
      </c>
    </row>
    <row r="4820" spans="1:47">
      <c r="A4820" s="246" t="str">
        <f t="shared" si="1472"/>
        <v/>
      </c>
      <c r="B4820" s="23"/>
      <c r="C4820" s="23"/>
      <c r="D4820" s="202" t="str">
        <f t="shared" si="1473"/>
        <v/>
      </c>
      <c r="E4820" s="33" t="str">
        <f t="shared" si="1467"/>
        <v/>
      </c>
      <c r="F4820" s="23"/>
      <c r="G4820" s="23"/>
      <c r="H4820" s="29"/>
      <c r="I4820" s="204" t="str">
        <f t="shared" si="1470"/>
        <v/>
      </c>
      <c r="J4820" s="188"/>
      <c r="K4820" s="29"/>
      <c r="L4820" s="24"/>
      <c r="M4820" s="22"/>
      <c r="N4820" s="22"/>
      <c r="O4820" s="22"/>
      <c r="P4820" s="202" t="str">
        <f t="shared" si="1471"/>
        <v/>
      </c>
      <c r="Q4820" s="22"/>
      <c r="R4820" s="22"/>
      <c r="S4820" s="22"/>
      <c r="T4820" s="22"/>
      <c r="U4820" s="22"/>
      <c r="V4820" s="22"/>
      <c r="W4820" s="22"/>
      <c r="X4820" s="104"/>
      <c r="Y4820" s="195" t="str">
        <f t="shared" si="1468"/>
        <v/>
      </c>
      <c r="Z4820" s="196" t="str">
        <f t="shared" si="1469"/>
        <v/>
      </c>
      <c r="AA4820" s="22"/>
      <c r="AB4820" s="197" t="str">
        <f t="shared" si="1474"/>
        <v/>
      </c>
      <c r="AC4820" s="198" t="str">
        <f t="shared" si="1475"/>
        <v/>
      </c>
      <c r="AD4820" s="162"/>
      <c r="AE4820" s="199" t="str">
        <f t="shared" si="1476"/>
        <v/>
      </c>
      <c r="AF4820" s="199" t="str">
        <f>IF(AND(COUNTIFS($J$18:J4820,J4820)=1,AE4820=1),1,"")</f>
        <v/>
      </c>
      <c r="AG4820" s="199" t="str">
        <f>IF(C4820="","",IF(AND(COUNTIFS($J$18:J4820,J4820)=1,C4820&lt;&gt;""),1,""))</f>
        <v/>
      </c>
      <c r="AH4820" s="199" t="str">
        <f>IF(G4820="","",IF(AND(COUNTIFS($J$18:J4820,J4820)=1,G4820&lt;&gt;""),1,""))</f>
        <v/>
      </c>
      <c r="AI4820" s="200">
        <f t="shared" si="1477"/>
        <v>0</v>
      </c>
      <c r="AJ4820" s="200">
        <f t="shared" si="1478"/>
        <v>0</v>
      </c>
      <c r="AK4820" s="201" t="str">
        <f t="shared" si="1479"/>
        <v/>
      </c>
      <c r="AL4820" s="24"/>
      <c r="AM4820" s="24"/>
      <c r="AN4820" s="24"/>
      <c r="AO4820" s="24"/>
      <c r="AP4820" s="165" t="str">
        <f t="shared" si="1480"/>
        <v/>
      </c>
      <c r="AQ4820" s="203" t="str">
        <f t="shared" si="1481"/>
        <v/>
      </c>
      <c r="AR4820" s="206">
        <f t="shared" si="1482"/>
        <v>0</v>
      </c>
      <c r="AS4820" s="22" t="str">
        <f t="shared" si="1483"/>
        <v/>
      </c>
      <c r="AT4820" s="24" t="str">
        <f t="shared" si="1484"/>
        <v/>
      </c>
      <c r="AU4820" s="22" t="s">
        <v>3240</v>
      </c>
    </row>
    <row r="4821" spans="1:47">
      <c r="A4821" s="246" t="str">
        <f t="shared" si="1472"/>
        <v/>
      </c>
      <c r="B4821" s="23"/>
      <c r="C4821" s="23"/>
      <c r="D4821" s="202" t="str">
        <f t="shared" si="1473"/>
        <v/>
      </c>
      <c r="E4821" s="33" t="str">
        <f t="shared" si="1467"/>
        <v/>
      </c>
      <c r="F4821" s="23"/>
      <c r="G4821" s="23"/>
      <c r="H4821" s="29"/>
      <c r="I4821" s="204" t="str">
        <f t="shared" si="1470"/>
        <v/>
      </c>
      <c r="J4821" s="188"/>
      <c r="K4821" s="29"/>
      <c r="L4821" s="24"/>
      <c r="M4821" s="22"/>
      <c r="N4821" s="22"/>
      <c r="O4821" s="22"/>
      <c r="P4821" s="202" t="str">
        <f t="shared" si="1471"/>
        <v/>
      </c>
      <c r="Q4821" s="22"/>
      <c r="R4821" s="22"/>
      <c r="S4821" s="22"/>
      <c r="T4821" s="22"/>
      <c r="U4821" s="22"/>
      <c r="V4821" s="22"/>
      <c r="W4821" s="22"/>
      <c r="X4821" s="104"/>
      <c r="Y4821" s="195" t="str">
        <f t="shared" si="1468"/>
        <v/>
      </c>
      <c r="Z4821" s="196" t="str">
        <f t="shared" si="1469"/>
        <v/>
      </c>
      <c r="AA4821" s="22"/>
      <c r="AB4821" s="197" t="str">
        <f t="shared" si="1474"/>
        <v/>
      </c>
      <c r="AC4821" s="198" t="str">
        <f t="shared" si="1475"/>
        <v/>
      </c>
      <c r="AD4821" s="162"/>
      <c r="AE4821" s="199" t="str">
        <f t="shared" si="1476"/>
        <v/>
      </c>
      <c r="AF4821" s="199" t="str">
        <f>IF(AND(COUNTIFS($J$18:J4821,J4821)=1,AE4821=1),1,"")</f>
        <v/>
      </c>
      <c r="AG4821" s="199" t="str">
        <f>IF(C4821="","",IF(AND(COUNTIFS($J$18:J4821,J4821)=1,C4821&lt;&gt;""),1,""))</f>
        <v/>
      </c>
      <c r="AH4821" s="199" t="str">
        <f>IF(G4821="","",IF(AND(COUNTIFS($J$18:J4821,J4821)=1,G4821&lt;&gt;""),1,""))</f>
        <v/>
      </c>
      <c r="AI4821" s="200">
        <f t="shared" si="1477"/>
        <v>0</v>
      </c>
      <c r="AJ4821" s="200">
        <f t="shared" si="1478"/>
        <v>0</v>
      </c>
      <c r="AK4821" s="201" t="str">
        <f t="shared" si="1479"/>
        <v/>
      </c>
      <c r="AL4821" s="24"/>
      <c r="AM4821" s="24"/>
      <c r="AN4821" s="24"/>
      <c r="AO4821" s="24"/>
      <c r="AP4821" s="165" t="str">
        <f t="shared" si="1480"/>
        <v/>
      </c>
      <c r="AQ4821" s="203" t="str">
        <f t="shared" si="1481"/>
        <v/>
      </c>
      <c r="AR4821" s="206">
        <f t="shared" si="1482"/>
        <v>0</v>
      </c>
      <c r="AS4821" s="22" t="str">
        <f t="shared" si="1483"/>
        <v/>
      </c>
      <c r="AT4821" s="24" t="str">
        <f t="shared" si="1484"/>
        <v/>
      </c>
      <c r="AU4821" s="22" t="s">
        <v>3240</v>
      </c>
    </row>
    <row r="4822" spans="1:47">
      <c r="A4822" s="246" t="str">
        <f t="shared" si="1472"/>
        <v/>
      </c>
      <c r="B4822" s="23"/>
      <c r="C4822" s="23"/>
      <c r="D4822" s="202" t="str">
        <f t="shared" si="1473"/>
        <v/>
      </c>
      <c r="E4822" s="33" t="str">
        <f t="shared" si="1467"/>
        <v/>
      </c>
      <c r="F4822" s="23"/>
      <c r="G4822" s="23"/>
      <c r="H4822" s="29"/>
      <c r="I4822" s="204" t="str">
        <f t="shared" si="1470"/>
        <v/>
      </c>
      <c r="J4822" s="188"/>
      <c r="K4822" s="29"/>
      <c r="L4822" s="24"/>
      <c r="M4822" s="22"/>
      <c r="N4822" s="22"/>
      <c r="O4822" s="22"/>
      <c r="P4822" s="202" t="str">
        <f t="shared" si="1471"/>
        <v/>
      </c>
      <c r="Q4822" s="22"/>
      <c r="R4822" s="22"/>
      <c r="S4822" s="22"/>
      <c r="T4822" s="22"/>
      <c r="U4822" s="22"/>
      <c r="V4822" s="22"/>
      <c r="W4822" s="22"/>
      <c r="X4822" s="104"/>
      <c r="Y4822" s="195" t="str">
        <f t="shared" si="1468"/>
        <v/>
      </c>
      <c r="Z4822" s="196" t="str">
        <f t="shared" si="1469"/>
        <v/>
      </c>
      <c r="AA4822" s="22"/>
      <c r="AB4822" s="197" t="str">
        <f t="shared" si="1474"/>
        <v/>
      </c>
      <c r="AC4822" s="198" t="str">
        <f t="shared" si="1475"/>
        <v/>
      </c>
      <c r="AD4822" s="162"/>
      <c r="AE4822" s="199" t="str">
        <f t="shared" si="1476"/>
        <v/>
      </c>
      <c r="AF4822" s="199" t="str">
        <f>IF(AND(COUNTIFS($J$18:J4822,J4822)=1,AE4822=1),1,"")</f>
        <v/>
      </c>
      <c r="AG4822" s="199" t="str">
        <f>IF(C4822="","",IF(AND(COUNTIFS($J$18:J4822,J4822)=1,C4822&lt;&gt;""),1,""))</f>
        <v/>
      </c>
      <c r="AH4822" s="199" t="str">
        <f>IF(G4822="","",IF(AND(COUNTIFS($J$18:J4822,J4822)=1,G4822&lt;&gt;""),1,""))</f>
        <v/>
      </c>
      <c r="AI4822" s="200">
        <f t="shared" si="1477"/>
        <v>0</v>
      </c>
      <c r="AJ4822" s="200">
        <f t="shared" si="1478"/>
        <v>0</v>
      </c>
      <c r="AK4822" s="201" t="str">
        <f t="shared" si="1479"/>
        <v/>
      </c>
      <c r="AL4822" s="24"/>
      <c r="AM4822" s="24"/>
      <c r="AN4822" s="24"/>
      <c r="AO4822" s="24"/>
      <c r="AP4822" s="165" t="str">
        <f t="shared" si="1480"/>
        <v/>
      </c>
      <c r="AQ4822" s="203" t="str">
        <f t="shared" si="1481"/>
        <v/>
      </c>
      <c r="AR4822" s="206">
        <f t="shared" si="1482"/>
        <v>0</v>
      </c>
      <c r="AS4822" s="22" t="str">
        <f t="shared" si="1483"/>
        <v/>
      </c>
      <c r="AT4822" s="24" t="str">
        <f t="shared" si="1484"/>
        <v/>
      </c>
      <c r="AU4822" s="22" t="s">
        <v>3240</v>
      </c>
    </row>
    <row r="4823" spans="1:47">
      <c r="A4823" s="246" t="str">
        <f t="shared" si="1472"/>
        <v/>
      </c>
      <c r="B4823" s="23"/>
      <c r="C4823" s="23"/>
      <c r="D4823" s="202" t="str">
        <f t="shared" si="1473"/>
        <v/>
      </c>
      <c r="E4823" s="33" t="str">
        <f t="shared" si="1467"/>
        <v/>
      </c>
      <c r="F4823" s="23"/>
      <c r="G4823" s="23"/>
      <c r="H4823" s="29"/>
      <c r="I4823" s="204" t="str">
        <f t="shared" si="1470"/>
        <v/>
      </c>
      <c r="J4823" s="188"/>
      <c r="K4823" s="29"/>
      <c r="L4823" s="24"/>
      <c r="M4823" s="22"/>
      <c r="N4823" s="22"/>
      <c r="O4823" s="22"/>
      <c r="P4823" s="202" t="str">
        <f t="shared" si="1471"/>
        <v/>
      </c>
      <c r="Q4823" s="22"/>
      <c r="R4823" s="22"/>
      <c r="S4823" s="22"/>
      <c r="T4823" s="22"/>
      <c r="U4823" s="22"/>
      <c r="V4823" s="22"/>
      <c r="W4823" s="22"/>
      <c r="X4823" s="104"/>
      <c r="Y4823" s="195" t="str">
        <f t="shared" si="1468"/>
        <v/>
      </c>
      <c r="Z4823" s="196" t="str">
        <f t="shared" si="1469"/>
        <v/>
      </c>
      <c r="AA4823" s="22"/>
      <c r="AB4823" s="197" t="str">
        <f t="shared" si="1474"/>
        <v/>
      </c>
      <c r="AC4823" s="198" t="str">
        <f t="shared" si="1475"/>
        <v/>
      </c>
      <c r="AD4823" s="162"/>
      <c r="AE4823" s="199" t="str">
        <f t="shared" si="1476"/>
        <v/>
      </c>
      <c r="AF4823" s="199" t="str">
        <f>IF(AND(COUNTIFS($J$18:J4823,J4823)=1,AE4823=1),1,"")</f>
        <v/>
      </c>
      <c r="AG4823" s="199" t="str">
        <f>IF(C4823="","",IF(AND(COUNTIFS($J$18:J4823,J4823)=1,C4823&lt;&gt;""),1,""))</f>
        <v/>
      </c>
      <c r="AH4823" s="199" t="str">
        <f>IF(G4823="","",IF(AND(COUNTIFS($J$18:J4823,J4823)=1,G4823&lt;&gt;""),1,""))</f>
        <v/>
      </c>
      <c r="AI4823" s="200">
        <f t="shared" si="1477"/>
        <v>0</v>
      </c>
      <c r="AJ4823" s="200">
        <f t="shared" si="1478"/>
        <v>0</v>
      </c>
      <c r="AK4823" s="201" t="str">
        <f t="shared" si="1479"/>
        <v/>
      </c>
      <c r="AL4823" s="24"/>
      <c r="AM4823" s="24"/>
      <c r="AN4823" s="24"/>
      <c r="AO4823" s="24"/>
      <c r="AP4823" s="165" t="str">
        <f t="shared" si="1480"/>
        <v/>
      </c>
      <c r="AQ4823" s="203" t="str">
        <f t="shared" si="1481"/>
        <v/>
      </c>
      <c r="AR4823" s="206">
        <f t="shared" si="1482"/>
        <v>0</v>
      </c>
      <c r="AS4823" s="22" t="str">
        <f t="shared" si="1483"/>
        <v/>
      </c>
      <c r="AT4823" s="24" t="str">
        <f t="shared" si="1484"/>
        <v/>
      </c>
      <c r="AU4823" s="22" t="s">
        <v>3240</v>
      </c>
    </row>
    <row r="4824" spans="1:47">
      <c r="A4824" s="246" t="str">
        <f t="shared" si="1472"/>
        <v/>
      </c>
      <c r="B4824" s="23"/>
      <c r="C4824" s="23"/>
      <c r="D4824" s="202" t="str">
        <f t="shared" si="1473"/>
        <v/>
      </c>
      <c r="E4824" s="33" t="str">
        <f t="shared" ref="E4824:E4887" si="1485">IF(G4824="Cancel","Cancel",IF(G4824="TBA","TBA",IFERROR(IF(I4824="Q4","FY "&amp;RIGHT(F4824,2)-1&amp;"/"&amp;RIGHT(F4824,2),"FY "&amp;RIGHT(F4824,2)&amp;"/"&amp;RIGHT(F4824,2)+1),"")))</f>
        <v/>
      </c>
      <c r="F4824" s="23"/>
      <c r="G4824" s="23"/>
      <c r="H4824" s="29"/>
      <c r="I4824" s="204" t="str">
        <f t="shared" si="1470"/>
        <v/>
      </c>
      <c r="J4824" s="188"/>
      <c r="K4824" s="29"/>
      <c r="L4824" s="24"/>
      <c r="M4824" s="22"/>
      <c r="N4824" s="22"/>
      <c r="O4824" s="22"/>
      <c r="P4824" s="202" t="str">
        <f t="shared" si="1471"/>
        <v/>
      </c>
      <c r="Q4824" s="22"/>
      <c r="R4824" s="22"/>
      <c r="S4824" s="22"/>
      <c r="T4824" s="22"/>
      <c r="U4824" s="22"/>
      <c r="V4824" s="22"/>
      <c r="W4824" s="22"/>
      <c r="X4824" s="104"/>
      <c r="Y4824" s="195" t="str">
        <f t="shared" si="1468"/>
        <v/>
      </c>
      <c r="Z4824" s="196" t="str">
        <f t="shared" si="1469"/>
        <v/>
      </c>
      <c r="AA4824" s="22"/>
      <c r="AB4824" s="197" t="str">
        <f t="shared" si="1474"/>
        <v/>
      </c>
      <c r="AC4824" s="198" t="str">
        <f t="shared" si="1475"/>
        <v/>
      </c>
      <c r="AD4824" s="162"/>
      <c r="AE4824" s="199" t="str">
        <f t="shared" si="1476"/>
        <v/>
      </c>
      <c r="AF4824" s="199" t="str">
        <f>IF(AND(COUNTIFS($J$18:J4824,J4824)=1,AE4824=1),1,"")</f>
        <v/>
      </c>
      <c r="AG4824" s="199" t="str">
        <f>IF(C4824="","",IF(AND(COUNTIFS($J$18:J4824,J4824)=1,C4824&lt;&gt;""),1,""))</f>
        <v/>
      </c>
      <c r="AH4824" s="199" t="str">
        <f>IF(G4824="","",IF(AND(COUNTIFS($J$18:J4824,J4824)=1,G4824&lt;&gt;""),1,""))</f>
        <v/>
      </c>
      <c r="AI4824" s="200">
        <f t="shared" si="1477"/>
        <v>0</v>
      </c>
      <c r="AJ4824" s="200">
        <f t="shared" si="1478"/>
        <v>0</v>
      </c>
      <c r="AK4824" s="201" t="str">
        <f t="shared" si="1479"/>
        <v/>
      </c>
      <c r="AL4824" s="24"/>
      <c r="AM4824" s="24"/>
      <c r="AN4824" s="24"/>
      <c r="AO4824" s="24"/>
      <c r="AP4824" s="165" t="str">
        <f t="shared" si="1480"/>
        <v/>
      </c>
      <c r="AQ4824" s="203" t="str">
        <f t="shared" si="1481"/>
        <v/>
      </c>
      <c r="AR4824" s="206">
        <f t="shared" si="1482"/>
        <v>0</v>
      </c>
      <c r="AS4824" s="22" t="str">
        <f t="shared" si="1483"/>
        <v/>
      </c>
      <c r="AT4824" s="24" t="str">
        <f t="shared" si="1484"/>
        <v/>
      </c>
      <c r="AU4824" s="22" t="s">
        <v>3240</v>
      </c>
    </row>
    <row r="4825" spans="1:47">
      <c r="A4825" s="246" t="str">
        <f t="shared" si="1472"/>
        <v/>
      </c>
      <c r="B4825" s="23"/>
      <c r="C4825" s="23"/>
      <c r="D4825" s="202" t="str">
        <f t="shared" si="1473"/>
        <v/>
      </c>
      <c r="E4825" s="33" t="str">
        <f t="shared" si="1485"/>
        <v/>
      </c>
      <c r="F4825" s="23"/>
      <c r="G4825" s="23"/>
      <c r="H4825" s="29"/>
      <c r="I4825" s="204" t="str">
        <f t="shared" si="1470"/>
        <v/>
      </c>
      <c r="J4825" s="188"/>
      <c r="K4825" s="29"/>
      <c r="L4825" s="24"/>
      <c r="M4825" s="22"/>
      <c r="N4825" s="22"/>
      <c r="O4825" s="22"/>
      <c r="P4825" s="202" t="str">
        <f t="shared" si="1471"/>
        <v/>
      </c>
      <c r="Q4825" s="22"/>
      <c r="R4825" s="22"/>
      <c r="S4825" s="22"/>
      <c r="T4825" s="22"/>
      <c r="U4825" s="22"/>
      <c r="V4825" s="22"/>
      <c r="W4825" s="22"/>
      <c r="X4825" s="104"/>
      <c r="Y4825" s="195" t="str">
        <f t="shared" si="1468"/>
        <v/>
      </c>
      <c r="Z4825" s="196" t="str">
        <f t="shared" si="1469"/>
        <v/>
      </c>
      <c r="AA4825" s="22"/>
      <c r="AB4825" s="197" t="str">
        <f t="shared" si="1474"/>
        <v/>
      </c>
      <c r="AC4825" s="198" t="str">
        <f t="shared" si="1475"/>
        <v/>
      </c>
      <c r="AD4825" s="162"/>
      <c r="AE4825" s="199" t="str">
        <f t="shared" si="1476"/>
        <v/>
      </c>
      <c r="AF4825" s="199" t="str">
        <f>IF(AND(COUNTIFS($J$18:J4825,J4825)=1,AE4825=1),1,"")</f>
        <v/>
      </c>
      <c r="AG4825" s="199" t="str">
        <f>IF(C4825="","",IF(AND(COUNTIFS($J$18:J4825,J4825)=1,C4825&lt;&gt;""),1,""))</f>
        <v/>
      </c>
      <c r="AH4825" s="199" t="str">
        <f>IF(G4825="","",IF(AND(COUNTIFS($J$18:J4825,J4825)=1,G4825&lt;&gt;""),1,""))</f>
        <v/>
      </c>
      <c r="AI4825" s="200">
        <f t="shared" si="1477"/>
        <v>0</v>
      </c>
      <c r="AJ4825" s="200">
        <f t="shared" si="1478"/>
        <v>0</v>
      </c>
      <c r="AK4825" s="201" t="str">
        <f t="shared" si="1479"/>
        <v/>
      </c>
      <c r="AL4825" s="24"/>
      <c r="AM4825" s="24"/>
      <c r="AN4825" s="24"/>
      <c r="AO4825" s="24"/>
      <c r="AP4825" s="165" t="str">
        <f t="shared" si="1480"/>
        <v/>
      </c>
      <c r="AQ4825" s="203" t="str">
        <f t="shared" si="1481"/>
        <v/>
      </c>
      <c r="AR4825" s="206">
        <f t="shared" si="1482"/>
        <v>0</v>
      </c>
      <c r="AS4825" s="22" t="str">
        <f t="shared" si="1483"/>
        <v/>
      </c>
      <c r="AT4825" s="24" t="str">
        <f t="shared" si="1484"/>
        <v/>
      </c>
      <c r="AU4825" s="22" t="s">
        <v>3240</v>
      </c>
    </row>
    <row r="4826" spans="1:47">
      <c r="A4826" s="246" t="str">
        <f t="shared" si="1472"/>
        <v/>
      </c>
      <c r="B4826" s="23"/>
      <c r="C4826" s="23"/>
      <c r="D4826" s="202" t="str">
        <f t="shared" si="1473"/>
        <v/>
      </c>
      <c r="E4826" s="33" t="str">
        <f t="shared" si="1485"/>
        <v/>
      </c>
      <c r="F4826" s="23"/>
      <c r="G4826" s="23"/>
      <c r="H4826" s="29"/>
      <c r="I4826" s="204" t="str">
        <f t="shared" si="1470"/>
        <v/>
      </c>
      <c r="J4826" s="188"/>
      <c r="K4826" s="29"/>
      <c r="L4826" s="24"/>
      <c r="M4826" s="22"/>
      <c r="N4826" s="22"/>
      <c r="O4826" s="22"/>
      <c r="P4826" s="202" t="str">
        <f t="shared" si="1471"/>
        <v/>
      </c>
      <c r="Q4826" s="22"/>
      <c r="R4826" s="22"/>
      <c r="S4826" s="22"/>
      <c r="T4826" s="22"/>
      <c r="U4826" s="22"/>
      <c r="V4826" s="22"/>
      <c r="W4826" s="22"/>
      <c r="X4826" s="104"/>
      <c r="Y4826" s="195" t="str">
        <f t="shared" si="1468"/>
        <v/>
      </c>
      <c r="Z4826" s="196" t="str">
        <f t="shared" si="1469"/>
        <v/>
      </c>
      <c r="AA4826" s="22"/>
      <c r="AB4826" s="197" t="str">
        <f t="shared" si="1474"/>
        <v/>
      </c>
      <c r="AC4826" s="198" t="str">
        <f t="shared" si="1475"/>
        <v/>
      </c>
      <c r="AD4826" s="162"/>
      <c r="AE4826" s="199" t="str">
        <f t="shared" si="1476"/>
        <v/>
      </c>
      <c r="AF4826" s="199" t="str">
        <f>IF(AND(COUNTIFS($J$18:J4826,J4826)=1,AE4826=1),1,"")</f>
        <v/>
      </c>
      <c r="AG4826" s="199" t="str">
        <f>IF(C4826="","",IF(AND(COUNTIFS($J$18:J4826,J4826)=1,C4826&lt;&gt;""),1,""))</f>
        <v/>
      </c>
      <c r="AH4826" s="199" t="str">
        <f>IF(G4826="","",IF(AND(COUNTIFS($J$18:J4826,J4826)=1,G4826&lt;&gt;""),1,""))</f>
        <v/>
      </c>
      <c r="AI4826" s="200">
        <f t="shared" si="1477"/>
        <v>0</v>
      </c>
      <c r="AJ4826" s="200">
        <f t="shared" si="1478"/>
        <v>0</v>
      </c>
      <c r="AK4826" s="201" t="str">
        <f t="shared" si="1479"/>
        <v/>
      </c>
      <c r="AL4826" s="24"/>
      <c r="AM4826" s="24"/>
      <c r="AN4826" s="24"/>
      <c r="AO4826" s="24"/>
      <c r="AP4826" s="165" t="str">
        <f t="shared" si="1480"/>
        <v/>
      </c>
      <c r="AQ4826" s="203" t="str">
        <f t="shared" si="1481"/>
        <v/>
      </c>
      <c r="AR4826" s="206">
        <f t="shared" si="1482"/>
        <v>0</v>
      </c>
      <c r="AS4826" s="22" t="str">
        <f t="shared" si="1483"/>
        <v/>
      </c>
      <c r="AT4826" s="24" t="str">
        <f t="shared" si="1484"/>
        <v/>
      </c>
      <c r="AU4826" s="22" t="s">
        <v>3240</v>
      </c>
    </row>
    <row r="4827" spans="1:47">
      <c r="A4827" s="246" t="str">
        <f t="shared" si="1472"/>
        <v/>
      </c>
      <c r="B4827" s="23"/>
      <c r="C4827" s="23"/>
      <c r="D4827" s="202" t="str">
        <f t="shared" si="1473"/>
        <v/>
      </c>
      <c r="E4827" s="33" t="str">
        <f t="shared" si="1485"/>
        <v/>
      </c>
      <c r="F4827" s="23"/>
      <c r="G4827" s="23"/>
      <c r="H4827" s="29"/>
      <c r="I4827" s="204" t="str">
        <f t="shared" si="1470"/>
        <v/>
      </c>
      <c r="J4827" s="188"/>
      <c r="K4827" s="29"/>
      <c r="L4827" s="24"/>
      <c r="M4827" s="22"/>
      <c r="N4827" s="22"/>
      <c r="O4827" s="22"/>
      <c r="P4827" s="202" t="str">
        <f t="shared" si="1471"/>
        <v/>
      </c>
      <c r="Q4827" s="22"/>
      <c r="R4827" s="22"/>
      <c r="S4827" s="22"/>
      <c r="T4827" s="22"/>
      <c r="U4827" s="22"/>
      <c r="V4827" s="22"/>
      <c r="W4827" s="22"/>
      <c r="X4827" s="104"/>
      <c r="Y4827" s="195" t="str">
        <f t="shared" ref="Y4827:Y4890" si="1486">IF(W4827="","",IF(W4827="RMB","1.13", "1"))</f>
        <v/>
      </c>
      <c r="Z4827" s="196" t="str">
        <f t="shared" ref="Z4827:Z4890" si="1487">IF(X4827="","",X4827*MAX(O4827,N4827))</f>
        <v/>
      </c>
      <c r="AA4827" s="22"/>
      <c r="AB4827" s="197" t="str">
        <f t="shared" si="1474"/>
        <v/>
      </c>
      <c r="AC4827" s="198" t="str">
        <f t="shared" si="1475"/>
        <v/>
      </c>
      <c r="AD4827" s="162"/>
      <c r="AE4827" s="199" t="str">
        <f t="shared" si="1476"/>
        <v/>
      </c>
      <c r="AF4827" s="199" t="str">
        <f>IF(AND(COUNTIFS($J$18:J4827,J4827)=1,AE4827=1),1,"")</f>
        <v/>
      </c>
      <c r="AG4827" s="199" t="str">
        <f>IF(C4827="","",IF(AND(COUNTIFS($J$18:J4827,J4827)=1,C4827&lt;&gt;""),1,""))</f>
        <v/>
      </c>
      <c r="AH4827" s="199" t="str">
        <f>IF(G4827="","",IF(AND(COUNTIFS($J$18:J4827,J4827)=1,G4827&lt;&gt;""),1,""))</f>
        <v/>
      </c>
      <c r="AI4827" s="200">
        <f t="shared" si="1477"/>
        <v>0</v>
      </c>
      <c r="AJ4827" s="200">
        <f t="shared" si="1478"/>
        <v>0</v>
      </c>
      <c r="AK4827" s="201" t="str">
        <f t="shared" si="1479"/>
        <v/>
      </c>
      <c r="AL4827" s="24"/>
      <c r="AM4827" s="24"/>
      <c r="AN4827" s="24"/>
      <c r="AO4827" s="24"/>
      <c r="AP4827" s="165" t="str">
        <f t="shared" si="1480"/>
        <v/>
      </c>
      <c r="AQ4827" s="203" t="str">
        <f t="shared" si="1481"/>
        <v/>
      </c>
      <c r="AR4827" s="206">
        <f t="shared" si="1482"/>
        <v>0</v>
      </c>
      <c r="AS4827" s="22" t="str">
        <f t="shared" si="1483"/>
        <v/>
      </c>
      <c r="AT4827" s="24" t="str">
        <f t="shared" si="1484"/>
        <v/>
      </c>
      <c r="AU4827" s="22" t="s">
        <v>3240</v>
      </c>
    </row>
    <row r="4828" spans="1:47">
      <c r="A4828" s="246" t="str">
        <f t="shared" si="1472"/>
        <v/>
      </c>
      <c r="B4828" s="23"/>
      <c r="C4828" s="23"/>
      <c r="D4828" s="202" t="str">
        <f t="shared" si="1473"/>
        <v/>
      </c>
      <c r="E4828" s="33" t="str">
        <f t="shared" si="1485"/>
        <v/>
      </c>
      <c r="F4828" s="23"/>
      <c r="G4828" s="23"/>
      <c r="H4828" s="29"/>
      <c r="I4828" s="204" t="str">
        <f t="shared" si="1470"/>
        <v/>
      </c>
      <c r="J4828" s="188"/>
      <c r="K4828" s="29"/>
      <c r="L4828" s="24"/>
      <c r="M4828" s="22"/>
      <c r="N4828" s="22"/>
      <c r="O4828" s="22"/>
      <c r="P4828" s="202" t="str">
        <f t="shared" si="1471"/>
        <v/>
      </c>
      <c r="Q4828" s="22"/>
      <c r="R4828" s="22"/>
      <c r="S4828" s="22"/>
      <c r="T4828" s="22"/>
      <c r="U4828" s="22"/>
      <c r="V4828" s="22"/>
      <c r="W4828" s="22"/>
      <c r="X4828" s="104"/>
      <c r="Y4828" s="195" t="str">
        <f t="shared" si="1486"/>
        <v/>
      </c>
      <c r="Z4828" s="196" t="str">
        <f t="shared" si="1487"/>
        <v/>
      </c>
      <c r="AA4828" s="22"/>
      <c r="AB4828" s="197" t="str">
        <f t="shared" si="1474"/>
        <v/>
      </c>
      <c r="AC4828" s="198" t="str">
        <f t="shared" si="1475"/>
        <v/>
      </c>
      <c r="AD4828" s="162"/>
      <c r="AE4828" s="199" t="str">
        <f t="shared" si="1476"/>
        <v/>
      </c>
      <c r="AF4828" s="199" t="str">
        <f>IF(AND(COUNTIFS($J$18:J4828,J4828)=1,AE4828=1),1,"")</f>
        <v/>
      </c>
      <c r="AG4828" s="199" t="str">
        <f>IF(C4828="","",IF(AND(COUNTIFS($J$18:J4828,J4828)=1,C4828&lt;&gt;""),1,""))</f>
        <v/>
      </c>
      <c r="AH4828" s="199" t="str">
        <f>IF(G4828="","",IF(AND(COUNTIFS($J$18:J4828,J4828)=1,G4828&lt;&gt;""),1,""))</f>
        <v/>
      </c>
      <c r="AI4828" s="200">
        <f t="shared" si="1477"/>
        <v>0</v>
      </c>
      <c r="AJ4828" s="200">
        <f t="shared" si="1478"/>
        <v>0</v>
      </c>
      <c r="AK4828" s="201" t="str">
        <f t="shared" si="1479"/>
        <v/>
      </c>
      <c r="AL4828" s="24"/>
      <c r="AM4828" s="24"/>
      <c r="AN4828" s="24"/>
      <c r="AO4828" s="24"/>
      <c r="AP4828" s="165" t="str">
        <f t="shared" si="1480"/>
        <v/>
      </c>
      <c r="AQ4828" s="203" t="str">
        <f t="shared" si="1481"/>
        <v/>
      </c>
      <c r="AR4828" s="206">
        <f t="shared" si="1482"/>
        <v>0</v>
      </c>
      <c r="AS4828" s="22" t="str">
        <f t="shared" si="1483"/>
        <v/>
      </c>
      <c r="AT4828" s="24" t="str">
        <f t="shared" si="1484"/>
        <v/>
      </c>
      <c r="AU4828" s="22" t="s">
        <v>3240</v>
      </c>
    </row>
    <row r="4829" spans="1:47">
      <c r="A4829" s="246" t="str">
        <f t="shared" si="1472"/>
        <v/>
      </c>
      <c r="B4829" s="23"/>
      <c r="C4829" s="23"/>
      <c r="D4829" s="202" t="str">
        <f t="shared" si="1473"/>
        <v/>
      </c>
      <c r="E4829" s="33" t="str">
        <f t="shared" si="1485"/>
        <v/>
      </c>
      <c r="F4829" s="23"/>
      <c r="G4829" s="23"/>
      <c r="H4829" s="29"/>
      <c r="I4829" s="204" t="str">
        <f t="shared" si="1470"/>
        <v/>
      </c>
      <c r="J4829" s="188"/>
      <c r="K4829" s="29"/>
      <c r="L4829" s="24"/>
      <c r="M4829" s="22"/>
      <c r="N4829" s="22"/>
      <c r="O4829" s="22"/>
      <c r="P4829" s="202" t="str">
        <f t="shared" si="1471"/>
        <v/>
      </c>
      <c r="Q4829" s="22"/>
      <c r="R4829" s="22"/>
      <c r="S4829" s="22"/>
      <c r="T4829" s="22"/>
      <c r="U4829" s="22"/>
      <c r="V4829" s="22"/>
      <c r="W4829" s="22"/>
      <c r="X4829" s="104"/>
      <c r="Y4829" s="195" t="str">
        <f t="shared" si="1486"/>
        <v/>
      </c>
      <c r="Z4829" s="196" t="str">
        <f t="shared" si="1487"/>
        <v/>
      </c>
      <c r="AA4829" s="22"/>
      <c r="AB4829" s="197" t="str">
        <f t="shared" si="1474"/>
        <v/>
      </c>
      <c r="AC4829" s="198" t="str">
        <f t="shared" si="1475"/>
        <v/>
      </c>
      <c r="AD4829" s="162"/>
      <c r="AE4829" s="199" t="str">
        <f t="shared" si="1476"/>
        <v/>
      </c>
      <c r="AF4829" s="199" t="str">
        <f>IF(AND(COUNTIFS($J$18:J4829,J4829)=1,AE4829=1),1,"")</f>
        <v/>
      </c>
      <c r="AG4829" s="199" t="str">
        <f>IF(C4829="","",IF(AND(COUNTIFS($J$18:J4829,J4829)=1,C4829&lt;&gt;""),1,""))</f>
        <v/>
      </c>
      <c r="AH4829" s="199" t="str">
        <f>IF(G4829="","",IF(AND(COUNTIFS($J$18:J4829,J4829)=1,G4829&lt;&gt;""),1,""))</f>
        <v/>
      </c>
      <c r="AI4829" s="200">
        <f t="shared" si="1477"/>
        <v>0</v>
      </c>
      <c r="AJ4829" s="200">
        <f t="shared" si="1478"/>
        <v>0</v>
      </c>
      <c r="AK4829" s="201" t="str">
        <f t="shared" si="1479"/>
        <v/>
      </c>
      <c r="AL4829" s="24"/>
      <c r="AM4829" s="24"/>
      <c r="AN4829" s="24"/>
      <c r="AO4829" s="24"/>
      <c r="AP4829" s="165" t="str">
        <f t="shared" si="1480"/>
        <v/>
      </c>
      <c r="AQ4829" s="203" t="str">
        <f t="shared" si="1481"/>
        <v/>
      </c>
      <c r="AR4829" s="206">
        <f t="shared" si="1482"/>
        <v>0</v>
      </c>
      <c r="AS4829" s="22" t="str">
        <f t="shared" si="1483"/>
        <v/>
      </c>
      <c r="AT4829" s="24" t="str">
        <f t="shared" si="1484"/>
        <v/>
      </c>
      <c r="AU4829" s="22" t="s">
        <v>3240</v>
      </c>
    </row>
    <row r="4830" spans="1:47">
      <c r="A4830" s="246" t="str">
        <f t="shared" si="1472"/>
        <v/>
      </c>
      <c r="B4830" s="23"/>
      <c r="C4830" s="23"/>
      <c r="D4830" s="202" t="str">
        <f t="shared" si="1473"/>
        <v/>
      </c>
      <c r="E4830" s="33" t="str">
        <f t="shared" si="1485"/>
        <v/>
      </c>
      <c r="F4830" s="23"/>
      <c r="G4830" s="23"/>
      <c r="H4830" s="29"/>
      <c r="I4830" s="204" t="str">
        <f t="shared" si="1470"/>
        <v/>
      </c>
      <c r="J4830" s="188"/>
      <c r="K4830" s="29"/>
      <c r="L4830" s="24"/>
      <c r="M4830" s="22"/>
      <c r="N4830" s="22"/>
      <c r="O4830" s="22"/>
      <c r="P4830" s="202" t="str">
        <f t="shared" si="1471"/>
        <v/>
      </c>
      <c r="Q4830" s="22"/>
      <c r="R4830" s="22"/>
      <c r="S4830" s="22"/>
      <c r="T4830" s="22"/>
      <c r="U4830" s="22"/>
      <c r="V4830" s="22"/>
      <c r="W4830" s="22"/>
      <c r="X4830" s="104"/>
      <c r="Y4830" s="195" t="str">
        <f t="shared" si="1486"/>
        <v/>
      </c>
      <c r="Z4830" s="196" t="str">
        <f t="shared" si="1487"/>
        <v/>
      </c>
      <c r="AA4830" s="22"/>
      <c r="AB4830" s="197" t="str">
        <f t="shared" si="1474"/>
        <v/>
      </c>
      <c r="AC4830" s="198" t="str">
        <f t="shared" si="1475"/>
        <v/>
      </c>
      <c r="AD4830" s="162"/>
      <c r="AE4830" s="199" t="str">
        <f t="shared" si="1476"/>
        <v/>
      </c>
      <c r="AF4830" s="199" t="str">
        <f>IF(AND(COUNTIFS($J$18:J4830,J4830)=1,AE4830=1),1,"")</f>
        <v/>
      </c>
      <c r="AG4830" s="199" t="str">
        <f>IF(C4830="","",IF(AND(COUNTIFS($J$18:J4830,J4830)=1,C4830&lt;&gt;""),1,""))</f>
        <v/>
      </c>
      <c r="AH4830" s="199" t="str">
        <f>IF(G4830="","",IF(AND(COUNTIFS($J$18:J4830,J4830)=1,G4830&lt;&gt;""),1,""))</f>
        <v/>
      </c>
      <c r="AI4830" s="200">
        <f t="shared" si="1477"/>
        <v>0</v>
      </c>
      <c r="AJ4830" s="200">
        <f t="shared" si="1478"/>
        <v>0</v>
      </c>
      <c r="AK4830" s="201" t="str">
        <f t="shared" si="1479"/>
        <v/>
      </c>
      <c r="AL4830" s="24"/>
      <c r="AM4830" s="24"/>
      <c r="AN4830" s="24"/>
      <c r="AO4830" s="24"/>
      <c r="AP4830" s="165" t="str">
        <f t="shared" si="1480"/>
        <v/>
      </c>
      <c r="AQ4830" s="203" t="str">
        <f t="shared" si="1481"/>
        <v/>
      </c>
      <c r="AR4830" s="206">
        <f t="shared" si="1482"/>
        <v>0</v>
      </c>
      <c r="AS4830" s="22" t="str">
        <f t="shared" si="1483"/>
        <v/>
      </c>
      <c r="AT4830" s="24" t="str">
        <f t="shared" si="1484"/>
        <v/>
      </c>
      <c r="AU4830" s="22" t="s">
        <v>3240</v>
      </c>
    </row>
    <row r="4831" spans="1:47">
      <c r="A4831" s="246" t="str">
        <f t="shared" si="1472"/>
        <v/>
      </c>
      <c r="B4831" s="23"/>
      <c r="C4831" s="23"/>
      <c r="D4831" s="202" t="str">
        <f t="shared" si="1473"/>
        <v/>
      </c>
      <c r="E4831" s="33" t="str">
        <f t="shared" si="1485"/>
        <v/>
      </c>
      <c r="F4831" s="23"/>
      <c r="G4831" s="23"/>
      <c r="H4831" s="29"/>
      <c r="I4831" s="204" t="str">
        <f t="shared" si="1470"/>
        <v/>
      </c>
      <c r="J4831" s="188"/>
      <c r="K4831" s="29"/>
      <c r="L4831" s="24"/>
      <c r="M4831" s="22"/>
      <c r="N4831" s="22"/>
      <c r="O4831" s="22"/>
      <c r="P4831" s="202" t="str">
        <f t="shared" si="1471"/>
        <v/>
      </c>
      <c r="Q4831" s="22"/>
      <c r="R4831" s="22"/>
      <c r="S4831" s="22"/>
      <c r="T4831" s="22"/>
      <c r="U4831" s="22"/>
      <c r="V4831" s="22"/>
      <c r="W4831" s="22"/>
      <c r="X4831" s="104"/>
      <c r="Y4831" s="195" t="str">
        <f t="shared" si="1486"/>
        <v/>
      </c>
      <c r="Z4831" s="196" t="str">
        <f t="shared" si="1487"/>
        <v/>
      </c>
      <c r="AA4831" s="22"/>
      <c r="AB4831" s="197" t="str">
        <f t="shared" si="1474"/>
        <v/>
      </c>
      <c r="AC4831" s="198" t="str">
        <f t="shared" si="1475"/>
        <v/>
      </c>
      <c r="AD4831" s="162"/>
      <c r="AE4831" s="199" t="str">
        <f t="shared" si="1476"/>
        <v/>
      </c>
      <c r="AF4831" s="199" t="str">
        <f>IF(AND(COUNTIFS($J$18:J4831,J4831)=1,AE4831=1),1,"")</f>
        <v/>
      </c>
      <c r="AG4831" s="199" t="str">
        <f>IF(C4831="","",IF(AND(COUNTIFS($J$18:J4831,J4831)=1,C4831&lt;&gt;""),1,""))</f>
        <v/>
      </c>
      <c r="AH4831" s="199" t="str">
        <f>IF(G4831="","",IF(AND(COUNTIFS($J$18:J4831,J4831)=1,G4831&lt;&gt;""),1,""))</f>
        <v/>
      </c>
      <c r="AI4831" s="200">
        <f t="shared" si="1477"/>
        <v>0</v>
      </c>
      <c r="AJ4831" s="200">
        <f t="shared" si="1478"/>
        <v>0</v>
      </c>
      <c r="AK4831" s="201" t="str">
        <f t="shared" si="1479"/>
        <v/>
      </c>
      <c r="AL4831" s="24"/>
      <c r="AM4831" s="24"/>
      <c r="AN4831" s="24"/>
      <c r="AO4831" s="24"/>
      <c r="AP4831" s="165" t="str">
        <f t="shared" si="1480"/>
        <v/>
      </c>
      <c r="AQ4831" s="203" t="str">
        <f t="shared" si="1481"/>
        <v/>
      </c>
      <c r="AR4831" s="206">
        <f t="shared" si="1482"/>
        <v>0</v>
      </c>
      <c r="AS4831" s="22" t="str">
        <f t="shared" si="1483"/>
        <v/>
      </c>
      <c r="AT4831" s="24" t="str">
        <f t="shared" si="1484"/>
        <v/>
      </c>
      <c r="AU4831" s="22" t="s">
        <v>3240</v>
      </c>
    </row>
    <row r="4832" spans="1:47">
      <c r="A4832" s="246" t="str">
        <f t="shared" si="1472"/>
        <v/>
      </c>
      <c r="B4832" s="23"/>
      <c r="C4832" s="23"/>
      <c r="D4832" s="202" t="str">
        <f t="shared" si="1473"/>
        <v/>
      </c>
      <c r="E4832" s="33" t="str">
        <f t="shared" si="1485"/>
        <v/>
      </c>
      <c r="F4832" s="23"/>
      <c r="G4832" s="23"/>
      <c r="H4832" s="29"/>
      <c r="I4832" s="204" t="str">
        <f t="shared" ref="I4832:I4895" si="1488">IFERROR(IF(F4832="","",IF(F4832="TBA","TBA",IF(F4832="Cancel","Cancel",IF(AND(G4832&gt;=10,G4832&lt;=12),"Q3",IF(AND(G4832&gt;=1,G4832&lt;=3),"Q4",IF(AND(G4832&gt;=7,G4832&lt;=9),"Q2",IF(AND(G4832&gt;=4,G4832&lt;=6),"Q1"))))))),"")</f>
        <v/>
      </c>
      <c r="J4832" s="188"/>
      <c r="K4832" s="29"/>
      <c r="L4832" s="24"/>
      <c r="M4832" s="22"/>
      <c r="N4832" s="22"/>
      <c r="O4832" s="22"/>
      <c r="P4832" s="202" t="str">
        <f t="shared" si="1471"/>
        <v/>
      </c>
      <c r="Q4832" s="22"/>
      <c r="R4832" s="22"/>
      <c r="S4832" s="22"/>
      <c r="T4832" s="22"/>
      <c r="U4832" s="22"/>
      <c r="V4832" s="22"/>
      <c r="W4832" s="22"/>
      <c r="X4832" s="104"/>
      <c r="Y4832" s="195" t="str">
        <f t="shared" si="1486"/>
        <v/>
      </c>
      <c r="Z4832" s="196" t="str">
        <f t="shared" si="1487"/>
        <v/>
      </c>
      <c r="AA4832" s="22"/>
      <c r="AB4832" s="197" t="str">
        <f t="shared" si="1474"/>
        <v/>
      </c>
      <c r="AC4832" s="198" t="str">
        <f t="shared" si="1475"/>
        <v/>
      </c>
      <c r="AD4832" s="162"/>
      <c r="AE4832" s="199" t="str">
        <f t="shared" si="1476"/>
        <v/>
      </c>
      <c r="AF4832" s="199" t="str">
        <f>IF(AND(COUNTIFS($J$18:J4832,J4832)=1,AE4832=1),1,"")</f>
        <v/>
      </c>
      <c r="AG4832" s="199" t="str">
        <f>IF(C4832="","",IF(AND(COUNTIFS($J$18:J4832,J4832)=1,C4832&lt;&gt;""),1,""))</f>
        <v/>
      </c>
      <c r="AH4832" s="199" t="str">
        <f>IF(G4832="","",IF(AND(COUNTIFS($J$18:J4832,J4832)=1,G4832&lt;&gt;""),1,""))</f>
        <v/>
      </c>
      <c r="AI4832" s="200">
        <f t="shared" si="1477"/>
        <v>0</v>
      </c>
      <c r="AJ4832" s="200">
        <f t="shared" si="1478"/>
        <v>0</v>
      </c>
      <c r="AK4832" s="201" t="str">
        <f t="shared" si="1479"/>
        <v/>
      </c>
      <c r="AL4832" s="24"/>
      <c r="AM4832" s="24"/>
      <c r="AN4832" s="24"/>
      <c r="AO4832" s="24"/>
      <c r="AP4832" s="165" t="str">
        <f t="shared" si="1480"/>
        <v/>
      </c>
      <c r="AQ4832" s="203" t="str">
        <f t="shared" si="1481"/>
        <v/>
      </c>
      <c r="AR4832" s="206">
        <f t="shared" si="1482"/>
        <v>0</v>
      </c>
      <c r="AS4832" s="22" t="str">
        <f t="shared" si="1483"/>
        <v/>
      </c>
      <c r="AT4832" s="24" t="str">
        <f t="shared" si="1484"/>
        <v/>
      </c>
      <c r="AU4832" s="22" t="s">
        <v>3240</v>
      </c>
    </row>
    <row r="4833" spans="1:47">
      <c r="A4833" s="246" t="str">
        <f t="shared" si="1472"/>
        <v/>
      </c>
      <c r="B4833" s="23"/>
      <c r="C4833" s="23"/>
      <c r="D4833" s="202" t="str">
        <f t="shared" si="1473"/>
        <v/>
      </c>
      <c r="E4833" s="33" t="str">
        <f t="shared" si="1485"/>
        <v/>
      </c>
      <c r="F4833" s="23"/>
      <c r="G4833" s="23"/>
      <c r="H4833" s="29"/>
      <c r="I4833" s="204" t="str">
        <f t="shared" si="1488"/>
        <v/>
      </c>
      <c r="J4833" s="188"/>
      <c r="K4833" s="29"/>
      <c r="L4833" s="24"/>
      <c r="M4833" s="22"/>
      <c r="N4833" s="22"/>
      <c r="O4833" s="22"/>
      <c r="P4833" s="202" t="str">
        <f t="shared" ref="P4833:P4896" si="1489">IF(M4833="","",IF(AND(N4833&gt;0,L4833&lt;&gt;""),"MAIN UNIT",IF(AND(O4833&gt;0,L4833&lt;&gt;""),"SERVICE/ PARTS","C66 SERVICE/OTHERS")))</f>
        <v/>
      </c>
      <c r="Q4833" s="22"/>
      <c r="R4833" s="22"/>
      <c r="S4833" s="22"/>
      <c r="T4833" s="22"/>
      <c r="U4833" s="22"/>
      <c r="V4833" s="22"/>
      <c r="W4833" s="22"/>
      <c r="X4833" s="104"/>
      <c r="Y4833" s="195" t="str">
        <f t="shared" si="1486"/>
        <v/>
      </c>
      <c r="Z4833" s="196" t="str">
        <f t="shared" si="1487"/>
        <v/>
      </c>
      <c r="AA4833" s="22"/>
      <c r="AB4833" s="197" t="str">
        <f t="shared" si="1474"/>
        <v/>
      </c>
      <c r="AC4833" s="198" t="str">
        <f t="shared" si="1475"/>
        <v/>
      </c>
      <c r="AD4833" s="162"/>
      <c r="AE4833" s="199" t="str">
        <f t="shared" si="1476"/>
        <v/>
      </c>
      <c r="AF4833" s="199" t="str">
        <f>IF(AND(COUNTIFS($J$18:J4833,J4833)=1,AE4833=1),1,"")</f>
        <v/>
      </c>
      <c r="AG4833" s="199" t="str">
        <f>IF(C4833="","",IF(AND(COUNTIFS($J$18:J4833,J4833)=1,C4833&lt;&gt;""),1,""))</f>
        <v/>
      </c>
      <c r="AH4833" s="199" t="str">
        <f>IF(G4833="","",IF(AND(COUNTIFS($J$18:J4833,J4833)=1,G4833&lt;&gt;""),1,""))</f>
        <v/>
      </c>
      <c r="AI4833" s="200">
        <f t="shared" si="1477"/>
        <v>0</v>
      </c>
      <c r="AJ4833" s="200">
        <f t="shared" si="1478"/>
        <v>0</v>
      </c>
      <c r="AK4833" s="201" t="str">
        <f t="shared" si="1479"/>
        <v/>
      </c>
      <c r="AL4833" s="24"/>
      <c r="AM4833" s="24"/>
      <c r="AN4833" s="24"/>
      <c r="AO4833" s="24"/>
      <c r="AP4833" s="165" t="str">
        <f t="shared" si="1480"/>
        <v/>
      </c>
      <c r="AQ4833" s="203" t="str">
        <f t="shared" si="1481"/>
        <v/>
      </c>
      <c r="AR4833" s="206">
        <f t="shared" si="1482"/>
        <v>0</v>
      </c>
      <c r="AS4833" s="22" t="str">
        <f t="shared" si="1483"/>
        <v/>
      </c>
      <c r="AT4833" s="24" t="str">
        <f t="shared" si="1484"/>
        <v/>
      </c>
      <c r="AU4833" s="22" t="s">
        <v>3240</v>
      </c>
    </row>
    <row r="4834" spans="1:47">
      <c r="A4834" s="246" t="str">
        <f t="shared" ref="A4834:A4897" si="1490">IF(C4834="cancel","cancel",IFERROR(IF(D4834="Q4","FY "&amp;RIGHT(B4834,2)-1&amp;"/"&amp;RIGHT(B4834,2),"FY "&amp;RIGHT(B4834,2)&amp;"/"&amp;RIGHT(B4834,2)+1),""))</f>
        <v/>
      </c>
      <c r="B4834" s="23"/>
      <c r="C4834" s="23"/>
      <c r="D4834" s="202" t="str">
        <f t="shared" ref="D4834:D4897" si="1491">IF(B4834="","",IF(AND(C4834&gt;=10,C4834&lt;=12),"Q3",IF(AND(C4834&gt;=1,C4834&lt;=3),"Q4",IF(AND(C4834&gt;=7,C4834&lt;=9),"Q2",IF(AND(C4834&gt;=4,C4834&lt;=6),"Q1")))))</f>
        <v/>
      </c>
      <c r="E4834" s="33" t="str">
        <f t="shared" si="1485"/>
        <v/>
      </c>
      <c r="F4834" s="23"/>
      <c r="G4834" s="23"/>
      <c r="H4834" s="29"/>
      <c r="I4834" s="204" t="str">
        <f t="shared" si="1488"/>
        <v/>
      </c>
      <c r="J4834" s="188"/>
      <c r="K4834" s="29"/>
      <c r="L4834" s="24"/>
      <c r="M4834" s="22"/>
      <c r="N4834" s="22"/>
      <c r="O4834" s="22"/>
      <c r="P4834" s="202" t="str">
        <f t="shared" si="1489"/>
        <v/>
      </c>
      <c r="Q4834" s="22"/>
      <c r="R4834" s="22"/>
      <c r="S4834" s="22"/>
      <c r="T4834" s="22"/>
      <c r="U4834" s="22"/>
      <c r="V4834" s="22"/>
      <c r="W4834" s="22"/>
      <c r="X4834" s="104"/>
      <c r="Y4834" s="195" t="str">
        <f t="shared" si="1486"/>
        <v/>
      </c>
      <c r="Z4834" s="196" t="str">
        <f t="shared" si="1487"/>
        <v/>
      </c>
      <c r="AA4834" s="22"/>
      <c r="AB4834" s="197" t="str">
        <f t="shared" ref="AB4834:AB4897" si="1492">IF(AND(R4834&lt;&gt;"C66",R4834&lt;&gt;""),Z4834/Y4834*AA4834,"")</f>
        <v/>
      </c>
      <c r="AC4834" s="198" t="str">
        <f t="shared" ref="AC4834:AC4897" si="1493">IF(R4834&lt;&gt;"",AB4834*AD4834,"")</f>
        <v/>
      </c>
      <c r="AD4834" s="162"/>
      <c r="AE4834" s="199" t="str">
        <f t="shared" ref="AE4834:AE4897" si="1494">IF(Q4834="","",IF(Q4834="Yes",1,0))</f>
        <v/>
      </c>
      <c r="AF4834" s="199" t="str">
        <f>IF(AND(COUNTIFS($J$18:J4834,J4834)=1,AE4834=1),1,"")</f>
        <v/>
      </c>
      <c r="AG4834" s="199" t="str">
        <f>IF(C4834="","",IF(AND(COUNTIFS($J$18:J4834,J4834)=1,C4834&lt;&gt;""),1,""))</f>
        <v/>
      </c>
      <c r="AH4834" s="199" t="str">
        <f>IF(G4834="","",IF(AND(COUNTIFS($J$18:J4834,J4834)=1,G4834&lt;&gt;""),1,""))</f>
        <v/>
      </c>
      <c r="AI4834" s="200">
        <f t="shared" ref="AI4834:AI4897" si="1495">IF(P4834="C66 SERVICE","",SUMIFS(AB:AB,F:F,F4834,G:G,G4834,E:E,E4834))</f>
        <v>0</v>
      </c>
      <c r="AJ4834" s="200">
        <f t="shared" ref="AJ4834:AJ4897" si="1496">IF(P4834="C66 SERVICE","",SUMIFS(AC:AC,F:F,F4834,G:G,G4834,E:E,E4834))</f>
        <v>0</v>
      </c>
      <c r="AK4834" s="201" t="str">
        <f t="shared" ref="AK4834:AK4897" si="1497">IF(AJ4834&gt;0,AJ4834/AI4834,"")</f>
        <v/>
      </c>
      <c r="AL4834" s="24"/>
      <c r="AM4834" s="24"/>
      <c r="AN4834" s="24"/>
      <c r="AO4834" s="24"/>
      <c r="AP4834" s="165" t="str">
        <f t="shared" ref="AP4834:AP4897" si="1498">IF(F4834="","",F4834&amp;G4834)</f>
        <v/>
      </c>
      <c r="AQ4834" s="203" t="str">
        <f t="shared" ref="AQ4834:AQ4897" si="1499">IF(W4834="","",F4834&amp;G4834&amp;W4834)</f>
        <v/>
      </c>
      <c r="AR4834" s="206">
        <f t="shared" ref="AR4834:AR4897" si="1500">IFERROR(IF(AND(M4834="YAMAHA", R4834="C28"), "YAMAHA_Non_Mounter", IF(AND(M4834="YAMAHA", R4834="C49"), "YAMAHA_Mounter", M4834)),"")</f>
        <v>0</v>
      </c>
      <c r="AS4834" s="22" t="str">
        <f t="shared" ref="AS4834:AS4897" si="1501">IFERROR(IF(OR(G4834="TBA", G4834=""), "", DATEDIF(DATE(B4834, C4834, 1), DATE(F4834, G4834, 1), "M")),"")</f>
        <v/>
      </c>
      <c r="AT4834" s="24" t="str">
        <f t="shared" ref="AT4834:AT4897" si="1502">IF(ISNUMBER(AS4834), IF(AS4834&gt;=0, IF(AS4834&lt;=3, "0-3 months", IF(AS4834&lt;=6, "4-6 months", "&gt; 6 months"))), "")</f>
        <v/>
      </c>
      <c r="AU4834" s="22" t="s">
        <v>3240</v>
      </c>
    </row>
    <row r="4835" spans="1:47">
      <c r="A4835" s="246" t="str">
        <f t="shared" si="1490"/>
        <v/>
      </c>
      <c r="B4835" s="23"/>
      <c r="C4835" s="23"/>
      <c r="D4835" s="202" t="str">
        <f t="shared" si="1491"/>
        <v/>
      </c>
      <c r="E4835" s="33" t="str">
        <f t="shared" si="1485"/>
        <v/>
      </c>
      <c r="F4835" s="23"/>
      <c r="G4835" s="23"/>
      <c r="H4835" s="29"/>
      <c r="I4835" s="204" t="str">
        <f t="shared" si="1488"/>
        <v/>
      </c>
      <c r="J4835" s="188"/>
      <c r="K4835" s="29"/>
      <c r="L4835" s="24"/>
      <c r="M4835" s="22"/>
      <c r="N4835" s="22"/>
      <c r="O4835" s="22"/>
      <c r="P4835" s="202" t="str">
        <f t="shared" si="1489"/>
        <v/>
      </c>
      <c r="Q4835" s="22"/>
      <c r="R4835" s="22"/>
      <c r="S4835" s="22"/>
      <c r="T4835" s="22"/>
      <c r="U4835" s="22"/>
      <c r="V4835" s="22"/>
      <c r="W4835" s="22"/>
      <c r="X4835" s="104"/>
      <c r="Y4835" s="195" t="str">
        <f t="shared" si="1486"/>
        <v/>
      </c>
      <c r="Z4835" s="196" t="str">
        <f t="shared" si="1487"/>
        <v/>
      </c>
      <c r="AA4835" s="22"/>
      <c r="AB4835" s="197" t="str">
        <f t="shared" si="1492"/>
        <v/>
      </c>
      <c r="AC4835" s="198" t="str">
        <f t="shared" si="1493"/>
        <v/>
      </c>
      <c r="AD4835" s="162"/>
      <c r="AE4835" s="199" t="str">
        <f t="shared" si="1494"/>
        <v/>
      </c>
      <c r="AF4835" s="199" t="str">
        <f>IF(AND(COUNTIFS($J$18:J4835,J4835)=1,AE4835=1),1,"")</f>
        <v/>
      </c>
      <c r="AG4835" s="199" t="str">
        <f>IF(C4835="","",IF(AND(COUNTIFS($J$18:J4835,J4835)=1,C4835&lt;&gt;""),1,""))</f>
        <v/>
      </c>
      <c r="AH4835" s="199" t="str">
        <f>IF(G4835="","",IF(AND(COUNTIFS($J$18:J4835,J4835)=1,G4835&lt;&gt;""),1,""))</f>
        <v/>
      </c>
      <c r="AI4835" s="200">
        <f t="shared" si="1495"/>
        <v>0</v>
      </c>
      <c r="AJ4835" s="200">
        <f t="shared" si="1496"/>
        <v>0</v>
      </c>
      <c r="AK4835" s="201" t="str">
        <f t="shared" si="1497"/>
        <v/>
      </c>
      <c r="AL4835" s="24"/>
      <c r="AM4835" s="24"/>
      <c r="AN4835" s="24"/>
      <c r="AO4835" s="24"/>
      <c r="AP4835" s="165" t="str">
        <f t="shared" si="1498"/>
        <v/>
      </c>
      <c r="AQ4835" s="203" t="str">
        <f t="shared" si="1499"/>
        <v/>
      </c>
      <c r="AR4835" s="206">
        <f t="shared" si="1500"/>
        <v>0</v>
      </c>
      <c r="AS4835" s="22" t="str">
        <f t="shared" si="1501"/>
        <v/>
      </c>
      <c r="AT4835" s="24" t="str">
        <f t="shared" si="1502"/>
        <v/>
      </c>
      <c r="AU4835" s="22" t="s">
        <v>3240</v>
      </c>
    </row>
    <row r="4836" spans="1:47">
      <c r="A4836" s="246" t="str">
        <f t="shared" si="1490"/>
        <v/>
      </c>
      <c r="B4836" s="23"/>
      <c r="C4836" s="23"/>
      <c r="D4836" s="202" t="str">
        <f t="shared" si="1491"/>
        <v/>
      </c>
      <c r="E4836" s="33" t="str">
        <f t="shared" si="1485"/>
        <v/>
      </c>
      <c r="F4836" s="23"/>
      <c r="G4836" s="23"/>
      <c r="H4836" s="29"/>
      <c r="I4836" s="204" t="str">
        <f t="shared" si="1488"/>
        <v/>
      </c>
      <c r="J4836" s="188"/>
      <c r="K4836" s="29"/>
      <c r="L4836" s="24"/>
      <c r="M4836" s="22"/>
      <c r="N4836" s="22"/>
      <c r="O4836" s="22"/>
      <c r="P4836" s="202" t="str">
        <f t="shared" si="1489"/>
        <v/>
      </c>
      <c r="Q4836" s="22"/>
      <c r="R4836" s="22"/>
      <c r="S4836" s="22"/>
      <c r="T4836" s="22"/>
      <c r="U4836" s="22"/>
      <c r="V4836" s="22"/>
      <c r="W4836" s="22"/>
      <c r="X4836" s="104"/>
      <c r="Y4836" s="195" t="str">
        <f t="shared" si="1486"/>
        <v/>
      </c>
      <c r="Z4836" s="196" t="str">
        <f t="shared" si="1487"/>
        <v/>
      </c>
      <c r="AA4836" s="22"/>
      <c r="AB4836" s="197" t="str">
        <f t="shared" si="1492"/>
        <v/>
      </c>
      <c r="AC4836" s="198" t="str">
        <f t="shared" si="1493"/>
        <v/>
      </c>
      <c r="AD4836" s="162"/>
      <c r="AE4836" s="199" t="str">
        <f t="shared" si="1494"/>
        <v/>
      </c>
      <c r="AF4836" s="199" t="str">
        <f>IF(AND(COUNTIFS($J$18:J4836,J4836)=1,AE4836=1),1,"")</f>
        <v/>
      </c>
      <c r="AG4836" s="199" t="str">
        <f>IF(C4836="","",IF(AND(COUNTIFS($J$18:J4836,J4836)=1,C4836&lt;&gt;""),1,""))</f>
        <v/>
      </c>
      <c r="AH4836" s="199" t="str">
        <f>IF(G4836="","",IF(AND(COUNTIFS($J$18:J4836,J4836)=1,G4836&lt;&gt;""),1,""))</f>
        <v/>
      </c>
      <c r="AI4836" s="200">
        <f t="shared" si="1495"/>
        <v>0</v>
      </c>
      <c r="AJ4836" s="200">
        <f t="shared" si="1496"/>
        <v>0</v>
      </c>
      <c r="AK4836" s="201" t="str">
        <f t="shared" si="1497"/>
        <v/>
      </c>
      <c r="AL4836" s="24"/>
      <c r="AM4836" s="24"/>
      <c r="AN4836" s="24"/>
      <c r="AO4836" s="24"/>
      <c r="AP4836" s="165" t="str">
        <f t="shared" si="1498"/>
        <v/>
      </c>
      <c r="AQ4836" s="203" t="str">
        <f t="shared" si="1499"/>
        <v/>
      </c>
      <c r="AR4836" s="206">
        <f t="shared" si="1500"/>
        <v>0</v>
      </c>
      <c r="AS4836" s="22" t="str">
        <f t="shared" si="1501"/>
        <v/>
      </c>
      <c r="AT4836" s="24" t="str">
        <f t="shared" si="1502"/>
        <v/>
      </c>
      <c r="AU4836" s="22" t="s">
        <v>3240</v>
      </c>
    </row>
    <row r="4837" spans="1:47">
      <c r="A4837" s="246" t="str">
        <f t="shared" si="1490"/>
        <v/>
      </c>
      <c r="B4837" s="23"/>
      <c r="C4837" s="23"/>
      <c r="D4837" s="202" t="str">
        <f t="shared" si="1491"/>
        <v/>
      </c>
      <c r="E4837" s="33" t="str">
        <f t="shared" si="1485"/>
        <v/>
      </c>
      <c r="F4837" s="23"/>
      <c r="G4837" s="23"/>
      <c r="H4837" s="29"/>
      <c r="I4837" s="204" t="str">
        <f t="shared" si="1488"/>
        <v/>
      </c>
      <c r="J4837" s="188"/>
      <c r="K4837" s="29"/>
      <c r="L4837" s="24"/>
      <c r="M4837" s="22"/>
      <c r="N4837" s="22"/>
      <c r="O4837" s="22"/>
      <c r="P4837" s="202" t="str">
        <f t="shared" si="1489"/>
        <v/>
      </c>
      <c r="Q4837" s="22"/>
      <c r="R4837" s="22"/>
      <c r="S4837" s="22"/>
      <c r="T4837" s="22"/>
      <c r="U4837" s="22"/>
      <c r="V4837" s="22"/>
      <c r="W4837" s="22"/>
      <c r="X4837" s="104"/>
      <c r="Y4837" s="195" t="str">
        <f t="shared" si="1486"/>
        <v/>
      </c>
      <c r="Z4837" s="196" t="str">
        <f t="shared" si="1487"/>
        <v/>
      </c>
      <c r="AA4837" s="22"/>
      <c r="AB4837" s="197" t="str">
        <f t="shared" si="1492"/>
        <v/>
      </c>
      <c r="AC4837" s="198" t="str">
        <f t="shared" si="1493"/>
        <v/>
      </c>
      <c r="AD4837" s="162"/>
      <c r="AE4837" s="199" t="str">
        <f t="shared" si="1494"/>
        <v/>
      </c>
      <c r="AF4837" s="199" t="str">
        <f>IF(AND(COUNTIFS($J$18:J4837,J4837)=1,AE4837=1),1,"")</f>
        <v/>
      </c>
      <c r="AG4837" s="199" t="str">
        <f>IF(C4837="","",IF(AND(COUNTIFS($J$18:J4837,J4837)=1,C4837&lt;&gt;""),1,""))</f>
        <v/>
      </c>
      <c r="AH4837" s="199" t="str">
        <f>IF(G4837="","",IF(AND(COUNTIFS($J$18:J4837,J4837)=1,G4837&lt;&gt;""),1,""))</f>
        <v/>
      </c>
      <c r="AI4837" s="200">
        <f t="shared" si="1495"/>
        <v>0</v>
      </c>
      <c r="AJ4837" s="200">
        <f t="shared" si="1496"/>
        <v>0</v>
      </c>
      <c r="AK4837" s="201" t="str">
        <f t="shared" si="1497"/>
        <v/>
      </c>
      <c r="AL4837" s="24"/>
      <c r="AM4837" s="24"/>
      <c r="AN4837" s="24"/>
      <c r="AO4837" s="24"/>
      <c r="AP4837" s="165" t="str">
        <f t="shared" si="1498"/>
        <v/>
      </c>
      <c r="AQ4837" s="203" t="str">
        <f t="shared" si="1499"/>
        <v/>
      </c>
      <c r="AR4837" s="206">
        <f t="shared" si="1500"/>
        <v>0</v>
      </c>
      <c r="AS4837" s="22" t="str">
        <f t="shared" si="1501"/>
        <v/>
      </c>
      <c r="AT4837" s="24" t="str">
        <f t="shared" si="1502"/>
        <v/>
      </c>
      <c r="AU4837" s="22" t="s">
        <v>3240</v>
      </c>
    </row>
    <row r="4838" spans="1:47">
      <c r="A4838" s="246" t="str">
        <f t="shared" si="1490"/>
        <v/>
      </c>
      <c r="B4838" s="23"/>
      <c r="C4838" s="23"/>
      <c r="D4838" s="202" t="str">
        <f t="shared" si="1491"/>
        <v/>
      </c>
      <c r="E4838" s="33" t="str">
        <f t="shared" si="1485"/>
        <v/>
      </c>
      <c r="F4838" s="23"/>
      <c r="G4838" s="23"/>
      <c r="H4838" s="29"/>
      <c r="I4838" s="204" t="str">
        <f t="shared" si="1488"/>
        <v/>
      </c>
      <c r="J4838" s="188"/>
      <c r="K4838" s="29"/>
      <c r="L4838" s="24"/>
      <c r="M4838" s="22"/>
      <c r="N4838" s="22"/>
      <c r="O4838" s="22"/>
      <c r="P4838" s="202" t="str">
        <f t="shared" si="1489"/>
        <v/>
      </c>
      <c r="Q4838" s="22"/>
      <c r="R4838" s="22"/>
      <c r="S4838" s="22"/>
      <c r="T4838" s="22"/>
      <c r="U4838" s="22"/>
      <c r="V4838" s="22"/>
      <c r="W4838" s="22"/>
      <c r="X4838" s="104"/>
      <c r="Y4838" s="195" t="str">
        <f t="shared" si="1486"/>
        <v/>
      </c>
      <c r="Z4838" s="196" t="str">
        <f t="shared" si="1487"/>
        <v/>
      </c>
      <c r="AA4838" s="22"/>
      <c r="AB4838" s="197" t="str">
        <f t="shared" si="1492"/>
        <v/>
      </c>
      <c r="AC4838" s="198" t="str">
        <f t="shared" si="1493"/>
        <v/>
      </c>
      <c r="AD4838" s="162"/>
      <c r="AE4838" s="199" t="str">
        <f t="shared" si="1494"/>
        <v/>
      </c>
      <c r="AF4838" s="199" t="str">
        <f>IF(AND(COUNTIFS($J$18:J4838,J4838)=1,AE4838=1),1,"")</f>
        <v/>
      </c>
      <c r="AG4838" s="199" t="str">
        <f>IF(C4838="","",IF(AND(COUNTIFS($J$18:J4838,J4838)=1,C4838&lt;&gt;""),1,""))</f>
        <v/>
      </c>
      <c r="AH4838" s="199" t="str">
        <f>IF(G4838="","",IF(AND(COUNTIFS($J$18:J4838,J4838)=1,G4838&lt;&gt;""),1,""))</f>
        <v/>
      </c>
      <c r="AI4838" s="200">
        <f t="shared" si="1495"/>
        <v>0</v>
      </c>
      <c r="AJ4838" s="200">
        <f t="shared" si="1496"/>
        <v>0</v>
      </c>
      <c r="AK4838" s="201" t="str">
        <f t="shared" si="1497"/>
        <v/>
      </c>
      <c r="AL4838" s="24"/>
      <c r="AM4838" s="24"/>
      <c r="AN4838" s="24"/>
      <c r="AO4838" s="24"/>
      <c r="AP4838" s="165" t="str">
        <f t="shared" si="1498"/>
        <v/>
      </c>
      <c r="AQ4838" s="203" t="str">
        <f t="shared" si="1499"/>
        <v/>
      </c>
      <c r="AR4838" s="206">
        <f t="shared" si="1500"/>
        <v>0</v>
      </c>
      <c r="AS4838" s="22" t="str">
        <f t="shared" si="1501"/>
        <v/>
      </c>
      <c r="AT4838" s="24" t="str">
        <f t="shared" si="1502"/>
        <v/>
      </c>
      <c r="AU4838" s="22" t="s">
        <v>3240</v>
      </c>
    </row>
    <row r="4839" spans="1:47">
      <c r="A4839" s="246" t="str">
        <f t="shared" si="1490"/>
        <v/>
      </c>
      <c r="B4839" s="23"/>
      <c r="C4839" s="23"/>
      <c r="D4839" s="202" t="str">
        <f t="shared" si="1491"/>
        <v/>
      </c>
      <c r="E4839" s="33" t="str">
        <f t="shared" si="1485"/>
        <v/>
      </c>
      <c r="F4839" s="23"/>
      <c r="G4839" s="23"/>
      <c r="H4839" s="29"/>
      <c r="I4839" s="204" t="str">
        <f t="shared" si="1488"/>
        <v/>
      </c>
      <c r="J4839" s="188"/>
      <c r="K4839" s="29"/>
      <c r="L4839" s="24"/>
      <c r="M4839" s="22"/>
      <c r="N4839" s="22"/>
      <c r="O4839" s="22"/>
      <c r="P4839" s="202" t="str">
        <f t="shared" si="1489"/>
        <v/>
      </c>
      <c r="Q4839" s="22"/>
      <c r="R4839" s="22"/>
      <c r="S4839" s="22"/>
      <c r="T4839" s="22"/>
      <c r="U4839" s="22"/>
      <c r="V4839" s="22"/>
      <c r="W4839" s="22"/>
      <c r="X4839" s="104"/>
      <c r="Y4839" s="195" t="str">
        <f t="shared" si="1486"/>
        <v/>
      </c>
      <c r="Z4839" s="196" t="str">
        <f t="shared" si="1487"/>
        <v/>
      </c>
      <c r="AA4839" s="22"/>
      <c r="AB4839" s="197" t="str">
        <f t="shared" si="1492"/>
        <v/>
      </c>
      <c r="AC4839" s="198" t="str">
        <f t="shared" si="1493"/>
        <v/>
      </c>
      <c r="AD4839" s="162"/>
      <c r="AE4839" s="199" t="str">
        <f t="shared" si="1494"/>
        <v/>
      </c>
      <c r="AF4839" s="199" t="str">
        <f>IF(AND(COUNTIFS($J$18:J4839,J4839)=1,AE4839=1),1,"")</f>
        <v/>
      </c>
      <c r="AG4839" s="199" t="str">
        <f>IF(C4839="","",IF(AND(COUNTIFS($J$18:J4839,J4839)=1,C4839&lt;&gt;""),1,""))</f>
        <v/>
      </c>
      <c r="AH4839" s="199" t="str">
        <f>IF(G4839="","",IF(AND(COUNTIFS($J$18:J4839,J4839)=1,G4839&lt;&gt;""),1,""))</f>
        <v/>
      </c>
      <c r="AI4839" s="200">
        <f t="shared" si="1495"/>
        <v>0</v>
      </c>
      <c r="AJ4839" s="200">
        <f t="shared" si="1496"/>
        <v>0</v>
      </c>
      <c r="AK4839" s="201" t="str">
        <f t="shared" si="1497"/>
        <v/>
      </c>
      <c r="AL4839" s="24"/>
      <c r="AM4839" s="24"/>
      <c r="AN4839" s="24"/>
      <c r="AO4839" s="24"/>
      <c r="AP4839" s="165" t="str">
        <f t="shared" si="1498"/>
        <v/>
      </c>
      <c r="AQ4839" s="203" t="str">
        <f t="shared" si="1499"/>
        <v/>
      </c>
      <c r="AR4839" s="206">
        <f t="shared" si="1500"/>
        <v>0</v>
      </c>
      <c r="AS4839" s="22" t="str">
        <f t="shared" si="1501"/>
        <v/>
      </c>
      <c r="AT4839" s="24" t="str">
        <f t="shared" si="1502"/>
        <v/>
      </c>
      <c r="AU4839" s="22" t="s">
        <v>3240</v>
      </c>
    </row>
    <row r="4840" spans="1:47">
      <c r="A4840" s="246" t="str">
        <f t="shared" si="1490"/>
        <v/>
      </c>
      <c r="B4840" s="23"/>
      <c r="C4840" s="23"/>
      <c r="D4840" s="202" t="str">
        <f t="shared" si="1491"/>
        <v/>
      </c>
      <c r="E4840" s="33" t="str">
        <f t="shared" si="1485"/>
        <v/>
      </c>
      <c r="F4840" s="23"/>
      <c r="G4840" s="23"/>
      <c r="H4840" s="29"/>
      <c r="I4840" s="204" t="str">
        <f t="shared" si="1488"/>
        <v/>
      </c>
      <c r="J4840" s="188"/>
      <c r="K4840" s="29"/>
      <c r="L4840" s="24"/>
      <c r="M4840" s="22"/>
      <c r="N4840" s="22"/>
      <c r="O4840" s="22"/>
      <c r="P4840" s="202" t="str">
        <f t="shared" si="1489"/>
        <v/>
      </c>
      <c r="Q4840" s="22"/>
      <c r="R4840" s="22"/>
      <c r="S4840" s="22"/>
      <c r="T4840" s="22"/>
      <c r="U4840" s="22"/>
      <c r="V4840" s="22"/>
      <c r="W4840" s="22"/>
      <c r="X4840" s="104"/>
      <c r="Y4840" s="195" t="str">
        <f t="shared" si="1486"/>
        <v/>
      </c>
      <c r="Z4840" s="196" t="str">
        <f t="shared" si="1487"/>
        <v/>
      </c>
      <c r="AA4840" s="22"/>
      <c r="AB4840" s="197" t="str">
        <f t="shared" si="1492"/>
        <v/>
      </c>
      <c r="AC4840" s="198" t="str">
        <f t="shared" si="1493"/>
        <v/>
      </c>
      <c r="AD4840" s="162"/>
      <c r="AE4840" s="199" t="str">
        <f t="shared" si="1494"/>
        <v/>
      </c>
      <c r="AF4840" s="199" t="str">
        <f>IF(AND(COUNTIFS($J$18:J4840,J4840)=1,AE4840=1),1,"")</f>
        <v/>
      </c>
      <c r="AG4840" s="199" t="str">
        <f>IF(C4840="","",IF(AND(COUNTIFS($J$18:J4840,J4840)=1,C4840&lt;&gt;""),1,""))</f>
        <v/>
      </c>
      <c r="AH4840" s="199" t="str">
        <f>IF(G4840="","",IF(AND(COUNTIFS($J$18:J4840,J4840)=1,G4840&lt;&gt;""),1,""))</f>
        <v/>
      </c>
      <c r="AI4840" s="200">
        <f t="shared" si="1495"/>
        <v>0</v>
      </c>
      <c r="AJ4840" s="200">
        <f t="shared" si="1496"/>
        <v>0</v>
      </c>
      <c r="AK4840" s="201" t="str">
        <f t="shared" si="1497"/>
        <v/>
      </c>
      <c r="AL4840" s="24"/>
      <c r="AM4840" s="24"/>
      <c r="AN4840" s="24"/>
      <c r="AO4840" s="24"/>
      <c r="AP4840" s="165" t="str">
        <f t="shared" si="1498"/>
        <v/>
      </c>
      <c r="AQ4840" s="203" t="str">
        <f t="shared" si="1499"/>
        <v/>
      </c>
      <c r="AR4840" s="206">
        <f t="shared" si="1500"/>
        <v>0</v>
      </c>
      <c r="AS4840" s="22" t="str">
        <f t="shared" si="1501"/>
        <v/>
      </c>
      <c r="AT4840" s="24" t="str">
        <f t="shared" si="1502"/>
        <v/>
      </c>
      <c r="AU4840" s="22" t="s">
        <v>3240</v>
      </c>
    </row>
    <row r="4841" spans="1:47">
      <c r="A4841" s="246" t="str">
        <f t="shared" si="1490"/>
        <v/>
      </c>
      <c r="B4841" s="23"/>
      <c r="C4841" s="23"/>
      <c r="D4841" s="202" t="str">
        <f t="shared" si="1491"/>
        <v/>
      </c>
      <c r="E4841" s="33" t="str">
        <f t="shared" si="1485"/>
        <v/>
      </c>
      <c r="F4841" s="23"/>
      <c r="G4841" s="23"/>
      <c r="H4841" s="29"/>
      <c r="I4841" s="204" t="str">
        <f t="shared" si="1488"/>
        <v/>
      </c>
      <c r="J4841" s="188"/>
      <c r="K4841" s="29"/>
      <c r="L4841" s="24"/>
      <c r="M4841" s="22"/>
      <c r="N4841" s="22"/>
      <c r="O4841" s="22"/>
      <c r="P4841" s="202" t="str">
        <f t="shared" si="1489"/>
        <v/>
      </c>
      <c r="Q4841" s="22"/>
      <c r="R4841" s="22"/>
      <c r="S4841" s="22"/>
      <c r="T4841" s="22"/>
      <c r="U4841" s="22"/>
      <c r="V4841" s="22"/>
      <c r="W4841" s="22"/>
      <c r="X4841" s="104"/>
      <c r="Y4841" s="195" t="str">
        <f t="shared" si="1486"/>
        <v/>
      </c>
      <c r="Z4841" s="196" t="str">
        <f t="shared" si="1487"/>
        <v/>
      </c>
      <c r="AA4841" s="22"/>
      <c r="AB4841" s="197" t="str">
        <f t="shared" si="1492"/>
        <v/>
      </c>
      <c r="AC4841" s="198" t="str">
        <f t="shared" si="1493"/>
        <v/>
      </c>
      <c r="AD4841" s="162"/>
      <c r="AE4841" s="199" t="str">
        <f t="shared" si="1494"/>
        <v/>
      </c>
      <c r="AF4841" s="199" t="str">
        <f>IF(AND(COUNTIFS($J$18:J4841,J4841)=1,AE4841=1),1,"")</f>
        <v/>
      </c>
      <c r="AG4841" s="199" t="str">
        <f>IF(C4841="","",IF(AND(COUNTIFS($J$18:J4841,J4841)=1,C4841&lt;&gt;""),1,""))</f>
        <v/>
      </c>
      <c r="AH4841" s="199" t="str">
        <f>IF(G4841="","",IF(AND(COUNTIFS($J$18:J4841,J4841)=1,G4841&lt;&gt;""),1,""))</f>
        <v/>
      </c>
      <c r="AI4841" s="200">
        <f t="shared" si="1495"/>
        <v>0</v>
      </c>
      <c r="AJ4841" s="200">
        <f t="shared" si="1496"/>
        <v>0</v>
      </c>
      <c r="AK4841" s="201" t="str">
        <f t="shared" si="1497"/>
        <v/>
      </c>
      <c r="AL4841" s="24"/>
      <c r="AM4841" s="24"/>
      <c r="AN4841" s="24"/>
      <c r="AO4841" s="24"/>
      <c r="AP4841" s="165" t="str">
        <f t="shared" si="1498"/>
        <v/>
      </c>
      <c r="AQ4841" s="203" t="str">
        <f t="shared" si="1499"/>
        <v/>
      </c>
      <c r="AR4841" s="206">
        <f t="shared" si="1500"/>
        <v>0</v>
      </c>
      <c r="AS4841" s="22" t="str">
        <f t="shared" si="1501"/>
        <v/>
      </c>
      <c r="AT4841" s="24" t="str">
        <f t="shared" si="1502"/>
        <v/>
      </c>
      <c r="AU4841" s="22" t="s">
        <v>3240</v>
      </c>
    </row>
    <row r="4842" spans="1:47">
      <c r="A4842" s="246" t="str">
        <f t="shared" si="1490"/>
        <v/>
      </c>
      <c r="B4842" s="23"/>
      <c r="C4842" s="23"/>
      <c r="D4842" s="202" t="str">
        <f t="shared" si="1491"/>
        <v/>
      </c>
      <c r="E4842" s="33" t="str">
        <f t="shared" si="1485"/>
        <v/>
      </c>
      <c r="F4842" s="23"/>
      <c r="G4842" s="23"/>
      <c r="H4842" s="29"/>
      <c r="I4842" s="204" t="str">
        <f t="shared" si="1488"/>
        <v/>
      </c>
      <c r="J4842" s="188"/>
      <c r="K4842" s="29"/>
      <c r="L4842" s="24"/>
      <c r="M4842" s="22"/>
      <c r="N4842" s="22"/>
      <c r="O4842" s="22"/>
      <c r="P4842" s="202" t="str">
        <f t="shared" si="1489"/>
        <v/>
      </c>
      <c r="Q4842" s="22"/>
      <c r="R4842" s="22"/>
      <c r="S4842" s="22"/>
      <c r="T4842" s="22"/>
      <c r="U4842" s="22"/>
      <c r="V4842" s="22"/>
      <c r="W4842" s="22"/>
      <c r="X4842" s="104"/>
      <c r="Y4842" s="195" t="str">
        <f t="shared" si="1486"/>
        <v/>
      </c>
      <c r="Z4842" s="196" t="str">
        <f t="shared" si="1487"/>
        <v/>
      </c>
      <c r="AA4842" s="22"/>
      <c r="AB4842" s="197" t="str">
        <f t="shared" si="1492"/>
        <v/>
      </c>
      <c r="AC4842" s="198" t="str">
        <f t="shared" si="1493"/>
        <v/>
      </c>
      <c r="AD4842" s="162"/>
      <c r="AE4842" s="199" t="str">
        <f t="shared" si="1494"/>
        <v/>
      </c>
      <c r="AF4842" s="199" t="str">
        <f>IF(AND(COUNTIFS($J$18:J4842,J4842)=1,AE4842=1),1,"")</f>
        <v/>
      </c>
      <c r="AG4842" s="199" t="str">
        <f>IF(C4842="","",IF(AND(COUNTIFS($J$18:J4842,J4842)=1,C4842&lt;&gt;""),1,""))</f>
        <v/>
      </c>
      <c r="AH4842" s="199" t="str">
        <f>IF(G4842="","",IF(AND(COUNTIFS($J$18:J4842,J4842)=1,G4842&lt;&gt;""),1,""))</f>
        <v/>
      </c>
      <c r="AI4842" s="200">
        <f t="shared" si="1495"/>
        <v>0</v>
      </c>
      <c r="AJ4842" s="200">
        <f t="shared" si="1496"/>
        <v>0</v>
      </c>
      <c r="AK4842" s="201" t="str">
        <f t="shared" si="1497"/>
        <v/>
      </c>
      <c r="AL4842" s="24"/>
      <c r="AM4842" s="24"/>
      <c r="AN4842" s="24"/>
      <c r="AO4842" s="24"/>
      <c r="AP4842" s="165" t="str">
        <f t="shared" si="1498"/>
        <v/>
      </c>
      <c r="AQ4842" s="203" t="str">
        <f t="shared" si="1499"/>
        <v/>
      </c>
      <c r="AR4842" s="206">
        <f t="shared" si="1500"/>
        <v>0</v>
      </c>
      <c r="AS4842" s="22" t="str">
        <f t="shared" si="1501"/>
        <v/>
      </c>
      <c r="AT4842" s="24" t="str">
        <f t="shared" si="1502"/>
        <v/>
      </c>
      <c r="AU4842" s="22" t="s">
        <v>3240</v>
      </c>
    </row>
    <row r="4843" spans="1:47">
      <c r="A4843" s="246" t="str">
        <f t="shared" si="1490"/>
        <v/>
      </c>
      <c r="B4843" s="23"/>
      <c r="C4843" s="23"/>
      <c r="D4843" s="202" t="str">
        <f t="shared" si="1491"/>
        <v/>
      </c>
      <c r="E4843" s="33" t="str">
        <f t="shared" si="1485"/>
        <v/>
      </c>
      <c r="F4843" s="23"/>
      <c r="G4843" s="23"/>
      <c r="H4843" s="29"/>
      <c r="I4843" s="204" t="str">
        <f t="shared" si="1488"/>
        <v/>
      </c>
      <c r="J4843" s="188"/>
      <c r="K4843" s="29"/>
      <c r="L4843" s="24"/>
      <c r="M4843" s="22"/>
      <c r="N4843" s="22"/>
      <c r="O4843" s="22"/>
      <c r="P4843" s="202" t="str">
        <f t="shared" si="1489"/>
        <v/>
      </c>
      <c r="Q4843" s="22"/>
      <c r="R4843" s="22"/>
      <c r="S4843" s="22"/>
      <c r="T4843" s="22"/>
      <c r="U4843" s="22"/>
      <c r="V4843" s="22"/>
      <c r="W4843" s="22"/>
      <c r="X4843" s="104"/>
      <c r="Y4843" s="195" t="str">
        <f t="shared" si="1486"/>
        <v/>
      </c>
      <c r="Z4843" s="196" t="str">
        <f t="shared" si="1487"/>
        <v/>
      </c>
      <c r="AA4843" s="22"/>
      <c r="AB4843" s="197" t="str">
        <f t="shared" si="1492"/>
        <v/>
      </c>
      <c r="AC4843" s="198" t="str">
        <f t="shared" si="1493"/>
        <v/>
      </c>
      <c r="AD4843" s="162"/>
      <c r="AE4843" s="199" t="str">
        <f t="shared" si="1494"/>
        <v/>
      </c>
      <c r="AF4843" s="199" t="str">
        <f>IF(AND(COUNTIFS($J$18:J4843,J4843)=1,AE4843=1),1,"")</f>
        <v/>
      </c>
      <c r="AG4843" s="199" t="str">
        <f>IF(C4843="","",IF(AND(COUNTIFS($J$18:J4843,J4843)=1,C4843&lt;&gt;""),1,""))</f>
        <v/>
      </c>
      <c r="AH4843" s="199" t="str">
        <f>IF(G4843="","",IF(AND(COUNTIFS($J$18:J4843,J4843)=1,G4843&lt;&gt;""),1,""))</f>
        <v/>
      </c>
      <c r="AI4843" s="200">
        <f t="shared" si="1495"/>
        <v>0</v>
      </c>
      <c r="AJ4843" s="200">
        <f t="shared" si="1496"/>
        <v>0</v>
      </c>
      <c r="AK4843" s="201" t="str">
        <f t="shared" si="1497"/>
        <v/>
      </c>
      <c r="AL4843" s="24"/>
      <c r="AM4843" s="24"/>
      <c r="AN4843" s="24"/>
      <c r="AO4843" s="24"/>
      <c r="AP4843" s="165" t="str">
        <f t="shared" si="1498"/>
        <v/>
      </c>
      <c r="AQ4843" s="203" t="str">
        <f t="shared" si="1499"/>
        <v/>
      </c>
      <c r="AR4843" s="206">
        <f t="shared" si="1500"/>
        <v>0</v>
      </c>
      <c r="AS4843" s="22" t="str">
        <f t="shared" si="1501"/>
        <v/>
      </c>
      <c r="AT4843" s="24" t="str">
        <f t="shared" si="1502"/>
        <v/>
      </c>
      <c r="AU4843" s="22" t="s">
        <v>3240</v>
      </c>
    </row>
    <row r="4844" spans="1:47">
      <c r="A4844" s="246" t="str">
        <f t="shared" si="1490"/>
        <v/>
      </c>
      <c r="B4844" s="23"/>
      <c r="C4844" s="23"/>
      <c r="D4844" s="202" t="str">
        <f t="shared" si="1491"/>
        <v/>
      </c>
      <c r="E4844" s="33" t="str">
        <f t="shared" si="1485"/>
        <v/>
      </c>
      <c r="F4844" s="23"/>
      <c r="G4844" s="23"/>
      <c r="H4844" s="29"/>
      <c r="I4844" s="204" t="str">
        <f t="shared" si="1488"/>
        <v/>
      </c>
      <c r="J4844" s="188"/>
      <c r="K4844" s="29"/>
      <c r="L4844" s="24"/>
      <c r="M4844" s="22"/>
      <c r="N4844" s="22"/>
      <c r="O4844" s="22"/>
      <c r="P4844" s="202" t="str">
        <f t="shared" si="1489"/>
        <v/>
      </c>
      <c r="Q4844" s="22"/>
      <c r="R4844" s="22"/>
      <c r="S4844" s="22"/>
      <c r="T4844" s="22"/>
      <c r="U4844" s="22"/>
      <c r="V4844" s="22"/>
      <c r="W4844" s="22"/>
      <c r="X4844" s="104"/>
      <c r="Y4844" s="195" t="str">
        <f t="shared" si="1486"/>
        <v/>
      </c>
      <c r="Z4844" s="196" t="str">
        <f t="shared" si="1487"/>
        <v/>
      </c>
      <c r="AA4844" s="22"/>
      <c r="AB4844" s="197" t="str">
        <f t="shared" si="1492"/>
        <v/>
      </c>
      <c r="AC4844" s="198" t="str">
        <f t="shared" si="1493"/>
        <v/>
      </c>
      <c r="AD4844" s="162"/>
      <c r="AE4844" s="199" t="str">
        <f t="shared" si="1494"/>
        <v/>
      </c>
      <c r="AF4844" s="199" t="str">
        <f>IF(AND(COUNTIFS($J$18:J4844,J4844)=1,AE4844=1),1,"")</f>
        <v/>
      </c>
      <c r="AG4844" s="199" t="str">
        <f>IF(C4844="","",IF(AND(COUNTIFS($J$18:J4844,J4844)=1,C4844&lt;&gt;""),1,""))</f>
        <v/>
      </c>
      <c r="AH4844" s="199" t="str">
        <f>IF(G4844="","",IF(AND(COUNTIFS($J$18:J4844,J4844)=1,G4844&lt;&gt;""),1,""))</f>
        <v/>
      </c>
      <c r="AI4844" s="200">
        <f t="shared" si="1495"/>
        <v>0</v>
      </c>
      <c r="AJ4844" s="200">
        <f t="shared" si="1496"/>
        <v>0</v>
      </c>
      <c r="AK4844" s="201" t="str">
        <f t="shared" si="1497"/>
        <v/>
      </c>
      <c r="AL4844" s="24"/>
      <c r="AM4844" s="24"/>
      <c r="AN4844" s="24"/>
      <c r="AO4844" s="24"/>
      <c r="AP4844" s="165" t="str">
        <f t="shared" si="1498"/>
        <v/>
      </c>
      <c r="AQ4844" s="203" t="str">
        <f t="shared" si="1499"/>
        <v/>
      </c>
      <c r="AR4844" s="206">
        <f t="shared" si="1500"/>
        <v>0</v>
      </c>
      <c r="AS4844" s="22" t="str">
        <f t="shared" si="1501"/>
        <v/>
      </c>
      <c r="AT4844" s="24" t="str">
        <f t="shared" si="1502"/>
        <v/>
      </c>
      <c r="AU4844" s="22" t="s">
        <v>3240</v>
      </c>
    </row>
    <row r="4845" spans="1:47">
      <c r="A4845" s="246" t="str">
        <f t="shared" si="1490"/>
        <v/>
      </c>
      <c r="B4845" s="23"/>
      <c r="C4845" s="23"/>
      <c r="D4845" s="202" t="str">
        <f t="shared" si="1491"/>
        <v/>
      </c>
      <c r="E4845" s="33" t="str">
        <f t="shared" si="1485"/>
        <v/>
      </c>
      <c r="F4845" s="23"/>
      <c r="G4845" s="23"/>
      <c r="H4845" s="29"/>
      <c r="I4845" s="204" t="str">
        <f t="shared" si="1488"/>
        <v/>
      </c>
      <c r="J4845" s="188"/>
      <c r="K4845" s="29"/>
      <c r="L4845" s="24"/>
      <c r="M4845" s="22"/>
      <c r="N4845" s="22"/>
      <c r="O4845" s="22"/>
      <c r="P4845" s="202" t="str">
        <f t="shared" si="1489"/>
        <v/>
      </c>
      <c r="Q4845" s="22"/>
      <c r="R4845" s="22"/>
      <c r="S4845" s="22"/>
      <c r="T4845" s="22"/>
      <c r="U4845" s="22"/>
      <c r="V4845" s="22"/>
      <c r="W4845" s="22"/>
      <c r="X4845" s="104"/>
      <c r="Y4845" s="195" t="str">
        <f t="shared" si="1486"/>
        <v/>
      </c>
      <c r="Z4845" s="196" t="str">
        <f t="shared" si="1487"/>
        <v/>
      </c>
      <c r="AA4845" s="22"/>
      <c r="AB4845" s="197" t="str">
        <f t="shared" si="1492"/>
        <v/>
      </c>
      <c r="AC4845" s="198" t="str">
        <f t="shared" si="1493"/>
        <v/>
      </c>
      <c r="AD4845" s="162"/>
      <c r="AE4845" s="199" t="str">
        <f t="shared" si="1494"/>
        <v/>
      </c>
      <c r="AF4845" s="199" t="str">
        <f>IF(AND(COUNTIFS($J$18:J4845,J4845)=1,AE4845=1),1,"")</f>
        <v/>
      </c>
      <c r="AG4845" s="199" t="str">
        <f>IF(C4845="","",IF(AND(COUNTIFS($J$18:J4845,J4845)=1,C4845&lt;&gt;""),1,""))</f>
        <v/>
      </c>
      <c r="AH4845" s="199" t="str">
        <f>IF(G4845="","",IF(AND(COUNTIFS($J$18:J4845,J4845)=1,G4845&lt;&gt;""),1,""))</f>
        <v/>
      </c>
      <c r="AI4845" s="200">
        <f t="shared" si="1495"/>
        <v>0</v>
      </c>
      <c r="AJ4845" s="200">
        <f t="shared" si="1496"/>
        <v>0</v>
      </c>
      <c r="AK4845" s="201" t="str">
        <f t="shared" si="1497"/>
        <v/>
      </c>
      <c r="AL4845" s="24"/>
      <c r="AM4845" s="24"/>
      <c r="AN4845" s="24"/>
      <c r="AO4845" s="24"/>
      <c r="AP4845" s="165" t="str">
        <f t="shared" si="1498"/>
        <v/>
      </c>
      <c r="AQ4845" s="203" t="str">
        <f t="shared" si="1499"/>
        <v/>
      </c>
      <c r="AR4845" s="206">
        <f t="shared" si="1500"/>
        <v>0</v>
      </c>
      <c r="AS4845" s="22" t="str">
        <f t="shared" si="1501"/>
        <v/>
      </c>
      <c r="AT4845" s="24" t="str">
        <f t="shared" si="1502"/>
        <v/>
      </c>
      <c r="AU4845" s="22" t="s">
        <v>3240</v>
      </c>
    </row>
    <row r="4846" spans="1:47">
      <c r="A4846" s="246" t="str">
        <f t="shared" si="1490"/>
        <v/>
      </c>
      <c r="B4846" s="23"/>
      <c r="C4846" s="23"/>
      <c r="D4846" s="202" t="str">
        <f t="shared" si="1491"/>
        <v/>
      </c>
      <c r="E4846" s="33" t="str">
        <f t="shared" si="1485"/>
        <v/>
      </c>
      <c r="F4846" s="23"/>
      <c r="G4846" s="23"/>
      <c r="H4846" s="29"/>
      <c r="I4846" s="204" t="str">
        <f t="shared" si="1488"/>
        <v/>
      </c>
      <c r="J4846" s="188"/>
      <c r="K4846" s="29"/>
      <c r="L4846" s="24"/>
      <c r="M4846" s="22"/>
      <c r="N4846" s="22"/>
      <c r="O4846" s="22"/>
      <c r="P4846" s="202" t="str">
        <f t="shared" si="1489"/>
        <v/>
      </c>
      <c r="Q4846" s="22"/>
      <c r="R4846" s="22"/>
      <c r="S4846" s="22"/>
      <c r="T4846" s="22"/>
      <c r="U4846" s="22"/>
      <c r="V4846" s="22"/>
      <c r="W4846" s="22"/>
      <c r="X4846" s="104"/>
      <c r="Y4846" s="195" t="str">
        <f t="shared" si="1486"/>
        <v/>
      </c>
      <c r="Z4846" s="196" t="str">
        <f t="shared" si="1487"/>
        <v/>
      </c>
      <c r="AA4846" s="22"/>
      <c r="AB4846" s="197" t="str">
        <f t="shared" si="1492"/>
        <v/>
      </c>
      <c r="AC4846" s="198" t="str">
        <f t="shared" si="1493"/>
        <v/>
      </c>
      <c r="AD4846" s="162"/>
      <c r="AE4846" s="199" t="str">
        <f t="shared" si="1494"/>
        <v/>
      </c>
      <c r="AF4846" s="199" t="str">
        <f>IF(AND(COUNTIFS($J$18:J4846,J4846)=1,AE4846=1),1,"")</f>
        <v/>
      </c>
      <c r="AG4846" s="199" t="str">
        <f>IF(C4846="","",IF(AND(COUNTIFS($J$18:J4846,J4846)=1,C4846&lt;&gt;""),1,""))</f>
        <v/>
      </c>
      <c r="AH4846" s="199" t="str">
        <f>IF(G4846="","",IF(AND(COUNTIFS($J$18:J4846,J4846)=1,G4846&lt;&gt;""),1,""))</f>
        <v/>
      </c>
      <c r="AI4846" s="200">
        <f t="shared" si="1495"/>
        <v>0</v>
      </c>
      <c r="AJ4846" s="200">
        <f t="shared" si="1496"/>
        <v>0</v>
      </c>
      <c r="AK4846" s="201" t="str">
        <f t="shared" si="1497"/>
        <v/>
      </c>
      <c r="AL4846" s="24"/>
      <c r="AM4846" s="24"/>
      <c r="AN4846" s="24"/>
      <c r="AO4846" s="24"/>
      <c r="AP4846" s="165" t="str">
        <f t="shared" si="1498"/>
        <v/>
      </c>
      <c r="AQ4846" s="203" t="str">
        <f t="shared" si="1499"/>
        <v/>
      </c>
      <c r="AR4846" s="206">
        <f t="shared" si="1500"/>
        <v>0</v>
      </c>
      <c r="AS4846" s="22" t="str">
        <f t="shared" si="1501"/>
        <v/>
      </c>
      <c r="AT4846" s="24" t="str">
        <f t="shared" si="1502"/>
        <v/>
      </c>
      <c r="AU4846" s="22" t="s">
        <v>3240</v>
      </c>
    </row>
    <row r="4847" spans="1:47">
      <c r="A4847" s="246" t="str">
        <f t="shared" si="1490"/>
        <v/>
      </c>
      <c r="B4847" s="23"/>
      <c r="C4847" s="23"/>
      <c r="D4847" s="202" t="str">
        <f t="shared" si="1491"/>
        <v/>
      </c>
      <c r="E4847" s="33" t="str">
        <f t="shared" si="1485"/>
        <v/>
      </c>
      <c r="F4847" s="23"/>
      <c r="G4847" s="23"/>
      <c r="H4847" s="29"/>
      <c r="I4847" s="204" t="str">
        <f t="shared" si="1488"/>
        <v/>
      </c>
      <c r="J4847" s="188"/>
      <c r="K4847" s="29"/>
      <c r="L4847" s="24"/>
      <c r="M4847" s="22"/>
      <c r="N4847" s="22"/>
      <c r="O4847" s="22"/>
      <c r="P4847" s="202" t="str">
        <f t="shared" si="1489"/>
        <v/>
      </c>
      <c r="Q4847" s="22"/>
      <c r="R4847" s="22"/>
      <c r="S4847" s="22"/>
      <c r="T4847" s="22"/>
      <c r="U4847" s="22"/>
      <c r="V4847" s="22"/>
      <c r="W4847" s="22"/>
      <c r="X4847" s="104"/>
      <c r="Y4847" s="195" t="str">
        <f t="shared" si="1486"/>
        <v/>
      </c>
      <c r="Z4847" s="196" t="str">
        <f t="shared" si="1487"/>
        <v/>
      </c>
      <c r="AA4847" s="22"/>
      <c r="AB4847" s="197" t="str">
        <f t="shared" si="1492"/>
        <v/>
      </c>
      <c r="AC4847" s="198" t="str">
        <f t="shared" si="1493"/>
        <v/>
      </c>
      <c r="AD4847" s="162"/>
      <c r="AE4847" s="199" t="str">
        <f t="shared" si="1494"/>
        <v/>
      </c>
      <c r="AF4847" s="199" t="str">
        <f>IF(AND(COUNTIFS($J$18:J4847,J4847)=1,AE4847=1),1,"")</f>
        <v/>
      </c>
      <c r="AG4847" s="199" t="str">
        <f>IF(C4847="","",IF(AND(COUNTIFS($J$18:J4847,J4847)=1,C4847&lt;&gt;""),1,""))</f>
        <v/>
      </c>
      <c r="AH4847" s="199" t="str">
        <f>IF(G4847="","",IF(AND(COUNTIFS($J$18:J4847,J4847)=1,G4847&lt;&gt;""),1,""))</f>
        <v/>
      </c>
      <c r="AI4847" s="200">
        <f t="shared" si="1495"/>
        <v>0</v>
      </c>
      <c r="AJ4847" s="200">
        <f t="shared" si="1496"/>
        <v>0</v>
      </c>
      <c r="AK4847" s="201" t="str">
        <f t="shared" si="1497"/>
        <v/>
      </c>
      <c r="AL4847" s="24"/>
      <c r="AM4847" s="24"/>
      <c r="AN4847" s="24"/>
      <c r="AO4847" s="24"/>
      <c r="AP4847" s="165" t="str">
        <f t="shared" si="1498"/>
        <v/>
      </c>
      <c r="AQ4847" s="203" t="str">
        <f t="shared" si="1499"/>
        <v/>
      </c>
      <c r="AR4847" s="206">
        <f t="shared" si="1500"/>
        <v>0</v>
      </c>
      <c r="AS4847" s="22" t="str">
        <f t="shared" si="1501"/>
        <v/>
      </c>
      <c r="AT4847" s="24" t="str">
        <f t="shared" si="1502"/>
        <v/>
      </c>
      <c r="AU4847" s="22" t="s">
        <v>3240</v>
      </c>
    </row>
    <row r="4848" spans="1:47">
      <c r="A4848" s="246" t="str">
        <f t="shared" si="1490"/>
        <v/>
      </c>
      <c r="B4848" s="23"/>
      <c r="C4848" s="23"/>
      <c r="D4848" s="202" t="str">
        <f t="shared" si="1491"/>
        <v/>
      </c>
      <c r="E4848" s="33" t="str">
        <f t="shared" si="1485"/>
        <v/>
      </c>
      <c r="F4848" s="23"/>
      <c r="G4848" s="23"/>
      <c r="H4848" s="29"/>
      <c r="I4848" s="204" t="str">
        <f t="shared" si="1488"/>
        <v/>
      </c>
      <c r="J4848" s="188"/>
      <c r="K4848" s="29"/>
      <c r="L4848" s="24"/>
      <c r="M4848" s="22"/>
      <c r="N4848" s="22"/>
      <c r="O4848" s="22"/>
      <c r="P4848" s="202" t="str">
        <f t="shared" si="1489"/>
        <v/>
      </c>
      <c r="Q4848" s="22"/>
      <c r="R4848" s="22"/>
      <c r="S4848" s="22"/>
      <c r="T4848" s="22"/>
      <c r="U4848" s="22"/>
      <c r="V4848" s="22"/>
      <c r="W4848" s="22"/>
      <c r="X4848" s="104"/>
      <c r="Y4848" s="195" t="str">
        <f t="shared" si="1486"/>
        <v/>
      </c>
      <c r="Z4848" s="196" t="str">
        <f t="shared" si="1487"/>
        <v/>
      </c>
      <c r="AA4848" s="22"/>
      <c r="AB4848" s="197" t="str">
        <f t="shared" si="1492"/>
        <v/>
      </c>
      <c r="AC4848" s="198" t="str">
        <f t="shared" si="1493"/>
        <v/>
      </c>
      <c r="AD4848" s="162"/>
      <c r="AE4848" s="199" t="str">
        <f t="shared" si="1494"/>
        <v/>
      </c>
      <c r="AF4848" s="199" t="str">
        <f>IF(AND(COUNTIFS($J$18:J4848,J4848)=1,AE4848=1),1,"")</f>
        <v/>
      </c>
      <c r="AG4848" s="199" t="str">
        <f>IF(C4848="","",IF(AND(COUNTIFS($J$18:J4848,J4848)=1,C4848&lt;&gt;""),1,""))</f>
        <v/>
      </c>
      <c r="AH4848" s="199" t="str">
        <f>IF(G4848="","",IF(AND(COUNTIFS($J$18:J4848,J4848)=1,G4848&lt;&gt;""),1,""))</f>
        <v/>
      </c>
      <c r="AI4848" s="200">
        <f t="shared" si="1495"/>
        <v>0</v>
      </c>
      <c r="AJ4848" s="200">
        <f t="shared" si="1496"/>
        <v>0</v>
      </c>
      <c r="AK4848" s="201" t="str">
        <f t="shared" si="1497"/>
        <v/>
      </c>
      <c r="AL4848" s="24"/>
      <c r="AM4848" s="24"/>
      <c r="AN4848" s="24"/>
      <c r="AO4848" s="24"/>
      <c r="AP4848" s="165" t="str">
        <f t="shared" si="1498"/>
        <v/>
      </c>
      <c r="AQ4848" s="203" t="str">
        <f t="shared" si="1499"/>
        <v/>
      </c>
      <c r="AR4848" s="206">
        <f t="shared" si="1500"/>
        <v>0</v>
      </c>
      <c r="AS4848" s="22" t="str">
        <f t="shared" si="1501"/>
        <v/>
      </c>
      <c r="AT4848" s="24" t="str">
        <f t="shared" si="1502"/>
        <v/>
      </c>
      <c r="AU4848" s="22" t="s">
        <v>3240</v>
      </c>
    </row>
    <row r="4849" spans="1:47">
      <c r="A4849" s="246" t="str">
        <f t="shared" si="1490"/>
        <v/>
      </c>
      <c r="B4849" s="23"/>
      <c r="C4849" s="23"/>
      <c r="D4849" s="202" t="str">
        <f t="shared" si="1491"/>
        <v/>
      </c>
      <c r="E4849" s="33" t="str">
        <f t="shared" si="1485"/>
        <v/>
      </c>
      <c r="F4849" s="23"/>
      <c r="G4849" s="23"/>
      <c r="H4849" s="29"/>
      <c r="I4849" s="204" t="str">
        <f t="shared" si="1488"/>
        <v/>
      </c>
      <c r="J4849" s="188"/>
      <c r="K4849" s="29"/>
      <c r="L4849" s="24"/>
      <c r="M4849" s="22"/>
      <c r="N4849" s="22"/>
      <c r="O4849" s="22"/>
      <c r="P4849" s="202" t="str">
        <f t="shared" si="1489"/>
        <v/>
      </c>
      <c r="Q4849" s="22"/>
      <c r="R4849" s="22"/>
      <c r="S4849" s="22"/>
      <c r="T4849" s="22"/>
      <c r="U4849" s="22"/>
      <c r="V4849" s="22"/>
      <c r="W4849" s="22"/>
      <c r="X4849" s="104"/>
      <c r="Y4849" s="195" t="str">
        <f t="shared" si="1486"/>
        <v/>
      </c>
      <c r="Z4849" s="196" t="str">
        <f t="shared" si="1487"/>
        <v/>
      </c>
      <c r="AA4849" s="22"/>
      <c r="AB4849" s="197" t="str">
        <f t="shared" si="1492"/>
        <v/>
      </c>
      <c r="AC4849" s="198" t="str">
        <f t="shared" si="1493"/>
        <v/>
      </c>
      <c r="AD4849" s="162"/>
      <c r="AE4849" s="199" t="str">
        <f t="shared" si="1494"/>
        <v/>
      </c>
      <c r="AF4849" s="199" t="str">
        <f>IF(AND(COUNTIFS($J$18:J4849,J4849)=1,AE4849=1),1,"")</f>
        <v/>
      </c>
      <c r="AG4849" s="199" t="str">
        <f>IF(C4849="","",IF(AND(COUNTIFS($J$18:J4849,J4849)=1,C4849&lt;&gt;""),1,""))</f>
        <v/>
      </c>
      <c r="AH4849" s="199" t="str">
        <f>IF(G4849="","",IF(AND(COUNTIFS($J$18:J4849,J4849)=1,G4849&lt;&gt;""),1,""))</f>
        <v/>
      </c>
      <c r="AI4849" s="200">
        <f t="shared" si="1495"/>
        <v>0</v>
      </c>
      <c r="AJ4849" s="200">
        <f t="shared" si="1496"/>
        <v>0</v>
      </c>
      <c r="AK4849" s="201" t="str">
        <f t="shared" si="1497"/>
        <v/>
      </c>
      <c r="AL4849" s="24"/>
      <c r="AM4849" s="24"/>
      <c r="AN4849" s="24"/>
      <c r="AO4849" s="24"/>
      <c r="AP4849" s="165" t="str">
        <f t="shared" si="1498"/>
        <v/>
      </c>
      <c r="AQ4849" s="203" t="str">
        <f t="shared" si="1499"/>
        <v/>
      </c>
      <c r="AR4849" s="206">
        <f t="shared" si="1500"/>
        <v>0</v>
      </c>
      <c r="AS4849" s="22" t="str">
        <f t="shared" si="1501"/>
        <v/>
      </c>
      <c r="AT4849" s="24" t="str">
        <f t="shared" si="1502"/>
        <v/>
      </c>
      <c r="AU4849" s="22" t="s">
        <v>3240</v>
      </c>
    </row>
    <row r="4850" spans="1:47">
      <c r="A4850" s="246" t="str">
        <f t="shared" si="1490"/>
        <v/>
      </c>
      <c r="B4850" s="23"/>
      <c r="C4850" s="23"/>
      <c r="D4850" s="202" t="str">
        <f t="shared" si="1491"/>
        <v/>
      </c>
      <c r="E4850" s="33" t="str">
        <f t="shared" si="1485"/>
        <v/>
      </c>
      <c r="F4850" s="23"/>
      <c r="G4850" s="23"/>
      <c r="H4850" s="29"/>
      <c r="I4850" s="204" t="str">
        <f t="shared" si="1488"/>
        <v/>
      </c>
      <c r="J4850" s="188"/>
      <c r="K4850" s="29"/>
      <c r="L4850" s="24"/>
      <c r="M4850" s="22"/>
      <c r="N4850" s="22"/>
      <c r="O4850" s="22"/>
      <c r="P4850" s="202" t="str">
        <f t="shared" si="1489"/>
        <v/>
      </c>
      <c r="Q4850" s="22"/>
      <c r="R4850" s="22"/>
      <c r="S4850" s="22"/>
      <c r="T4850" s="22"/>
      <c r="U4850" s="22"/>
      <c r="V4850" s="22"/>
      <c r="W4850" s="22"/>
      <c r="X4850" s="104"/>
      <c r="Y4850" s="195" t="str">
        <f t="shared" si="1486"/>
        <v/>
      </c>
      <c r="Z4850" s="196" t="str">
        <f t="shared" si="1487"/>
        <v/>
      </c>
      <c r="AA4850" s="22"/>
      <c r="AB4850" s="197" t="str">
        <f t="shared" si="1492"/>
        <v/>
      </c>
      <c r="AC4850" s="198" t="str">
        <f t="shared" si="1493"/>
        <v/>
      </c>
      <c r="AD4850" s="162"/>
      <c r="AE4850" s="199" t="str">
        <f t="shared" si="1494"/>
        <v/>
      </c>
      <c r="AF4850" s="199" t="str">
        <f>IF(AND(COUNTIFS($J$18:J4850,J4850)=1,AE4850=1),1,"")</f>
        <v/>
      </c>
      <c r="AG4850" s="199" t="str">
        <f>IF(C4850="","",IF(AND(COUNTIFS($J$18:J4850,J4850)=1,C4850&lt;&gt;""),1,""))</f>
        <v/>
      </c>
      <c r="AH4850" s="199" t="str">
        <f>IF(G4850="","",IF(AND(COUNTIFS($J$18:J4850,J4850)=1,G4850&lt;&gt;""),1,""))</f>
        <v/>
      </c>
      <c r="AI4850" s="200">
        <f t="shared" si="1495"/>
        <v>0</v>
      </c>
      <c r="AJ4850" s="200">
        <f t="shared" si="1496"/>
        <v>0</v>
      </c>
      <c r="AK4850" s="201" t="str">
        <f t="shared" si="1497"/>
        <v/>
      </c>
      <c r="AL4850" s="24"/>
      <c r="AM4850" s="24"/>
      <c r="AN4850" s="24"/>
      <c r="AO4850" s="24"/>
      <c r="AP4850" s="165" t="str">
        <f t="shared" si="1498"/>
        <v/>
      </c>
      <c r="AQ4850" s="203" t="str">
        <f t="shared" si="1499"/>
        <v/>
      </c>
      <c r="AR4850" s="206">
        <f t="shared" si="1500"/>
        <v>0</v>
      </c>
      <c r="AS4850" s="22" t="str">
        <f t="shared" si="1501"/>
        <v/>
      </c>
      <c r="AT4850" s="24" t="str">
        <f t="shared" si="1502"/>
        <v/>
      </c>
      <c r="AU4850" s="22" t="s">
        <v>3240</v>
      </c>
    </row>
    <row r="4851" spans="1:47">
      <c r="A4851" s="246" t="str">
        <f t="shared" si="1490"/>
        <v/>
      </c>
      <c r="B4851" s="23"/>
      <c r="C4851" s="23"/>
      <c r="D4851" s="202" t="str">
        <f t="shared" si="1491"/>
        <v/>
      </c>
      <c r="E4851" s="33" t="str">
        <f t="shared" si="1485"/>
        <v/>
      </c>
      <c r="F4851" s="23"/>
      <c r="G4851" s="23"/>
      <c r="H4851" s="29"/>
      <c r="I4851" s="204" t="str">
        <f t="shared" si="1488"/>
        <v/>
      </c>
      <c r="J4851" s="188"/>
      <c r="K4851" s="29"/>
      <c r="L4851" s="24"/>
      <c r="M4851" s="22"/>
      <c r="N4851" s="22"/>
      <c r="O4851" s="22"/>
      <c r="P4851" s="202" t="str">
        <f t="shared" si="1489"/>
        <v/>
      </c>
      <c r="Q4851" s="22"/>
      <c r="R4851" s="22"/>
      <c r="S4851" s="22"/>
      <c r="T4851" s="22"/>
      <c r="U4851" s="22"/>
      <c r="V4851" s="22"/>
      <c r="W4851" s="22"/>
      <c r="X4851" s="104"/>
      <c r="Y4851" s="195" t="str">
        <f t="shared" si="1486"/>
        <v/>
      </c>
      <c r="Z4851" s="196" t="str">
        <f t="shared" si="1487"/>
        <v/>
      </c>
      <c r="AA4851" s="22"/>
      <c r="AB4851" s="197" t="str">
        <f t="shared" si="1492"/>
        <v/>
      </c>
      <c r="AC4851" s="198" t="str">
        <f t="shared" si="1493"/>
        <v/>
      </c>
      <c r="AD4851" s="162"/>
      <c r="AE4851" s="199" t="str">
        <f t="shared" si="1494"/>
        <v/>
      </c>
      <c r="AF4851" s="199" t="str">
        <f>IF(AND(COUNTIFS($J$18:J4851,J4851)=1,AE4851=1),1,"")</f>
        <v/>
      </c>
      <c r="AG4851" s="199" t="str">
        <f>IF(C4851="","",IF(AND(COUNTIFS($J$18:J4851,J4851)=1,C4851&lt;&gt;""),1,""))</f>
        <v/>
      </c>
      <c r="AH4851" s="199" t="str">
        <f>IF(G4851="","",IF(AND(COUNTIFS($J$18:J4851,J4851)=1,G4851&lt;&gt;""),1,""))</f>
        <v/>
      </c>
      <c r="AI4851" s="200">
        <f t="shared" si="1495"/>
        <v>0</v>
      </c>
      <c r="AJ4851" s="200">
        <f t="shared" si="1496"/>
        <v>0</v>
      </c>
      <c r="AK4851" s="201" t="str">
        <f t="shared" si="1497"/>
        <v/>
      </c>
      <c r="AL4851" s="24"/>
      <c r="AM4851" s="24"/>
      <c r="AN4851" s="24"/>
      <c r="AO4851" s="24"/>
      <c r="AP4851" s="165" t="str">
        <f t="shared" si="1498"/>
        <v/>
      </c>
      <c r="AQ4851" s="203" t="str">
        <f t="shared" si="1499"/>
        <v/>
      </c>
      <c r="AR4851" s="206">
        <f t="shared" si="1500"/>
        <v>0</v>
      </c>
      <c r="AS4851" s="22" t="str">
        <f t="shared" si="1501"/>
        <v/>
      </c>
      <c r="AT4851" s="24" t="str">
        <f t="shared" si="1502"/>
        <v/>
      </c>
      <c r="AU4851" s="22" t="s">
        <v>3240</v>
      </c>
    </row>
    <row r="4852" spans="1:47">
      <c r="A4852" s="246" t="str">
        <f t="shared" si="1490"/>
        <v/>
      </c>
      <c r="B4852" s="23"/>
      <c r="C4852" s="23"/>
      <c r="D4852" s="202" t="str">
        <f t="shared" si="1491"/>
        <v/>
      </c>
      <c r="E4852" s="33" t="str">
        <f t="shared" si="1485"/>
        <v/>
      </c>
      <c r="F4852" s="23"/>
      <c r="G4852" s="23"/>
      <c r="H4852" s="29"/>
      <c r="I4852" s="204" t="str">
        <f t="shared" si="1488"/>
        <v/>
      </c>
      <c r="J4852" s="188"/>
      <c r="K4852" s="29"/>
      <c r="L4852" s="24"/>
      <c r="M4852" s="22"/>
      <c r="N4852" s="22"/>
      <c r="O4852" s="22"/>
      <c r="P4852" s="202" t="str">
        <f t="shared" si="1489"/>
        <v/>
      </c>
      <c r="Q4852" s="22"/>
      <c r="R4852" s="22"/>
      <c r="S4852" s="22"/>
      <c r="T4852" s="22"/>
      <c r="U4852" s="22"/>
      <c r="V4852" s="22"/>
      <c r="W4852" s="22"/>
      <c r="X4852" s="104"/>
      <c r="Y4852" s="195" t="str">
        <f t="shared" si="1486"/>
        <v/>
      </c>
      <c r="Z4852" s="196" t="str">
        <f t="shared" si="1487"/>
        <v/>
      </c>
      <c r="AA4852" s="22"/>
      <c r="AB4852" s="197" t="str">
        <f t="shared" si="1492"/>
        <v/>
      </c>
      <c r="AC4852" s="198" t="str">
        <f t="shared" si="1493"/>
        <v/>
      </c>
      <c r="AD4852" s="162"/>
      <c r="AE4852" s="199" t="str">
        <f t="shared" si="1494"/>
        <v/>
      </c>
      <c r="AF4852" s="199" t="str">
        <f>IF(AND(COUNTIFS($J$18:J4852,J4852)=1,AE4852=1),1,"")</f>
        <v/>
      </c>
      <c r="AG4852" s="199" t="str">
        <f>IF(C4852="","",IF(AND(COUNTIFS($J$18:J4852,J4852)=1,C4852&lt;&gt;""),1,""))</f>
        <v/>
      </c>
      <c r="AH4852" s="199" t="str">
        <f>IF(G4852="","",IF(AND(COUNTIFS($J$18:J4852,J4852)=1,G4852&lt;&gt;""),1,""))</f>
        <v/>
      </c>
      <c r="AI4852" s="200">
        <f t="shared" si="1495"/>
        <v>0</v>
      </c>
      <c r="AJ4852" s="200">
        <f t="shared" si="1496"/>
        <v>0</v>
      </c>
      <c r="AK4852" s="201" t="str">
        <f t="shared" si="1497"/>
        <v/>
      </c>
      <c r="AL4852" s="24"/>
      <c r="AM4852" s="24"/>
      <c r="AN4852" s="24"/>
      <c r="AO4852" s="24"/>
      <c r="AP4852" s="165" t="str">
        <f t="shared" si="1498"/>
        <v/>
      </c>
      <c r="AQ4852" s="203" t="str">
        <f t="shared" si="1499"/>
        <v/>
      </c>
      <c r="AR4852" s="206">
        <f t="shared" si="1500"/>
        <v>0</v>
      </c>
      <c r="AS4852" s="22" t="str">
        <f t="shared" si="1501"/>
        <v/>
      </c>
      <c r="AT4852" s="24" t="str">
        <f t="shared" si="1502"/>
        <v/>
      </c>
      <c r="AU4852" s="22" t="s">
        <v>3240</v>
      </c>
    </row>
    <row r="4853" spans="1:47">
      <c r="A4853" s="246" t="str">
        <f t="shared" si="1490"/>
        <v/>
      </c>
      <c r="B4853" s="23"/>
      <c r="C4853" s="23"/>
      <c r="D4853" s="202" t="str">
        <f t="shared" si="1491"/>
        <v/>
      </c>
      <c r="E4853" s="33" t="str">
        <f t="shared" si="1485"/>
        <v/>
      </c>
      <c r="F4853" s="23"/>
      <c r="G4853" s="23"/>
      <c r="H4853" s="29"/>
      <c r="I4853" s="204" t="str">
        <f t="shared" si="1488"/>
        <v/>
      </c>
      <c r="J4853" s="188"/>
      <c r="K4853" s="29"/>
      <c r="L4853" s="24"/>
      <c r="M4853" s="22"/>
      <c r="N4853" s="22"/>
      <c r="O4853" s="22"/>
      <c r="P4853" s="202" t="str">
        <f t="shared" si="1489"/>
        <v/>
      </c>
      <c r="Q4853" s="22"/>
      <c r="R4853" s="22"/>
      <c r="S4853" s="22"/>
      <c r="T4853" s="22"/>
      <c r="U4853" s="22"/>
      <c r="V4853" s="22"/>
      <c r="W4853" s="22"/>
      <c r="X4853" s="104"/>
      <c r="Y4853" s="195" t="str">
        <f t="shared" si="1486"/>
        <v/>
      </c>
      <c r="Z4853" s="196" t="str">
        <f t="shared" si="1487"/>
        <v/>
      </c>
      <c r="AA4853" s="22"/>
      <c r="AB4853" s="197" t="str">
        <f t="shared" si="1492"/>
        <v/>
      </c>
      <c r="AC4853" s="198" t="str">
        <f t="shared" si="1493"/>
        <v/>
      </c>
      <c r="AD4853" s="162"/>
      <c r="AE4853" s="199" t="str">
        <f t="shared" si="1494"/>
        <v/>
      </c>
      <c r="AF4853" s="199" t="str">
        <f>IF(AND(COUNTIFS($J$18:J4853,J4853)=1,AE4853=1),1,"")</f>
        <v/>
      </c>
      <c r="AG4853" s="199" t="str">
        <f>IF(C4853="","",IF(AND(COUNTIFS($J$18:J4853,J4853)=1,C4853&lt;&gt;""),1,""))</f>
        <v/>
      </c>
      <c r="AH4853" s="199" t="str">
        <f>IF(G4853="","",IF(AND(COUNTIFS($J$18:J4853,J4853)=1,G4853&lt;&gt;""),1,""))</f>
        <v/>
      </c>
      <c r="AI4853" s="200">
        <f t="shared" si="1495"/>
        <v>0</v>
      </c>
      <c r="AJ4853" s="200">
        <f t="shared" si="1496"/>
        <v>0</v>
      </c>
      <c r="AK4853" s="201" t="str">
        <f t="shared" si="1497"/>
        <v/>
      </c>
      <c r="AL4853" s="24"/>
      <c r="AM4853" s="24"/>
      <c r="AN4853" s="24"/>
      <c r="AO4853" s="24"/>
      <c r="AP4853" s="165" t="str">
        <f t="shared" si="1498"/>
        <v/>
      </c>
      <c r="AQ4853" s="203" t="str">
        <f t="shared" si="1499"/>
        <v/>
      </c>
      <c r="AR4853" s="206">
        <f t="shared" si="1500"/>
        <v>0</v>
      </c>
      <c r="AS4853" s="22" t="str">
        <f t="shared" si="1501"/>
        <v/>
      </c>
      <c r="AT4853" s="24" t="str">
        <f t="shared" si="1502"/>
        <v/>
      </c>
      <c r="AU4853" s="22" t="s">
        <v>3240</v>
      </c>
    </row>
    <row r="4854" spans="1:47">
      <c r="A4854" s="246" t="str">
        <f t="shared" si="1490"/>
        <v/>
      </c>
      <c r="B4854" s="23"/>
      <c r="C4854" s="23"/>
      <c r="D4854" s="202" t="str">
        <f t="shared" si="1491"/>
        <v/>
      </c>
      <c r="E4854" s="33" t="str">
        <f t="shared" si="1485"/>
        <v/>
      </c>
      <c r="F4854" s="23"/>
      <c r="G4854" s="23"/>
      <c r="H4854" s="29"/>
      <c r="I4854" s="204" t="str">
        <f t="shared" si="1488"/>
        <v/>
      </c>
      <c r="J4854" s="188"/>
      <c r="K4854" s="29"/>
      <c r="L4854" s="24"/>
      <c r="M4854" s="22"/>
      <c r="N4854" s="22"/>
      <c r="O4854" s="22"/>
      <c r="P4854" s="202" t="str">
        <f t="shared" si="1489"/>
        <v/>
      </c>
      <c r="Q4854" s="22"/>
      <c r="R4854" s="22"/>
      <c r="S4854" s="22"/>
      <c r="T4854" s="22"/>
      <c r="U4854" s="22"/>
      <c r="V4854" s="22"/>
      <c r="W4854" s="22"/>
      <c r="X4854" s="104"/>
      <c r="Y4854" s="195" t="str">
        <f t="shared" si="1486"/>
        <v/>
      </c>
      <c r="Z4854" s="196" t="str">
        <f t="shared" si="1487"/>
        <v/>
      </c>
      <c r="AA4854" s="22"/>
      <c r="AB4854" s="197" t="str">
        <f t="shared" si="1492"/>
        <v/>
      </c>
      <c r="AC4854" s="198" t="str">
        <f t="shared" si="1493"/>
        <v/>
      </c>
      <c r="AD4854" s="162"/>
      <c r="AE4854" s="199" t="str">
        <f t="shared" si="1494"/>
        <v/>
      </c>
      <c r="AF4854" s="199" t="str">
        <f>IF(AND(COUNTIFS($J$18:J4854,J4854)=1,AE4854=1),1,"")</f>
        <v/>
      </c>
      <c r="AG4854" s="199" t="str">
        <f>IF(C4854="","",IF(AND(COUNTIFS($J$18:J4854,J4854)=1,C4854&lt;&gt;""),1,""))</f>
        <v/>
      </c>
      <c r="AH4854" s="199" t="str">
        <f>IF(G4854="","",IF(AND(COUNTIFS($J$18:J4854,J4854)=1,G4854&lt;&gt;""),1,""))</f>
        <v/>
      </c>
      <c r="AI4854" s="200">
        <f t="shared" si="1495"/>
        <v>0</v>
      </c>
      <c r="AJ4854" s="200">
        <f t="shared" si="1496"/>
        <v>0</v>
      </c>
      <c r="AK4854" s="201" t="str">
        <f t="shared" si="1497"/>
        <v/>
      </c>
      <c r="AL4854" s="24"/>
      <c r="AM4854" s="24"/>
      <c r="AN4854" s="24"/>
      <c r="AO4854" s="24"/>
      <c r="AP4854" s="165" t="str">
        <f t="shared" si="1498"/>
        <v/>
      </c>
      <c r="AQ4854" s="203" t="str">
        <f t="shared" si="1499"/>
        <v/>
      </c>
      <c r="AR4854" s="206">
        <f t="shared" si="1500"/>
        <v>0</v>
      </c>
      <c r="AS4854" s="22" t="str">
        <f t="shared" si="1501"/>
        <v/>
      </c>
      <c r="AT4854" s="24" t="str">
        <f t="shared" si="1502"/>
        <v/>
      </c>
      <c r="AU4854" s="22" t="s">
        <v>3240</v>
      </c>
    </row>
    <row r="4855" spans="1:47">
      <c r="A4855" s="246" t="str">
        <f t="shared" si="1490"/>
        <v/>
      </c>
      <c r="B4855" s="23"/>
      <c r="C4855" s="23"/>
      <c r="D4855" s="202" t="str">
        <f t="shared" si="1491"/>
        <v/>
      </c>
      <c r="E4855" s="33" t="str">
        <f t="shared" si="1485"/>
        <v/>
      </c>
      <c r="F4855" s="23"/>
      <c r="G4855" s="23"/>
      <c r="H4855" s="29"/>
      <c r="I4855" s="204" t="str">
        <f t="shared" si="1488"/>
        <v/>
      </c>
      <c r="J4855" s="188"/>
      <c r="K4855" s="29"/>
      <c r="L4855" s="24"/>
      <c r="M4855" s="22"/>
      <c r="N4855" s="22"/>
      <c r="O4855" s="22"/>
      <c r="P4855" s="202" t="str">
        <f t="shared" si="1489"/>
        <v/>
      </c>
      <c r="Q4855" s="22"/>
      <c r="R4855" s="22"/>
      <c r="S4855" s="22"/>
      <c r="T4855" s="22"/>
      <c r="U4855" s="22"/>
      <c r="V4855" s="22"/>
      <c r="W4855" s="22"/>
      <c r="X4855" s="104"/>
      <c r="Y4855" s="195" t="str">
        <f t="shared" si="1486"/>
        <v/>
      </c>
      <c r="Z4855" s="196" t="str">
        <f t="shared" si="1487"/>
        <v/>
      </c>
      <c r="AA4855" s="22"/>
      <c r="AB4855" s="197" t="str">
        <f t="shared" si="1492"/>
        <v/>
      </c>
      <c r="AC4855" s="198" t="str">
        <f t="shared" si="1493"/>
        <v/>
      </c>
      <c r="AD4855" s="162"/>
      <c r="AE4855" s="199" t="str">
        <f t="shared" si="1494"/>
        <v/>
      </c>
      <c r="AF4855" s="199" t="str">
        <f>IF(AND(COUNTIFS($J$18:J4855,J4855)=1,AE4855=1),1,"")</f>
        <v/>
      </c>
      <c r="AG4855" s="199" t="str">
        <f>IF(C4855="","",IF(AND(COUNTIFS($J$18:J4855,J4855)=1,C4855&lt;&gt;""),1,""))</f>
        <v/>
      </c>
      <c r="AH4855" s="199" t="str">
        <f>IF(G4855="","",IF(AND(COUNTIFS($J$18:J4855,J4855)=1,G4855&lt;&gt;""),1,""))</f>
        <v/>
      </c>
      <c r="AI4855" s="200">
        <f t="shared" si="1495"/>
        <v>0</v>
      </c>
      <c r="AJ4855" s="200">
        <f t="shared" si="1496"/>
        <v>0</v>
      </c>
      <c r="AK4855" s="201" t="str">
        <f t="shared" si="1497"/>
        <v/>
      </c>
      <c r="AL4855" s="24"/>
      <c r="AM4855" s="24"/>
      <c r="AN4855" s="24"/>
      <c r="AO4855" s="24"/>
      <c r="AP4855" s="165" t="str">
        <f t="shared" si="1498"/>
        <v/>
      </c>
      <c r="AQ4855" s="203" t="str">
        <f t="shared" si="1499"/>
        <v/>
      </c>
      <c r="AR4855" s="206">
        <f t="shared" si="1500"/>
        <v>0</v>
      </c>
      <c r="AS4855" s="22" t="str">
        <f t="shared" si="1501"/>
        <v/>
      </c>
      <c r="AT4855" s="24" t="str">
        <f t="shared" si="1502"/>
        <v/>
      </c>
      <c r="AU4855" s="22" t="s">
        <v>3240</v>
      </c>
    </row>
    <row r="4856" spans="1:47">
      <c r="A4856" s="246" t="str">
        <f t="shared" si="1490"/>
        <v/>
      </c>
      <c r="B4856" s="23"/>
      <c r="C4856" s="23"/>
      <c r="D4856" s="202" t="str">
        <f t="shared" si="1491"/>
        <v/>
      </c>
      <c r="E4856" s="33" t="str">
        <f t="shared" si="1485"/>
        <v/>
      </c>
      <c r="F4856" s="23"/>
      <c r="G4856" s="23"/>
      <c r="H4856" s="29"/>
      <c r="I4856" s="204" t="str">
        <f t="shared" si="1488"/>
        <v/>
      </c>
      <c r="J4856" s="188"/>
      <c r="K4856" s="29"/>
      <c r="L4856" s="24"/>
      <c r="M4856" s="22"/>
      <c r="N4856" s="22"/>
      <c r="O4856" s="22"/>
      <c r="P4856" s="202" t="str">
        <f t="shared" si="1489"/>
        <v/>
      </c>
      <c r="Q4856" s="22"/>
      <c r="R4856" s="22"/>
      <c r="S4856" s="22"/>
      <c r="T4856" s="22"/>
      <c r="U4856" s="22"/>
      <c r="V4856" s="22"/>
      <c r="W4856" s="22"/>
      <c r="X4856" s="104"/>
      <c r="Y4856" s="195" t="str">
        <f t="shared" si="1486"/>
        <v/>
      </c>
      <c r="Z4856" s="196" t="str">
        <f t="shared" si="1487"/>
        <v/>
      </c>
      <c r="AA4856" s="22"/>
      <c r="AB4856" s="197" t="str">
        <f t="shared" si="1492"/>
        <v/>
      </c>
      <c r="AC4856" s="198" t="str">
        <f t="shared" si="1493"/>
        <v/>
      </c>
      <c r="AD4856" s="162"/>
      <c r="AE4856" s="199" t="str">
        <f t="shared" si="1494"/>
        <v/>
      </c>
      <c r="AF4856" s="199" t="str">
        <f>IF(AND(COUNTIFS($J$18:J4856,J4856)=1,AE4856=1),1,"")</f>
        <v/>
      </c>
      <c r="AG4856" s="199" t="str">
        <f>IF(C4856="","",IF(AND(COUNTIFS($J$18:J4856,J4856)=1,C4856&lt;&gt;""),1,""))</f>
        <v/>
      </c>
      <c r="AH4856" s="199" t="str">
        <f>IF(G4856="","",IF(AND(COUNTIFS($J$18:J4856,J4856)=1,G4856&lt;&gt;""),1,""))</f>
        <v/>
      </c>
      <c r="AI4856" s="200">
        <f t="shared" si="1495"/>
        <v>0</v>
      </c>
      <c r="AJ4856" s="200">
        <f t="shared" si="1496"/>
        <v>0</v>
      </c>
      <c r="AK4856" s="201" t="str">
        <f t="shared" si="1497"/>
        <v/>
      </c>
      <c r="AL4856" s="24"/>
      <c r="AM4856" s="24"/>
      <c r="AN4856" s="24"/>
      <c r="AO4856" s="24"/>
      <c r="AP4856" s="165" t="str">
        <f t="shared" si="1498"/>
        <v/>
      </c>
      <c r="AQ4856" s="203" t="str">
        <f t="shared" si="1499"/>
        <v/>
      </c>
      <c r="AR4856" s="206">
        <f t="shared" si="1500"/>
        <v>0</v>
      </c>
      <c r="AS4856" s="22" t="str">
        <f t="shared" si="1501"/>
        <v/>
      </c>
      <c r="AT4856" s="24" t="str">
        <f t="shared" si="1502"/>
        <v/>
      </c>
      <c r="AU4856" s="22" t="s">
        <v>3240</v>
      </c>
    </row>
    <row r="4857" spans="1:47">
      <c r="A4857" s="246" t="str">
        <f t="shared" si="1490"/>
        <v/>
      </c>
      <c r="B4857" s="23"/>
      <c r="C4857" s="23"/>
      <c r="D4857" s="202" t="str">
        <f t="shared" si="1491"/>
        <v/>
      </c>
      <c r="E4857" s="33" t="str">
        <f t="shared" si="1485"/>
        <v/>
      </c>
      <c r="F4857" s="23"/>
      <c r="G4857" s="23"/>
      <c r="H4857" s="29"/>
      <c r="I4857" s="204" t="str">
        <f t="shared" si="1488"/>
        <v/>
      </c>
      <c r="J4857" s="188"/>
      <c r="K4857" s="29"/>
      <c r="L4857" s="24"/>
      <c r="M4857" s="22"/>
      <c r="N4857" s="22"/>
      <c r="O4857" s="22"/>
      <c r="P4857" s="202" t="str">
        <f t="shared" si="1489"/>
        <v/>
      </c>
      <c r="Q4857" s="22"/>
      <c r="R4857" s="22"/>
      <c r="S4857" s="22"/>
      <c r="T4857" s="22"/>
      <c r="U4857" s="22"/>
      <c r="V4857" s="22"/>
      <c r="W4857" s="22"/>
      <c r="X4857" s="104"/>
      <c r="Y4857" s="195" t="str">
        <f t="shared" si="1486"/>
        <v/>
      </c>
      <c r="Z4857" s="196" t="str">
        <f t="shared" si="1487"/>
        <v/>
      </c>
      <c r="AA4857" s="22"/>
      <c r="AB4857" s="197" t="str">
        <f t="shared" si="1492"/>
        <v/>
      </c>
      <c r="AC4857" s="198" t="str">
        <f t="shared" si="1493"/>
        <v/>
      </c>
      <c r="AD4857" s="162"/>
      <c r="AE4857" s="199" t="str">
        <f t="shared" si="1494"/>
        <v/>
      </c>
      <c r="AF4857" s="199" t="str">
        <f>IF(AND(COUNTIFS($J$18:J4857,J4857)=1,AE4857=1),1,"")</f>
        <v/>
      </c>
      <c r="AG4857" s="199" t="str">
        <f>IF(C4857="","",IF(AND(COUNTIFS($J$18:J4857,J4857)=1,C4857&lt;&gt;""),1,""))</f>
        <v/>
      </c>
      <c r="AH4857" s="199" t="str">
        <f>IF(G4857="","",IF(AND(COUNTIFS($J$18:J4857,J4857)=1,G4857&lt;&gt;""),1,""))</f>
        <v/>
      </c>
      <c r="AI4857" s="200">
        <f t="shared" si="1495"/>
        <v>0</v>
      </c>
      <c r="AJ4857" s="200">
        <f t="shared" si="1496"/>
        <v>0</v>
      </c>
      <c r="AK4857" s="201" t="str">
        <f t="shared" si="1497"/>
        <v/>
      </c>
      <c r="AL4857" s="24"/>
      <c r="AM4857" s="24"/>
      <c r="AN4857" s="24"/>
      <c r="AO4857" s="24"/>
      <c r="AP4857" s="165" t="str">
        <f t="shared" si="1498"/>
        <v/>
      </c>
      <c r="AQ4857" s="203" t="str">
        <f t="shared" si="1499"/>
        <v/>
      </c>
      <c r="AR4857" s="206">
        <f t="shared" si="1500"/>
        <v>0</v>
      </c>
      <c r="AS4857" s="22" t="str">
        <f t="shared" si="1501"/>
        <v/>
      </c>
      <c r="AT4857" s="24" t="str">
        <f t="shared" si="1502"/>
        <v/>
      </c>
      <c r="AU4857" s="22" t="s">
        <v>3240</v>
      </c>
    </row>
    <row r="4858" spans="1:47">
      <c r="A4858" s="246" t="str">
        <f t="shared" si="1490"/>
        <v/>
      </c>
      <c r="B4858" s="23"/>
      <c r="C4858" s="23"/>
      <c r="D4858" s="202" t="str">
        <f t="shared" si="1491"/>
        <v/>
      </c>
      <c r="E4858" s="33" t="str">
        <f t="shared" si="1485"/>
        <v/>
      </c>
      <c r="F4858" s="23"/>
      <c r="G4858" s="23"/>
      <c r="H4858" s="29"/>
      <c r="I4858" s="204" t="str">
        <f t="shared" si="1488"/>
        <v/>
      </c>
      <c r="J4858" s="188"/>
      <c r="K4858" s="29"/>
      <c r="L4858" s="24"/>
      <c r="M4858" s="22"/>
      <c r="N4858" s="22"/>
      <c r="O4858" s="22"/>
      <c r="P4858" s="202" t="str">
        <f t="shared" si="1489"/>
        <v/>
      </c>
      <c r="Q4858" s="22"/>
      <c r="R4858" s="22"/>
      <c r="S4858" s="22"/>
      <c r="T4858" s="22"/>
      <c r="U4858" s="22"/>
      <c r="V4858" s="22"/>
      <c r="W4858" s="22"/>
      <c r="X4858" s="104"/>
      <c r="Y4858" s="195" t="str">
        <f t="shared" si="1486"/>
        <v/>
      </c>
      <c r="Z4858" s="196" t="str">
        <f t="shared" si="1487"/>
        <v/>
      </c>
      <c r="AA4858" s="22"/>
      <c r="AB4858" s="197" t="str">
        <f t="shared" si="1492"/>
        <v/>
      </c>
      <c r="AC4858" s="198" t="str">
        <f t="shared" si="1493"/>
        <v/>
      </c>
      <c r="AD4858" s="162"/>
      <c r="AE4858" s="199" t="str">
        <f t="shared" si="1494"/>
        <v/>
      </c>
      <c r="AF4858" s="199" t="str">
        <f>IF(AND(COUNTIFS($J$18:J4858,J4858)=1,AE4858=1),1,"")</f>
        <v/>
      </c>
      <c r="AG4858" s="199" t="str">
        <f>IF(C4858="","",IF(AND(COUNTIFS($J$18:J4858,J4858)=1,C4858&lt;&gt;""),1,""))</f>
        <v/>
      </c>
      <c r="AH4858" s="199" t="str">
        <f>IF(G4858="","",IF(AND(COUNTIFS($J$18:J4858,J4858)=1,G4858&lt;&gt;""),1,""))</f>
        <v/>
      </c>
      <c r="AI4858" s="200">
        <f t="shared" si="1495"/>
        <v>0</v>
      </c>
      <c r="AJ4858" s="200">
        <f t="shared" si="1496"/>
        <v>0</v>
      </c>
      <c r="AK4858" s="201" t="str">
        <f t="shared" si="1497"/>
        <v/>
      </c>
      <c r="AL4858" s="24"/>
      <c r="AM4858" s="24"/>
      <c r="AN4858" s="24"/>
      <c r="AO4858" s="24"/>
      <c r="AP4858" s="165" t="str">
        <f t="shared" si="1498"/>
        <v/>
      </c>
      <c r="AQ4858" s="203" t="str">
        <f t="shared" si="1499"/>
        <v/>
      </c>
      <c r="AR4858" s="206">
        <f t="shared" si="1500"/>
        <v>0</v>
      </c>
      <c r="AS4858" s="22" t="str">
        <f t="shared" si="1501"/>
        <v/>
      </c>
      <c r="AT4858" s="24" t="str">
        <f t="shared" si="1502"/>
        <v/>
      </c>
      <c r="AU4858" s="22" t="s">
        <v>3240</v>
      </c>
    </row>
    <row r="4859" spans="1:47">
      <c r="A4859" s="246" t="str">
        <f t="shared" si="1490"/>
        <v/>
      </c>
      <c r="B4859" s="23"/>
      <c r="C4859" s="23"/>
      <c r="D4859" s="202" t="str">
        <f t="shared" si="1491"/>
        <v/>
      </c>
      <c r="E4859" s="33" t="str">
        <f t="shared" si="1485"/>
        <v/>
      </c>
      <c r="F4859" s="23"/>
      <c r="G4859" s="23"/>
      <c r="H4859" s="29"/>
      <c r="I4859" s="204" t="str">
        <f t="shared" si="1488"/>
        <v/>
      </c>
      <c r="J4859" s="188"/>
      <c r="K4859" s="29"/>
      <c r="L4859" s="24"/>
      <c r="M4859" s="22"/>
      <c r="N4859" s="22"/>
      <c r="O4859" s="22"/>
      <c r="P4859" s="202" t="str">
        <f t="shared" si="1489"/>
        <v/>
      </c>
      <c r="Q4859" s="22"/>
      <c r="R4859" s="22"/>
      <c r="S4859" s="22"/>
      <c r="T4859" s="22"/>
      <c r="U4859" s="22"/>
      <c r="V4859" s="22"/>
      <c r="W4859" s="22"/>
      <c r="X4859" s="104"/>
      <c r="Y4859" s="195" t="str">
        <f t="shared" si="1486"/>
        <v/>
      </c>
      <c r="Z4859" s="196" t="str">
        <f t="shared" si="1487"/>
        <v/>
      </c>
      <c r="AA4859" s="22"/>
      <c r="AB4859" s="197" t="str">
        <f t="shared" si="1492"/>
        <v/>
      </c>
      <c r="AC4859" s="198" t="str">
        <f t="shared" si="1493"/>
        <v/>
      </c>
      <c r="AD4859" s="162"/>
      <c r="AE4859" s="199" t="str">
        <f t="shared" si="1494"/>
        <v/>
      </c>
      <c r="AF4859" s="199" t="str">
        <f>IF(AND(COUNTIFS($J$18:J4859,J4859)=1,AE4859=1),1,"")</f>
        <v/>
      </c>
      <c r="AG4859" s="199" t="str">
        <f>IF(C4859="","",IF(AND(COUNTIFS($J$18:J4859,J4859)=1,C4859&lt;&gt;""),1,""))</f>
        <v/>
      </c>
      <c r="AH4859" s="199" t="str">
        <f>IF(G4859="","",IF(AND(COUNTIFS($J$18:J4859,J4859)=1,G4859&lt;&gt;""),1,""))</f>
        <v/>
      </c>
      <c r="AI4859" s="200">
        <f t="shared" si="1495"/>
        <v>0</v>
      </c>
      <c r="AJ4859" s="200">
        <f t="shared" si="1496"/>
        <v>0</v>
      </c>
      <c r="AK4859" s="201" t="str">
        <f t="shared" si="1497"/>
        <v/>
      </c>
      <c r="AL4859" s="24"/>
      <c r="AM4859" s="24"/>
      <c r="AN4859" s="24"/>
      <c r="AO4859" s="24"/>
      <c r="AP4859" s="165" t="str">
        <f t="shared" si="1498"/>
        <v/>
      </c>
      <c r="AQ4859" s="203" t="str">
        <f t="shared" si="1499"/>
        <v/>
      </c>
      <c r="AR4859" s="206">
        <f t="shared" si="1500"/>
        <v>0</v>
      </c>
      <c r="AS4859" s="22" t="str">
        <f t="shared" si="1501"/>
        <v/>
      </c>
      <c r="AT4859" s="24" t="str">
        <f t="shared" si="1502"/>
        <v/>
      </c>
      <c r="AU4859" s="22" t="s">
        <v>3240</v>
      </c>
    </row>
    <row r="4860" spans="1:47">
      <c r="A4860" s="246" t="str">
        <f t="shared" si="1490"/>
        <v/>
      </c>
      <c r="B4860" s="23"/>
      <c r="C4860" s="23"/>
      <c r="D4860" s="202" t="str">
        <f t="shared" si="1491"/>
        <v/>
      </c>
      <c r="E4860" s="33" t="str">
        <f t="shared" si="1485"/>
        <v/>
      </c>
      <c r="F4860" s="23"/>
      <c r="G4860" s="23"/>
      <c r="H4860" s="29"/>
      <c r="I4860" s="204" t="str">
        <f t="shared" si="1488"/>
        <v/>
      </c>
      <c r="J4860" s="188"/>
      <c r="K4860" s="29"/>
      <c r="L4860" s="24"/>
      <c r="M4860" s="22"/>
      <c r="N4860" s="22"/>
      <c r="O4860" s="22"/>
      <c r="P4860" s="202" t="str">
        <f t="shared" si="1489"/>
        <v/>
      </c>
      <c r="Q4860" s="22"/>
      <c r="R4860" s="22"/>
      <c r="S4860" s="22"/>
      <c r="T4860" s="22"/>
      <c r="U4860" s="22"/>
      <c r="V4860" s="22"/>
      <c r="W4860" s="22"/>
      <c r="X4860" s="104"/>
      <c r="Y4860" s="195" t="str">
        <f t="shared" si="1486"/>
        <v/>
      </c>
      <c r="Z4860" s="196" t="str">
        <f t="shared" si="1487"/>
        <v/>
      </c>
      <c r="AA4860" s="22"/>
      <c r="AB4860" s="197" t="str">
        <f t="shared" si="1492"/>
        <v/>
      </c>
      <c r="AC4860" s="198" t="str">
        <f t="shared" si="1493"/>
        <v/>
      </c>
      <c r="AD4860" s="162"/>
      <c r="AE4860" s="199" t="str">
        <f t="shared" si="1494"/>
        <v/>
      </c>
      <c r="AF4860" s="199" t="str">
        <f>IF(AND(COUNTIFS($J$18:J4860,J4860)=1,AE4860=1),1,"")</f>
        <v/>
      </c>
      <c r="AG4860" s="199" t="str">
        <f>IF(C4860="","",IF(AND(COUNTIFS($J$18:J4860,J4860)=1,C4860&lt;&gt;""),1,""))</f>
        <v/>
      </c>
      <c r="AH4860" s="199" t="str">
        <f>IF(G4860="","",IF(AND(COUNTIFS($J$18:J4860,J4860)=1,G4860&lt;&gt;""),1,""))</f>
        <v/>
      </c>
      <c r="AI4860" s="200">
        <f t="shared" si="1495"/>
        <v>0</v>
      </c>
      <c r="AJ4860" s="200">
        <f t="shared" si="1496"/>
        <v>0</v>
      </c>
      <c r="AK4860" s="201" t="str">
        <f t="shared" si="1497"/>
        <v/>
      </c>
      <c r="AL4860" s="24"/>
      <c r="AM4860" s="24"/>
      <c r="AN4860" s="24"/>
      <c r="AO4860" s="24"/>
      <c r="AP4860" s="165" t="str">
        <f t="shared" si="1498"/>
        <v/>
      </c>
      <c r="AQ4860" s="203" t="str">
        <f t="shared" si="1499"/>
        <v/>
      </c>
      <c r="AR4860" s="206">
        <f t="shared" si="1500"/>
        <v>0</v>
      </c>
      <c r="AS4860" s="22" t="str">
        <f t="shared" si="1501"/>
        <v/>
      </c>
      <c r="AT4860" s="24" t="str">
        <f t="shared" si="1502"/>
        <v/>
      </c>
      <c r="AU4860" s="22" t="s">
        <v>3240</v>
      </c>
    </row>
    <row r="4861" spans="1:47">
      <c r="A4861" s="246" t="str">
        <f t="shared" si="1490"/>
        <v/>
      </c>
      <c r="B4861" s="23"/>
      <c r="C4861" s="23"/>
      <c r="D4861" s="202" t="str">
        <f t="shared" si="1491"/>
        <v/>
      </c>
      <c r="E4861" s="33" t="str">
        <f t="shared" si="1485"/>
        <v/>
      </c>
      <c r="F4861" s="23"/>
      <c r="G4861" s="23"/>
      <c r="H4861" s="29"/>
      <c r="I4861" s="204" t="str">
        <f t="shared" si="1488"/>
        <v/>
      </c>
      <c r="J4861" s="188"/>
      <c r="K4861" s="29"/>
      <c r="L4861" s="24"/>
      <c r="M4861" s="22"/>
      <c r="N4861" s="22"/>
      <c r="O4861" s="22"/>
      <c r="P4861" s="202" t="str">
        <f t="shared" si="1489"/>
        <v/>
      </c>
      <c r="Q4861" s="22"/>
      <c r="R4861" s="22"/>
      <c r="S4861" s="22"/>
      <c r="T4861" s="22"/>
      <c r="U4861" s="22"/>
      <c r="V4861" s="22"/>
      <c r="W4861" s="22"/>
      <c r="X4861" s="104"/>
      <c r="Y4861" s="195" t="str">
        <f t="shared" si="1486"/>
        <v/>
      </c>
      <c r="Z4861" s="196" t="str">
        <f t="shared" si="1487"/>
        <v/>
      </c>
      <c r="AA4861" s="22"/>
      <c r="AB4861" s="197" t="str">
        <f t="shared" si="1492"/>
        <v/>
      </c>
      <c r="AC4861" s="198" t="str">
        <f t="shared" si="1493"/>
        <v/>
      </c>
      <c r="AD4861" s="162"/>
      <c r="AE4861" s="199" t="str">
        <f t="shared" si="1494"/>
        <v/>
      </c>
      <c r="AF4861" s="199" t="str">
        <f>IF(AND(COUNTIFS($J$18:J4861,J4861)=1,AE4861=1),1,"")</f>
        <v/>
      </c>
      <c r="AG4861" s="199" t="str">
        <f>IF(C4861="","",IF(AND(COUNTIFS($J$18:J4861,J4861)=1,C4861&lt;&gt;""),1,""))</f>
        <v/>
      </c>
      <c r="AH4861" s="199" t="str">
        <f>IF(G4861="","",IF(AND(COUNTIFS($J$18:J4861,J4861)=1,G4861&lt;&gt;""),1,""))</f>
        <v/>
      </c>
      <c r="AI4861" s="200">
        <f t="shared" si="1495"/>
        <v>0</v>
      </c>
      <c r="AJ4861" s="200">
        <f t="shared" si="1496"/>
        <v>0</v>
      </c>
      <c r="AK4861" s="201" t="str">
        <f t="shared" si="1497"/>
        <v/>
      </c>
      <c r="AL4861" s="24"/>
      <c r="AM4861" s="24"/>
      <c r="AN4861" s="24"/>
      <c r="AO4861" s="24"/>
      <c r="AP4861" s="165" t="str">
        <f t="shared" si="1498"/>
        <v/>
      </c>
      <c r="AQ4861" s="203" t="str">
        <f t="shared" si="1499"/>
        <v/>
      </c>
      <c r="AR4861" s="206">
        <f t="shared" si="1500"/>
        <v>0</v>
      </c>
      <c r="AS4861" s="22" t="str">
        <f t="shared" si="1501"/>
        <v/>
      </c>
      <c r="AT4861" s="24" t="str">
        <f t="shared" si="1502"/>
        <v/>
      </c>
      <c r="AU4861" s="22" t="s">
        <v>3240</v>
      </c>
    </row>
    <row r="4862" spans="1:47">
      <c r="A4862" s="246" t="str">
        <f t="shared" si="1490"/>
        <v/>
      </c>
      <c r="B4862" s="23"/>
      <c r="C4862" s="23"/>
      <c r="D4862" s="202" t="str">
        <f t="shared" si="1491"/>
        <v/>
      </c>
      <c r="E4862" s="33" t="str">
        <f t="shared" si="1485"/>
        <v/>
      </c>
      <c r="F4862" s="23"/>
      <c r="G4862" s="23"/>
      <c r="H4862" s="29"/>
      <c r="I4862" s="204" t="str">
        <f t="shared" si="1488"/>
        <v/>
      </c>
      <c r="J4862" s="188"/>
      <c r="K4862" s="29"/>
      <c r="L4862" s="24"/>
      <c r="M4862" s="22"/>
      <c r="N4862" s="22"/>
      <c r="O4862" s="22"/>
      <c r="P4862" s="202" t="str">
        <f t="shared" si="1489"/>
        <v/>
      </c>
      <c r="Q4862" s="22"/>
      <c r="R4862" s="22"/>
      <c r="S4862" s="22"/>
      <c r="T4862" s="22"/>
      <c r="U4862" s="22"/>
      <c r="V4862" s="22"/>
      <c r="W4862" s="22"/>
      <c r="X4862" s="104"/>
      <c r="Y4862" s="195" t="str">
        <f t="shared" si="1486"/>
        <v/>
      </c>
      <c r="Z4862" s="196" t="str">
        <f t="shared" si="1487"/>
        <v/>
      </c>
      <c r="AA4862" s="22"/>
      <c r="AB4862" s="197" t="str">
        <f t="shared" si="1492"/>
        <v/>
      </c>
      <c r="AC4862" s="198" t="str">
        <f t="shared" si="1493"/>
        <v/>
      </c>
      <c r="AD4862" s="162"/>
      <c r="AE4862" s="199" t="str">
        <f t="shared" si="1494"/>
        <v/>
      </c>
      <c r="AF4862" s="199" t="str">
        <f>IF(AND(COUNTIFS($J$18:J4862,J4862)=1,AE4862=1),1,"")</f>
        <v/>
      </c>
      <c r="AG4862" s="199" t="str">
        <f>IF(C4862="","",IF(AND(COUNTIFS($J$18:J4862,J4862)=1,C4862&lt;&gt;""),1,""))</f>
        <v/>
      </c>
      <c r="AH4862" s="199" t="str">
        <f>IF(G4862="","",IF(AND(COUNTIFS($J$18:J4862,J4862)=1,G4862&lt;&gt;""),1,""))</f>
        <v/>
      </c>
      <c r="AI4862" s="200">
        <f t="shared" si="1495"/>
        <v>0</v>
      </c>
      <c r="AJ4862" s="200">
        <f t="shared" si="1496"/>
        <v>0</v>
      </c>
      <c r="AK4862" s="201" t="str">
        <f t="shared" si="1497"/>
        <v/>
      </c>
      <c r="AL4862" s="24"/>
      <c r="AM4862" s="24"/>
      <c r="AN4862" s="24"/>
      <c r="AO4862" s="24"/>
      <c r="AP4862" s="165" t="str">
        <f t="shared" si="1498"/>
        <v/>
      </c>
      <c r="AQ4862" s="203" t="str">
        <f t="shared" si="1499"/>
        <v/>
      </c>
      <c r="AR4862" s="206">
        <f t="shared" si="1500"/>
        <v>0</v>
      </c>
      <c r="AS4862" s="22" t="str">
        <f t="shared" si="1501"/>
        <v/>
      </c>
      <c r="AT4862" s="24" t="str">
        <f t="shared" si="1502"/>
        <v/>
      </c>
      <c r="AU4862" s="22" t="s">
        <v>3240</v>
      </c>
    </row>
    <row r="4863" spans="1:47">
      <c r="A4863" s="246" t="str">
        <f t="shared" si="1490"/>
        <v/>
      </c>
      <c r="B4863" s="23"/>
      <c r="C4863" s="23"/>
      <c r="D4863" s="202" t="str">
        <f t="shared" si="1491"/>
        <v/>
      </c>
      <c r="E4863" s="33" t="str">
        <f t="shared" si="1485"/>
        <v/>
      </c>
      <c r="F4863" s="23"/>
      <c r="G4863" s="23"/>
      <c r="H4863" s="29"/>
      <c r="I4863" s="204" t="str">
        <f t="shared" si="1488"/>
        <v/>
      </c>
      <c r="J4863" s="188"/>
      <c r="K4863" s="29"/>
      <c r="L4863" s="24"/>
      <c r="M4863" s="22"/>
      <c r="N4863" s="22"/>
      <c r="O4863" s="22"/>
      <c r="P4863" s="202" t="str">
        <f t="shared" si="1489"/>
        <v/>
      </c>
      <c r="Q4863" s="22"/>
      <c r="R4863" s="22"/>
      <c r="S4863" s="22"/>
      <c r="T4863" s="22"/>
      <c r="U4863" s="22"/>
      <c r="V4863" s="22"/>
      <c r="W4863" s="22"/>
      <c r="X4863" s="104"/>
      <c r="Y4863" s="195" t="str">
        <f t="shared" si="1486"/>
        <v/>
      </c>
      <c r="Z4863" s="196" t="str">
        <f t="shared" si="1487"/>
        <v/>
      </c>
      <c r="AA4863" s="22"/>
      <c r="AB4863" s="197" t="str">
        <f t="shared" si="1492"/>
        <v/>
      </c>
      <c r="AC4863" s="198" t="str">
        <f t="shared" si="1493"/>
        <v/>
      </c>
      <c r="AD4863" s="162"/>
      <c r="AE4863" s="199" t="str">
        <f t="shared" si="1494"/>
        <v/>
      </c>
      <c r="AF4863" s="199" t="str">
        <f>IF(AND(COUNTIFS($J$18:J4863,J4863)=1,AE4863=1),1,"")</f>
        <v/>
      </c>
      <c r="AG4863" s="199" t="str">
        <f>IF(C4863="","",IF(AND(COUNTIFS($J$18:J4863,J4863)=1,C4863&lt;&gt;""),1,""))</f>
        <v/>
      </c>
      <c r="AH4863" s="199" t="str">
        <f>IF(G4863="","",IF(AND(COUNTIFS($J$18:J4863,J4863)=1,G4863&lt;&gt;""),1,""))</f>
        <v/>
      </c>
      <c r="AI4863" s="200">
        <f t="shared" si="1495"/>
        <v>0</v>
      </c>
      <c r="AJ4863" s="200">
        <f t="shared" si="1496"/>
        <v>0</v>
      </c>
      <c r="AK4863" s="201" t="str">
        <f t="shared" si="1497"/>
        <v/>
      </c>
      <c r="AL4863" s="24"/>
      <c r="AM4863" s="24"/>
      <c r="AN4863" s="24"/>
      <c r="AO4863" s="24"/>
      <c r="AP4863" s="165" t="str">
        <f t="shared" si="1498"/>
        <v/>
      </c>
      <c r="AQ4863" s="203" t="str">
        <f t="shared" si="1499"/>
        <v/>
      </c>
      <c r="AR4863" s="206">
        <f t="shared" si="1500"/>
        <v>0</v>
      </c>
      <c r="AS4863" s="22" t="str">
        <f t="shared" si="1501"/>
        <v/>
      </c>
      <c r="AT4863" s="24" t="str">
        <f t="shared" si="1502"/>
        <v/>
      </c>
      <c r="AU4863" s="22" t="s">
        <v>3240</v>
      </c>
    </row>
    <row r="4864" spans="1:47">
      <c r="A4864" s="246" t="str">
        <f t="shared" si="1490"/>
        <v/>
      </c>
      <c r="B4864" s="23"/>
      <c r="C4864" s="23"/>
      <c r="D4864" s="202" t="str">
        <f t="shared" si="1491"/>
        <v/>
      </c>
      <c r="E4864" s="33" t="str">
        <f t="shared" si="1485"/>
        <v/>
      </c>
      <c r="F4864" s="23"/>
      <c r="G4864" s="23"/>
      <c r="H4864" s="29"/>
      <c r="I4864" s="204" t="str">
        <f t="shared" si="1488"/>
        <v/>
      </c>
      <c r="J4864" s="188"/>
      <c r="K4864" s="29"/>
      <c r="L4864" s="24"/>
      <c r="M4864" s="22"/>
      <c r="N4864" s="22"/>
      <c r="O4864" s="22"/>
      <c r="P4864" s="202" t="str">
        <f t="shared" si="1489"/>
        <v/>
      </c>
      <c r="Q4864" s="22"/>
      <c r="R4864" s="22"/>
      <c r="S4864" s="22"/>
      <c r="T4864" s="22"/>
      <c r="U4864" s="22"/>
      <c r="V4864" s="22"/>
      <c r="W4864" s="22"/>
      <c r="X4864" s="104"/>
      <c r="Y4864" s="195" t="str">
        <f t="shared" si="1486"/>
        <v/>
      </c>
      <c r="Z4864" s="196" t="str">
        <f t="shared" si="1487"/>
        <v/>
      </c>
      <c r="AA4864" s="22"/>
      <c r="AB4864" s="197" t="str">
        <f t="shared" si="1492"/>
        <v/>
      </c>
      <c r="AC4864" s="198" t="str">
        <f t="shared" si="1493"/>
        <v/>
      </c>
      <c r="AD4864" s="162"/>
      <c r="AE4864" s="199" t="str">
        <f t="shared" si="1494"/>
        <v/>
      </c>
      <c r="AF4864" s="199" t="str">
        <f>IF(AND(COUNTIFS($J$18:J4864,J4864)=1,AE4864=1),1,"")</f>
        <v/>
      </c>
      <c r="AG4864" s="199" t="str">
        <f>IF(C4864="","",IF(AND(COUNTIFS($J$18:J4864,J4864)=1,C4864&lt;&gt;""),1,""))</f>
        <v/>
      </c>
      <c r="AH4864" s="199" t="str">
        <f>IF(G4864="","",IF(AND(COUNTIFS($J$18:J4864,J4864)=1,G4864&lt;&gt;""),1,""))</f>
        <v/>
      </c>
      <c r="AI4864" s="200">
        <f t="shared" si="1495"/>
        <v>0</v>
      </c>
      <c r="AJ4864" s="200">
        <f t="shared" si="1496"/>
        <v>0</v>
      </c>
      <c r="AK4864" s="201" t="str">
        <f t="shared" si="1497"/>
        <v/>
      </c>
      <c r="AL4864" s="24"/>
      <c r="AM4864" s="24"/>
      <c r="AN4864" s="24"/>
      <c r="AO4864" s="24"/>
      <c r="AP4864" s="165" t="str">
        <f t="shared" si="1498"/>
        <v/>
      </c>
      <c r="AQ4864" s="203" t="str">
        <f t="shared" si="1499"/>
        <v/>
      </c>
      <c r="AR4864" s="206">
        <f t="shared" si="1500"/>
        <v>0</v>
      </c>
      <c r="AS4864" s="22" t="str">
        <f t="shared" si="1501"/>
        <v/>
      </c>
      <c r="AT4864" s="24" t="str">
        <f t="shared" si="1502"/>
        <v/>
      </c>
      <c r="AU4864" s="22" t="s">
        <v>3240</v>
      </c>
    </row>
    <row r="4865" spans="1:47">
      <c r="A4865" s="246" t="str">
        <f t="shared" si="1490"/>
        <v/>
      </c>
      <c r="B4865" s="23"/>
      <c r="C4865" s="23"/>
      <c r="D4865" s="202" t="str">
        <f t="shared" si="1491"/>
        <v/>
      </c>
      <c r="E4865" s="33" t="str">
        <f t="shared" si="1485"/>
        <v/>
      </c>
      <c r="F4865" s="23"/>
      <c r="G4865" s="23"/>
      <c r="H4865" s="29"/>
      <c r="I4865" s="204" t="str">
        <f t="shared" si="1488"/>
        <v/>
      </c>
      <c r="J4865" s="188"/>
      <c r="K4865" s="29"/>
      <c r="L4865" s="24"/>
      <c r="M4865" s="22"/>
      <c r="N4865" s="22"/>
      <c r="O4865" s="22"/>
      <c r="P4865" s="202" t="str">
        <f t="shared" si="1489"/>
        <v/>
      </c>
      <c r="Q4865" s="22"/>
      <c r="R4865" s="22"/>
      <c r="S4865" s="22"/>
      <c r="T4865" s="22"/>
      <c r="U4865" s="22"/>
      <c r="V4865" s="22"/>
      <c r="W4865" s="22"/>
      <c r="X4865" s="104"/>
      <c r="Y4865" s="195" t="str">
        <f t="shared" si="1486"/>
        <v/>
      </c>
      <c r="Z4865" s="196" t="str">
        <f t="shared" si="1487"/>
        <v/>
      </c>
      <c r="AA4865" s="22"/>
      <c r="AB4865" s="197" t="str">
        <f t="shared" si="1492"/>
        <v/>
      </c>
      <c r="AC4865" s="198" t="str">
        <f t="shared" si="1493"/>
        <v/>
      </c>
      <c r="AD4865" s="162"/>
      <c r="AE4865" s="199" t="str">
        <f t="shared" si="1494"/>
        <v/>
      </c>
      <c r="AF4865" s="199" t="str">
        <f>IF(AND(COUNTIFS($J$18:J4865,J4865)=1,AE4865=1),1,"")</f>
        <v/>
      </c>
      <c r="AG4865" s="199" t="str">
        <f>IF(C4865="","",IF(AND(COUNTIFS($J$18:J4865,J4865)=1,C4865&lt;&gt;""),1,""))</f>
        <v/>
      </c>
      <c r="AH4865" s="199" t="str">
        <f>IF(G4865="","",IF(AND(COUNTIFS($J$18:J4865,J4865)=1,G4865&lt;&gt;""),1,""))</f>
        <v/>
      </c>
      <c r="AI4865" s="200">
        <f t="shared" si="1495"/>
        <v>0</v>
      </c>
      <c r="AJ4865" s="200">
        <f t="shared" si="1496"/>
        <v>0</v>
      </c>
      <c r="AK4865" s="201" t="str">
        <f t="shared" si="1497"/>
        <v/>
      </c>
      <c r="AL4865" s="24"/>
      <c r="AM4865" s="24"/>
      <c r="AN4865" s="24"/>
      <c r="AO4865" s="24"/>
      <c r="AP4865" s="165" t="str">
        <f t="shared" si="1498"/>
        <v/>
      </c>
      <c r="AQ4865" s="203" t="str">
        <f t="shared" si="1499"/>
        <v/>
      </c>
      <c r="AR4865" s="206">
        <f t="shared" si="1500"/>
        <v>0</v>
      </c>
      <c r="AS4865" s="22" t="str">
        <f t="shared" si="1501"/>
        <v/>
      </c>
      <c r="AT4865" s="24" t="str">
        <f t="shared" si="1502"/>
        <v/>
      </c>
      <c r="AU4865" s="22" t="s">
        <v>3240</v>
      </c>
    </row>
    <row r="4866" spans="1:47">
      <c r="A4866" s="246" t="str">
        <f t="shared" si="1490"/>
        <v/>
      </c>
      <c r="B4866" s="23"/>
      <c r="C4866" s="23"/>
      <c r="D4866" s="202" t="str">
        <f t="shared" si="1491"/>
        <v/>
      </c>
      <c r="E4866" s="33" t="str">
        <f t="shared" si="1485"/>
        <v/>
      </c>
      <c r="F4866" s="23"/>
      <c r="G4866" s="23"/>
      <c r="H4866" s="29"/>
      <c r="I4866" s="204" t="str">
        <f t="shared" si="1488"/>
        <v/>
      </c>
      <c r="J4866" s="188"/>
      <c r="K4866" s="29"/>
      <c r="L4866" s="24"/>
      <c r="M4866" s="22"/>
      <c r="N4866" s="22"/>
      <c r="O4866" s="22"/>
      <c r="P4866" s="202" t="str">
        <f t="shared" si="1489"/>
        <v/>
      </c>
      <c r="Q4866" s="22"/>
      <c r="R4866" s="22"/>
      <c r="S4866" s="22"/>
      <c r="T4866" s="22"/>
      <c r="U4866" s="22"/>
      <c r="V4866" s="22"/>
      <c r="W4866" s="22"/>
      <c r="X4866" s="104"/>
      <c r="Y4866" s="195" t="str">
        <f t="shared" si="1486"/>
        <v/>
      </c>
      <c r="Z4866" s="196" t="str">
        <f t="shared" si="1487"/>
        <v/>
      </c>
      <c r="AA4866" s="22"/>
      <c r="AB4866" s="197" t="str">
        <f t="shared" si="1492"/>
        <v/>
      </c>
      <c r="AC4866" s="198" t="str">
        <f t="shared" si="1493"/>
        <v/>
      </c>
      <c r="AD4866" s="162"/>
      <c r="AE4866" s="199" t="str">
        <f t="shared" si="1494"/>
        <v/>
      </c>
      <c r="AF4866" s="199" t="str">
        <f>IF(AND(COUNTIFS($J$18:J4866,J4866)=1,AE4866=1),1,"")</f>
        <v/>
      </c>
      <c r="AG4866" s="199" t="str">
        <f>IF(C4866="","",IF(AND(COUNTIFS($J$18:J4866,J4866)=1,C4866&lt;&gt;""),1,""))</f>
        <v/>
      </c>
      <c r="AH4866" s="199" t="str">
        <f>IF(G4866="","",IF(AND(COUNTIFS($J$18:J4866,J4866)=1,G4866&lt;&gt;""),1,""))</f>
        <v/>
      </c>
      <c r="AI4866" s="200">
        <f t="shared" si="1495"/>
        <v>0</v>
      </c>
      <c r="AJ4866" s="200">
        <f t="shared" si="1496"/>
        <v>0</v>
      </c>
      <c r="AK4866" s="201" t="str">
        <f t="shared" si="1497"/>
        <v/>
      </c>
      <c r="AL4866" s="24"/>
      <c r="AM4866" s="24"/>
      <c r="AN4866" s="24"/>
      <c r="AO4866" s="24"/>
      <c r="AP4866" s="165" t="str">
        <f t="shared" si="1498"/>
        <v/>
      </c>
      <c r="AQ4866" s="203" t="str">
        <f t="shared" si="1499"/>
        <v/>
      </c>
      <c r="AR4866" s="206">
        <f t="shared" si="1500"/>
        <v>0</v>
      </c>
      <c r="AS4866" s="22" t="str">
        <f t="shared" si="1501"/>
        <v/>
      </c>
      <c r="AT4866" s="24" t="str">
        <f t="shared" si="1502"/>
        <v/>
      </c>
      <c r="AU4866" s="22" t="s">
        <v>3240</v>
      </c>
    </row>
    <row r="4867" spans="1:47">
      <c r="A4867" s="246" t="str">
        <f t="shared" si="1490"/>
        <v/>
      </c>
      <c r="B4867" s="23"/>
      <c r="C4867" s="23"/>
      <c r="D4867" s="202" t="str">
        <f t="shared" si="1491"/>
        <v/>
      </c>
      <c r="E4867" s="33" t="str">
        <f t="shared" si="1485"/>
        <v/>
      </c>
      <c r="F4867" s="23"/>
      <c r="G4867" s="23"/>
      <c r="H4867" s="29"/>
      <c r="I4867" s="204" t="str">
        <f t="shared" si="1488"/>
        <v/>
      </c>
      <c r="J4867" s="188"/>
      <c r="K4867" s="29"/>
      <c r="L4867" s="24"/>
      <c r="M4867" s="22"/>
      <c r="N4867" s="22"/>
      <c r="O4867" s="22"/>
      <c r="P4867" s="202" t="str">
        <f t="shared" si="1489"/>
        <v/>
      </c>
      <c r="Q4867" s="22"/>
      <c r="R4867" s="22"/>
      <c r="S4867" s="22"/>
      <c r="T4867" s="22"/>
      <c r="U4867" s="22"/>
      <c r="V4867" s="22"/>
      <c r="W4867" s="22"/>
      <c r="X4867" s="104"/>
      <c r="Y4867" s="195" t="str">
        <f t="shared" si="1486"/>
        <v/>
      </c>
      <c r="Z4867" s="196" t="str">
        <f t="shared" si="1487"/>
        <v/>
      </c>
      <c r="AA4867" s="22"/>
      <c r="AB4867" s="197" t="str">
        <f t="shared" si="1492"/>
        <v/>
      </c>
      <c r="AC4867" s="198" t="str">
        <f t="shared" si="1493"/>
        <v/>
      </c>
      <c r="AD4867" s="162"/>
      <c r="AE4867" s="199" t="str">
        <f t="shared" si="1494"/>
        <v/>
      </c>
      <c r="AF4867" s="199" t="str">
        <f>IF(AND(COUNTIFS($J$18:J4867,J4867)=1,AE4867=1),1,"")</f>
        <v/>
      </c>
      <c r="AG4867" s="199" t="str">
        <f>IF(C4867="","",IF(AND(COUNTIFS($J$18:J4867,J4867)=1,C4867&lt;&gt;""),1,""))</f>
        <v/>
      </c>
      <c r="AH4867" s="199" t="str">
        <f>IF(G4867="","",IF(AND(COUNTIFS($J$18:J4867,J4867)=1,G4867&lt;&gt;""),1,""))</f>
        <v/>
      </c>
      <c r="AI4867" s="200">
        <f t="shared" si="1495"/>
        <v>0</v>
      </c>
      <c r="AJ4867" s="200">
        <f t="shared" si="1496"/>
        <v>0</v>
      </c>
      <c r="AK4867" s="201" t="str">
        <f t="shared" si="1497"/>
        <v/>
      </c>
      <c r="AL4867" s="24"/>
      <c r="AM4867" s="24"/>
      <c r="AN4867" s="24"/>
      <c r="AO4867" s="24"/>
      <c r="AP4867" s="165" t="str">
        <f t="shared" si="1498"/>
        <v/>
      </c>
      <c r="AQ4867" s="203" t="str">
        <f t="shared" si="1499"/>
        <v/>
      </c>
      <c r="AR4867" s="206">
        <f t="shared" si="1500"/>
        <v>0</v>
      </c>
      <c r="AS4867" s="22" t="str">
        <f t="shared" si="1501"/>
        <v/>
      </c>
      <c r="AT4867" s="24" t="str">
        <f t="shared" si="1502"/>
        <v/>
      </c>
      <c r="AU4867" s="22" t="s">
        <v>3240</v>
      </c>
    </row>
    <row r="4868" spans="1:47">
      <c r="A4868" s="246" t="str">
        <f t="shared" si="1490"/>
        <v/>
      </c>
      <c r="B4868" s="23"/>
      <c r="C4868" s="23"/>
      <c r="D4868" s="202" t="str">
        <f t="shared" si="1491"/>
        <v/>
      </c>
      <c r="E4868" s="33" t="str">
        <f t="shared" si="1485"/>
        <v/>
      </c>
      <c r="F4868" s="23"/>
      <c r="G4868" s="23"/>
      <c r="H4868" s="29"/>
      <c r="I4868" s="204" t="str">
        <f t="shared" si="1488"/>
        <v/>
      </c>
      <c r="J4868" s="188"/>
      <c r="K4868" s="29"/>
      <c r="L4868" s="24"/>
      <c r="M4868" s="22"/>
      <c r="N4868" s="22"/>
      <c r="O4868" s="22"/>
      <c r="P4868" s="202" t="str">
        <f t="shared" si="1489"/>
        <v/>
      </c>
      <c r="Q4868" s="22"/>
      <c r="R4868" s="22"/>
      <c r="S4868" s="22"/>
      <c r="T4868" s="22"/>
      <c r="U4868" s="22"/>
      <c r="V4868" s="22"/>
      <c r="W4868" s="22"/>
      <c r="X4868" s="104"/>
      <c r="Y4868" s="195" t="str">
        <f t="shared" si="1486"/>
        <v/>
      </c>
      <c r="Z4868" s="196" t="str">
        <f t="shared" si="1487"/>
        <v/>
      </c>
      <c r="AA4868" s="22"/>
      <c r="AB4868" s="197" t="str">
        <f t="shared" si="1492"/>
        <v/>
      </c>
      <c r="AC4868" s="198" t="str">
        <f t="shared" si="1493"/>
        <v/>
      </c>
      <c r="AD4868" s="162"/>
      <c r="AE4868" s="199" t="str">
        <f t="shared" si="1494"/>
        <v/>
      </c>
      <c r="AF4868" s="199" t="str">
        <f>IF(AND(COUNTIFS($J$18:J4868,J4868)=1,AE4868=1),1,"")</f>
        <v/>
      </c>
      <c r="AG4868" s="199" t="str">
        <f>IF(C4868="","",IF(AND(COUNTIFS($J$18:J4868,J4868)=1,C4868&lt;&gt;""),1,""))</f>
        <v/>
      </c>
      <c r="AH4868" s="199" t="str">
        <f>IF(G4868="","",IF(AND(COUNTIFS($J$18:J4868,J4868)=1,G4868&lt;&gt;""),1,""))</f>
        <v/>
      </c>
      <c r="AI4868" s="200">
        <f t="shared" si="1495"/>
        <v>0</v>
      </c>
      <c r="AJ4868" s="200">
        <f t="shared" si="1496"/>
        <v>0</v>
      </c>
      <c r="AK4868" s="201" t="str">
        <f t="shared" si="1497"/>
        <v/>
      </c>
      <c r="AL4868" s="24"/>
      <c r="AM4868" s="24"/>
      <c r="AN4868" s="24"/>
      <c r="AO4868" s="24"/>
      <c r="AP4868" s="165" t="str">
        <f t="shared" si="1498"/>
        <v/>
      </c>
      <c r="AQ4868" s="203" t="str">
        <f t="shared" si="1499"/>
        <v/>
      </c>
      <c r="AR4868" s="206">
        <f t="shared" si="1500"/>
        <v>0</v>
      </c>
      <c r="AS4868" s="22" t="str">
        <f t="shared" si="1501"/>
        <v/>
      </c>
      <c r="AT4868" s="24" t="str">
        <f t="shared" si="1502"/>
        <v/>
      </c>
      <c r="AU4868" s="22" t="s">
        <v>3240</v>
      </c>
    </row>
    <row r="4869" spans="1:47">
      <c r="A4869" s="246" t="str">
        <f t="shared" si="1490"/>
        <v/>
      </c>
      <c r="B4869" s="23"/>
      <c r="C4869" s="23"/>
      <c r="D4869" s="202" t="str">
        <f t="shared" si="1491"/>
        <v/>
      </c>
      <c r="E4869" s="33" t="str">
        <f t="shared" si="1485"/>
        <v/>
      </c>
      <c r="F4869" s="23"/>
      <c r="G4869" s="23"/>
      <c r="H4869" s="29"/>
      <c r="I4869" s="204" t="str">
        <f t="shared" si="1488"/>
        <v/>
      </c>
      <c r="J4869" s="188"/>
      <c r="K4869" s="29"/>
      <c r="L4869" s="24"/>
      <c r="M4869" s="22"/>
      <c r="N4869" s="22"/>
      <c r="O4869" s="22"/>
      <c r="P4869" s="202" t="str">
        <f t="shared" si="1489"/>
        <v/>
      </c>
      <c r="Q4869" s="22"/>
      <c r="R4869" s="22"/>
      <c r="S4869" s="22"/>
      <c r="T4869" s="22"/>
      <c r="U4869" s="22"/>
      <c r="V4869" s="22"/>
      <c r="W4869" s="22"/>
      <c r="X4869" s="104"/>
      <c r="Y4869" s="195" t="str">
        <f t="shared" si="1486"/>
        <v/>
      </c>
      <c r="Z4869" s="196" t="str">
        <f t="shared" si="1487"/>
        <v/>
      </c>
      <c r="AA4869" s="22"/>
      <c r="AB4869" s="197" t="str">
        <f t="shared" si="1492"/>
        <v/>
      </c>
      <c r="AC4869" s="198" t="str">
        <f t="shared" si="1493"/>
        <v/>
      </c>
      <c r="AD4869" s="162"/>
      <c r="AE4869" s="199" t="str">
        <f t="shared" si="1494"/>
        <v/>
      </c>
      <c r="AF4869" s="199" t="str">
        <f>IF(AND(COUNTIFS($J$18:J4869,J4869)=1,AE4869=1),1,"")</f>
        <v/>
      </c>
      <c r="AG4869" s="199" t="str">
        <f>IF(C4869="","",IF(AND(COUNTIFS($J$18:J4869,J4869)=1,C4869&lt;&gt;""),1,""))</f>
        <v/>
      </c>
      <c r="AH4869" s="199" t="str">
        <f>IF(G4869="","",IF(AND(COUNTIFS($J$18:J4869,J4869)=1,G4869&lt;&gt;""),1,""))</f>
        <v/>
      </c>
      <c r="AI4869" s="200">
        <f t="shared" si="1495"/>
        <v>0</v>
      </c>
      <c r="AJ4869" s="200">
        <f t="shared" si="1496"/>
        <v>0</v>
      </c>
      <c r="AK4869" s="201" t="str">
        <f t="shared" si="1497"/>
        <v/>
      </c>
      <c r="AL4869" s="24"/>
      <c r="AM4869" s="24"/>
      <c r="AN4869" s="24"/>
      <c r="AO4869" s="24"/>
      <c r="AP4869" s="165" t="str">
        <f t="shared" si="1498"/>
        <v/>
      </c>
      <c r="AQ4869" s="203" t="str">
        <f t="shared" si="1499"/>
        <v/>
      </c>
      <c r="AR4869" s="206">
        <f t="shared" si="1500"/>
        <v>0</v>
      </c>
      <c r="AS4869" s="22" t="str">
        <f t="shared" si="1501"/>
        <v/>
      </c>
      <c r="AT4869" s="24" t="str">
        <f t="shared" si="1502"/>
        <v/>
      </c>
      <c r="AU4869" s="22" t="s">
        <v>3240</v>
      </c>
    </row>
    <row r="4870" spans="1:47">
      <c r="A4870" s="246" t="str">
        <f t="shared" si="1490"/>
        <v/>
      </c>
      <c r="B4870" s="23"/>
      <c r="C4870" s="23"/>
      <c r="D4870" s="202" t="str">
        <f t="shared" si="1491"/>
        <v/>
      </c>
      <c r="E4870" s="33" t="str">
        <f t="shared" si="1485"/>
        <v/>
      </c>
      <c r="F4870" s="23"/>
      <c r="G4870" s="23"/>
      <c r="H4870" s="29"/>
      <c r="I4870" s="204" t="str">
        <f t="shared" si="1488"/>
        <v/>
      </c>
      <c r="J4870" s="188"/>
      <c r="K4870" s="29"/>
      <c r="L4870" s="24"/>
      <c r="M4870" s="22"/>
      <c r="N4870" s="22"/>
      <c r="O4870" s="22"/>
      <c r="P4870" s="202" t="str">
        <f t="shared" si="1489"/>
        <v/>
      </c>
      <c r="Q4870" s="22"/>
      <c r="R4870" s="22"/>
      <c r="S4870" s="22"/>
      <c r="T4870" s="22"/>
      <c r="U4870" s="22"/>
      <c r="V4870" s="22"/>
      <c r="W4870" s="22"/>
      <c r="X4870" s="104"/>
      <c r="Y4870" s="195" t="str">
        <f t="shared" si="1486"/>
        <v/>
      </c>
      <c r="Z4870" s="196" t="str">
        <f t="shared" si="1487"/>
        <v/>
      </c>
      <c r="AA4870" s="22"/>
      <c r="AB4870" s="197" t="str">
        <f t="shared" si="1492"/>
        <v/>
      </c>
      <c r="AC4870" s="198" t="str">
        <f t="shared" si="1493"/>
        <v/>
      </c>
      <c r="AD4870" s="162"/>
      <c r="AE4870" s="199" t="str">
        <f t="shared" si="1494"/>
        <v/>
      </c>
      <c r="AF4870" s="199" t="str">
        <f>IF(AND(COUNTIFS($J$18:J4870,J4870)=1,AE4870=1),1,"")</f>
        <v/>
      </c>
      <c r="AG4870" s="199" t="str">
        <f>IF(C4870="","",IF(AND(COUNTIFS($J$18:J4870,J4870)=1,C4870&lt;&gt;""),1,""))</f>
        <v/>
      </c>
      <c r="AH4870" s="199" t="str">
        <f>IF(G4870="","",IF(AND(COUNTIFS($J$18:J4870,J4870)=1,G4870&lt;&gt;""),1,""))</f>
        <v/>
      </c>
      <c r="AI4870" s="200">
        <f t="shared" si="1495"/>
        <v>0</v>
      </c>
      <c r="AJ4870" s="200">
        <f t="shared" si="1496"/>
        <v>0</v>
      </c>
      <c r="AK4870" s="201" t="str">
        <f t="shared" si="1497"/>
        <v/>
      </c>
      <c r="AL4870" s="24"/>
      <c r="AM4870" s="24"/>
      <c r="AN4870" s="24"/>
      <c r="AO4870" s="24"/>
      <c r="AP4870" s="165" t="str">
        <f t="shared" si="1498"/>
        <v/>
      </c>
      <c r="AQ4870" s="203" t="str">
        <f t="shared" si="1499"/>
        <v/>
      </c>
      <c r="AR4870" s="206">
        <f t="shared" si="1500"/>
        <v>0</v>
      </c>
      <c r="AS4870" s="22" t="str">
        <f t="shared" si="1501"/>
        <v/>
      </c>
      <c r="AT4870" s="24" t="str">
        <f t="shared" si="1502"/>
        <v/>
      </c>
      <c r="AU4870" s="22" t="s">
        <v>3240</v>
      </c>
    </row>
    <row r="4871" spans="1:47">
      <c r="A4871" s="246" t="str">
        <f t="shared" si="1490"/>
        <v/>
      </c>
      <c r="B4871" s="23"/>
      <c r="C4871" s="23"/>
      <c r="D4871" s="202" t="str">
        <f t="shared" si="1491"/>
        <v/>
      </c>
      <c r="E4871" s="33" t="str">
        <f t="shared" si="1485"/>
        <v/>
      </c>
      <c r="F4871" s="23"/>
      <c r="G4871" s="23"/>
      <c r="H4871" s="29"/>
      <c r="I4871" s="204" t="str">
        <f t="shared" si="1488"/>
        <v/>
      </c>
      <c r="J4871" s="188"/>
      <c r="K4871" s="29"/>
      <c r="L4871" s="24"/>
      <c r="M4871" s="22"/>
      <c r="N4871" s="22"/>
      <c r="O4871" s="22"/>
      <c r="P4871" s="202" t="str">
        <f t="shared" si="1489"/>
        <v/>
      </c>
      <c r="Q4871" s="22"/>
      <c r="R4871" s="22"/>
      <c r="S4871" s="22"/>
      <c r="T4871" s="22"/>
      <c r="U4871" s="22"/>
      <c r="V4871" s="22"/>
      <c r="W4871" s="22"/>
      <c r="X4871" s="104"/>
      <c r="Y4871" s="195" t="str">
        <f t="shared" si="1486"/>
        <v/>
      </c>
      <c r="Z4871" s="196" t="str">
        <f t="shared" si="1487"/>
        <v/>
      </c>
      <c r="AA4871" s="22"/>
      <c r="AB4871" s="197" t="str">
        <f t="shared" si="1492"/>
        <v/>
      </c>
      <c r="AC4871" s="198" t="str">
        <f t="shared" si="1493"/>
        <v/>
      </c>
      <c r="AD4871" s="162"/>
      <c r="AE4871" s="199" t="str">
        <f t="shared" si="1494"/>
        <v/>
      </c>
      <c r="AF4871" s="199" t="str">
        <f>IF(AND(COUNTIFS($J$18:J4871,J4871)=1,AE4871=1),1,"")</f>
        <v/>
      </c>
      <c r="AG4871" s="199" t="str">
        <f>IF(C4871="","",IF(AND(COUNTIFS($J$18:J4871,J4871)=1,C4871&lt;&gt;""),1,""))</f>
        <v/>
      </c>
      <c r="AH4871" s="199" t="str">
        <f>IF(G4871="","",IF(AND(COUNTIFS($J$18:J4871,J4871)=1,G4871&lt;&gt;""),1,""))</f>
        <v/>
      </c>
      <c r="AI4871" s="200">
        <f t="shared" si="1495"/>
        <v>0</v>
      </c>
      <c r="AJ4871" s="200">
        <f t="shared" si="1496"/>
        <v>0</v>
      </c>
      <c r="AK4871" s="201" t="str">
        <f t="shared" si="1497"/>
        <v/>
      </c>
      <c r="AL4871" s="24"/>
      <c r="AM4871" s="24"/>
      <c r="AN4871" s="24"/>
      <c r="AO4871" s="24"/>
      <c r="AP4871" s="165" t="str">
        <f t="shared" si="1498"/>
        <v/>
      </c>
      <c r="AQ4871" s="203" t="str">
        <f t="shared" si="1499"/>
        <v/>
      </c>
      <c r="AR4871" s="206">
        <f t="shared" si="1500"/>
        <v>0</v>
      </c>
      <c r="AS4871" s="22" t="str">
        <f t="shared" si="1501"/>
        <v/>
      </c>
      <c r="AT4871" s="24" t="str">
        <f t="shared" si="1502"/>
        <v/>
      </c>
      <c r="AU4871" s="22" t="s">
        <v>3240</v>
      </c>
    </row>
    <row r="4872" spans="1:47">
      <c r="A4872" s="246" t="str">
        <f t="shared" si="1490"/>
        <v/>
      </c>
      <c r="B4872" s="23"/>
      <c r="C4872" s="23"/>
      <c r="D4872" s="202" t="str">
        <f t="shared" si="1491"/>
        <v/>
      </c>
      <c r="E4872" s="33" t="str">
        <f t="shared" si="1485"/>
        <v/>
      </c>
      <c r="F4872" s="23"/>
      <c r="G4872" s="23"/>
      <c r="H4872" s="29"/>
      <c r="I4872" s="204" t="str">
        <f t="shared" si="1488"/>
        <v/>
      </c>
      <c r="J4872" s="188"/>
      <c r="K4872" s="29"/>
      <c r="L4872" s="24"/>
      <c r="M4872" s="22"/>
      <c r="N4872" s="22"/>
      <c r="O4872" s="22"/>
      <c r="P4872" s="202" t="str">
        <f t="shared" si="1489"/>
        <v/>
      </c>
      <c r="Q4872" s="22"/>
      <c r="R4872" s="22"/>
      <c r="S4872" s="22"/>
      <c r="T4872" s="22"/>
      <c r="U4872" s="22"/>
      <c r="V4872" s="22"/>
      <c r="W4872" s="22"/>
      <c r="X4872" s="104"/>
      <c r="Y4872" s="195" t="str">
        <f t="shared" si="1486"/>
        <v/>
      </c>
      <c r="Z4872" s="196" t="str">
        <f t="shared" si="1487"/>
        <v/>
      </c>
      <c r="AA4872" s="22"/>
      <c r="AB4872" s="197" t="str">
        <f t="shared" si="1492"/>
        <v/>
      </c>
      <c r="AC4872" s="198" t="str">
        <f t="shared" si="1493"/>
        <v/>
      </c>
      <c r="AD4872" s="162"/>
      <c r="AE4872" s="199" t="str">
        <f t="shared" si="1494"/>
        <v/>
      </c>
      <c r="AF4872" s="199" t="str">
        <f>IF(AND(COUNTIFS($J$18:J4872,J4872)=1,AE4872=1),1,"")</f>
        <v/>
      </c>
      <c r="AG4872" s="199" t="str">
        <f>IF(C4872="","",IF(AND(COUNTIFS($J$18:J4872,J4872)=1,C4872&lt;&gt;""),1,""))</f>
        <v/>
      </c>
      <c r="AH4872" s="199" t="str">
        <f>IF(G4872="","",IF(AND(COUNTIFS($J$18:J4872,J4872)=1,G4872&lt;&gt;""),1,""))</f>
        <v/>
      </c>
      <c r="AI4872" s="200">
        <f t="shared" si="1495"/>
        <v>0</v>
      </c>
      <c r="AJ4872" s="200">
        <f t="shared" si="1496"/>
        <v>0</v>
      </c>
      <c r="AK4872" s="201" t="str">
        <f t="shared" si="1497"/>
        <v/>
      </c>
      <c r="AL4872" s="24"/>
      <c r="AM4872" s="24"/>
      <c r="AN4872" s="24"/>
      <c r="AO4872" s="24"/>
      <c r="AP4872" s="165" t="str">
        <f t="shared" si="1498"/>
        <v/>
      </c>
      <c r="AQ4872" s="203" t="str">
        <f t="shared" si="1499"/>
        <v/>
      </c>
      <c r="AR4872" s="206">
        <f t="shared" si="1500"/>
        <v>0</v>
      </c>
      <c r="AS4872" s="22" t="str">
        <f t="shared" si="1501"/>
        <v/>
      </c>
      <c r="AT4872" s="24" t="str">
        <f t="shared" si="1502"/>
        <v/>
      </c>
      <c r="AU4872" s="22" t="s">
        <v>3240</v>
      </c>
    </row>
    <row r="4873" spans="1:47">
      <c r="A4873" s="246" t="str">
        <f t="shared" si="1490"/>
        <v/>
      </c>
      <c r="B4873" s="23"/>
      <c r="C4873" s="23"/>
      <c r="D4873" s="202" t="str">
        <f t="shared" si="1491"/>
        <v/>
      </c>
      <c r="E4873" s="33" t="str">
        <f t="shared" si="1485"/>
        <v/>
      </c>
      <c r="F4873" s="23"/>
      <c r="G4873" s="23"/>
      <c r="H4873" s="29"/>
      <c r="I4873" s="204" t="str">
        <f t="shared" si="1488"/>
        <v/>
      </c>
      <c r="J4873" s="188"/>
      <c r="K4873" s="29"/>
      <c r="L4873" s="24"/>
      <c r="M4873" s="22"/>
      <c r="N4873" s="22"/>
      <c r="O4873" s="22"/>
      <c r="P4873" s="202" t="str">
        <f t="shared" si="1489"/>
        <v/>
      </c>
      <c r="Q4873" s="22"/>
      <c r="R4873" s="22"/>
      <c r="S4873" s="22"/>
      <c r="T4873" s="22"/>
      <c r="U4873" s="22"/>
      <c r="V4873" s="22"/>
      <c r="W4873" s="22"/>
      <c r="X4873" s="104"/>
      <c r="Y4873" s="195" t="str">
        <f t="shared" si="1486"/>
        <v/>
      </c>
      <c r="Z4873" s="196" t="str">
        <f t="shared" si="1487"/>
        <v/>
      </c>
      <c r="AA4873" s="22"/>
      <c r="AB4873" s="197" t="str">
        <f t="shared" si="1492"/>
        <v/>
      </c>
      <c r="AC4873" s="198" t="str">
        <f t="shared" si="1493"/>
        <v/>
      </c>
      <c r="AD4873" s="162"/>
      <c r="AE4873" s="199" t="str">
        <f t="shared" si="1494"/>
        <v/>
      </c>
      <c r="AF4873" s="199" t="str">
        <f>IF(AND(COUNTIFS($J$18:J4873,J4873)=1,AE4873=1),1,"")</f>
        <v/>
      </c>
      <c r="AG4873" s="199" t="str">
        <f>IF(C4873="","",IF(AND(COUNTIFS($J$18:J4873,J4873)=1,C4873&lt;&gt;""),1,""))</f>
        <v/>
      </c>
      <c r="AH4873" s="199" t="str">
        <f>IF(G4873="","",IF(AND(COUNTIFS($J$18:J4873,J4873)=1,G4873&lt;&gt;""),1,""))</f>
        <v/>
      </c>
      <c r="AI4873" s="200">
        <f t="shared" si="1495"/>
        <v>0</v>
      </c>
      <c r="AJ4873" s="200">
        <f t="shared" si="1496"/>
        <v>0</v>
      </c>
      <c r="AK4873" s="201" t="str">
        <f t="shared" si="1497"/>
        <v/>
      </c>
      <c r="AL4873" s="24"/>
      <c r="AM4873" s="24"/>
      <c r="AN4873" s="24"/>
      <c r="AO4873" s="24"/>
      <c r="AP4873" s="165" t="str">
        <f t="shared" si="1498"/>
        <v/>
      </c>
      <c r="AQ4873" s="203" t="str">
        <f t="shared" si="1499"/>
        <v/>
      </c>
      <c r="AR4873" s="206">
        <f t="shared" si="1500"/>
        <v>0</v>
      </c>
      <c r="AS4873" s="22" t="str">
        <f t="shared" si="1501"/>
        <v/>
      </c>
      <c r="AT4873" s="24" t="str">
        <f t="shared" si="1502"/>
        <v/>
      </c>
      <c r="AU4873" s="22" t="s">
        <v>3240</v>
      </c>
    </row>
    <row r="4874" spans="1:47">
      <c r="A4874" s="246" t="str">
        <f t="shared" si="1490"/>
        <v/>
      </c>
      <c r="B4874" s="23"/>
      <c r="C4874" s="23"/>
      <c r="D4874" s="202" t="str">
        <f t="shared" si="1491"/>
        <v/>
      </c>
      <c r="E4874" s="33" t="str">
        <f t="shared" si="1485"/>
        <v/>
      </c>
      <c r="F4874" s="23"/>
      <c r="G4874" s="23"/>
      <c r="H4874" s="29"/>
      <c r="I4874" s="204" t="str">
        <f t="shared" si="1488"/>
        <v/>
      </c>
      <c r="J4874" s="188"/>
      <c r="K4874" s="29"/>
      <c r="L4874" s="24"/>
      <c r="M4874" s="22"/>
      <c r="N4874" s="22"/>
      <c r="O4874" s="22"/>
      <c r="P4874" s="202" t="str">
        <f t="shared" si="1489"/>
        <v/>
      </c>
      <c r="Q4874" s="22"/>
      <c r="R4874" s="22"/>
      <c r="S4874" s="22"/>
      <c r="T4874" s="22"/>
      <c r="U4874" s="22"/>
      <c r="V4874" s="22"/>
      <c r="W4874" s="22"/>
      <c r="X4874" s="104"/>
      <c r="Y4874" s="195" t="str">
        <f t="shared" si="1486"/>
        <v/>
      </c>
      <c r="Z4874" s="196" t="str">
        <f t="shared" si="1487"/>
        <v/>
      </c>
      <c r="AA4874" s="22"/>
      <c r="AB4874" s="197" t="str">
        <f t="shared" si="1492"/>
        <v/>
      </c>
      <c r="AC4874" s="198" t="str">
        <f t="shared" si="1493"/>
        <v/>
      </c>
      <c r="AD4874" s="162"/>
      <c r="AE4874" s="199" t="str">
        <f t="shared" si="1494"/>
        <v/>
      </c>
      <c r="AF4874" s="199" t="str">
        <f>IF(AND(COUNTIFS($J$18:J4874,J4874)=1,AE4874=1),1,"")</f>
        <v/>
      </c>
      <c r="AG4874" s="199" t="str">
        <f>IF(C4874="","",IF(AND(COUNTIFS($J$18:J4874,J4874)=1,C4874&lt;&gt;""),1,""))</f>
        <v/>
      </c>
      <c r="AH4874" s="199" t="str">
        <f>IF(G4874="","",IF(AND(COUNTIFS($J$18:J4874,J4874)=1,G4874&lt;&gt;""),1,""))</f>
        <v/>
      </c>
      <c r="AI4874" s="200">
        <f t="shared" si="1495"/>
        <v>0</v>
      </c>
      <c r="AJ4874" s="200">
        <f t="shared" si="1496"/>
        <v>0</v>
      </c>
      <c r="AK4874" s="201" t="str">
        <f t="shared" si="1497"/>
        <v/>
      </c>
      <c r="AL4874" s="24"/>
      <c r="AM4874" s="24"/>
      <c r="AN4874" s="24"/>
      <c r="AO4874" s="24"/>
      <c r="AP4874" s="165" t="str">
        <f t="shared" si="1498"/>
        <v/>
      </c>
      <c r="AQ4874" s="203" t="str">
        <f t="shared" si="1499"/>
        <v/>
      </c>
      <c r="AR4874" s="206">
        <f t="shared" si="1500"/>
        <v>0</v>
      </c>
      <c r="AS4874" s="22" t="str">
        <f t="shared" si="1501"/>
        <v/>
      </c>
      <c r="AT4874" s="24" t="str">
        <f t="shared" si="1502"/>
        <v/>
      </c>
      <c r="AU4874" s="22" t="s">
        <v>3240</v>
      </c>
    </row>
    <row r="4875" spans="1:47">
      <c r="A4875" s="246" t="str">
        <f t="shared" si="1490"/>
        <v/>
      </c>
      <c r="B4875" s="23"/>
      <c r="C4875" s="23"/>
      <c r="D4875" s="202" t="str">
        <f t="shared" si="1491"/>
        <v/>
      </c>
      <c r="E4875" s="33" t="str">
        <f t="shared" si="1485"/>
        <v/>
      </c>
      <c r="F4875" s="23"/>
      <c r="G4875" s="23"/>
      <c r="H4875" s="29"/>
      <c r="I4875" s="204" t="str">
        <f t="shared" si="1488"/>
        <v/>
      </c>
      <c r="J4875" s="188"/>
      <c r="K4875" s="29"/>
      <c r="L4875" s="24"/>
      <c r="M4875" s="22"/>
      <c r="N4875" s="22"/>
      <c r="O4875" s="22"/>
      <c r="P4875" s="202" t="str">
        <f t="shared" si="1489"/>
        <v/>
      </c>
      <c r="Q4875" s="22"/>
      <c r="R4875" s="22"/>
      <c r="S4875" s="22"/>
      <c r="T4875" s="22"/>
      <c r="U4875" s="22"/>
      <c r="V4875" s="22"/>
      <c r="W4875" s="22"/>
      <c r="X4875" s="104"/>
      <c r="Y4875" s="195" t="str">
        <f t="shared" si="1486"/>
        <v/>
      </c>
      <c r="Z4875" s="196" t="str">
        <f t="shared" si="1487"/>
        <v/>
      </c>
      <c r="AA4875" s="22"/>
      <c r="AB4875" s="197" t="str">
        <f t="shared" si="1492"/>
        <v/>
      </c>
      <c r="AC4875" s="198" t="str">
        <f t="shared" si="1493"/>
        <v/>
      </c>
      <c r="AD4875" s="162"/>
      <c r="AE4875" s="199" t="str">
        <f t="shared" si="1494"/>
        <v/>
      </c>
      <c r="AF4875" s="199" t="str">
        <f>IF(AND(COUNTIFS($J$18:J4875,J4875)=1,AE4875=1),1,"")</f>
        <v/>
      </c>
      <c r="AG4875" s="199" t="str">
        <f>IF(C4875="","",IF(AND(COUNTIFS($J$18:J4875,J4875)=1,C4875&lt;&gt;""),1,""))</f>
        <v/>
      </c>
      <c r="AH4875" s="199" t="str">
        <f>IF(G4875="","",IF(AND(COUNTIFS($J$18:J4875,J4875)=1,G4875&lt;&gt;""),1,""))</f>
        <v/>
      </c>
      <c r="AI4875" s="200">
        <f t="shared" si="1495"/>
        <v>0</v>
      </c>
      <c r="AJ4875" s="200">
        <f t="shared" si="1496"/>
        <v>0</v>
      </c>
      <c r="AK4875" s="201" t="str">
        <f t="shared" si="1497"/>
        <v/>
      </c>
      <c r="AL4875" s="24"/>
      <c r="AM4875" s="24"/>
      <c r="AN4875" s="24"/>
      <c r="AO4875" s="24"/>
      <c r="AP4875" s="165" t="str">
        <f t="shared" si="1498"/>
        <v/>
      </c>
      <c r="AQ4875" s="203" t="str">
        <f t="shared" si="1499"/>
        <v/>
      </c>
      <c r="AR4875" s="206">
        <f t="shared" si="1500"/>
        <v>0</v>
      </c>
      <c r="AS4875" s="22" t="str">
        <f t="shared" si="1501"/>
        <v/>
      </c>
      <c r="AT4875" s="24" t="str">
        <f t="shared" si="1502"/>
        <v/>
      </c>
      <c r="AU4875" s="22" t="s">
        <v>3240</v>
      </c>
    </row>
    <row r="4876" spans="1:47">
      <c r="A4876" s="246" t="str">
        <f t="shared" si="1490"/>
        <v/>
      </c>
      <c r="B4876" s="23"/>
      <c r="C4876" s="23"/>
      <c r="D4876" s="202" t="str">
        <f t="shared" si="1491"/>
        <v/>
      </c>
      <c r="E4876" s="33" t="str">
        <f t="shared" si="1485"/>
        <v/>
      </c>
      <c r="F4876" s="23"/>
      <c r="G4876" s="23"/>
      <c r="H4876" s="29"/>
      <c r="I4876" s="204" t="str">
        <f t="shared" si="1488"/>
        <v/>
      </c>
      <c r="J4876" s="188"/>
      <c r="K4876" s="29"/>
      <c r="L4876" s="24"/>
      <c r="M4876" s="22"/>
      <c r="N4876" s="22"/>
      <c r="O4876" s="22"/>
      <c r="P4876" s="202" t="str">
        <f t="shared" si="1489"/>
        <v/>
      </c>
      <c r="Q4876" s="22"/>
      <c r="R4876" s="22"/>
      <c r="S4876" s="22"/>
      <c r="T4876" s="22"/>
      <c r="U4876" s="22"/>
      <c r="V4876" s="22"/>
      <c r="W4876" s="22"/>
      <c r="X4876" s="104"/>
      <c r="Y4876" s="195" t="str">
        <f t="shared" si="1486"/>
        <v/>
      </c>
      <c r="Z4876" s="196" t="str">
        <f t="shared" si="1487"/>
        <v/>
      </c>
      <c r="AA4876" s="22"/>
      <c r="AB4876" s="197" t="str">
        <f t="shared" si="1492"/>
        <v/>
      </c>
      <c r="AC4876" s="198" t="str">
        <f t="shared" si="1493"/>
        <v/>
      </c>
      <c r="AD4876" s="162"/>
      <c r="AE4876" s="199" t="str">
        <f t="shared" si="1494"/>
        <v/>
      </c>
      <c r="AF4876" s="199" t="str">
        <f>IF(AND(COUNTIFS($J$18:J4876,J4876)=1,AE4876=1),1,"")</f>
        <v/>
      </c>
      <c r="AG4876" s="199" t="str">
        <f>IF(C4876="","",IF(AND(COUNTIFS($J$18:J4876,J4876)=1,C4876&lt;&gt;""),1,""))</f>
        <v/>
      </c>
      <c r="AH4876" s="199" t="str">
        <f>IF(G4876="","",IF(AND(COUNTIFS($J$18:J4876,J4876)=1,G4876&lt;&gt;""),1,""))</f>
        <v/>
      </c>
      <c r="AI4876" s="200">
        <f t="shared" si="1495"/>
        <v>0</v>
      </c>
      <c r="AJ4876" s="200">
        <f t="shared" si="1496"/>
        <v>0</v>
      </c>
      <c r="AK4876" s="201" t="str">
        <f t="shared" si="1497"/>
        <v/>
      </c>
      <c r="AL4876" s="24"/>
      <c r="AM4876" s="24"/>
      <c r="AN4876" s="24"/>
      <c r="AO4876" s="24"/>
      <c r="AP4876" s="165" t="str">
        <f t="shared" si="1498"/>
        <v/>
      </c>
      <c r="AQ4876" s="203" t="str">
        <f t="shared" si="1499"/>
        <v/>
      </c>
      <c r="AR4876" s="206">
        <f t="shared" si="1500"/>
        <v>0</v>
      </c>
      <c r="AS4876" s="22" t="str">
        <f t="shared" si="1501"/>
        <v/>
      </c>
      <c r="AT4876" s="24" t="str">
        <f t="shared" si="1502"/>
        <v/>
      </c>
      <c r="AU4876" s="22" t="s">
        <v>3240</v>
      </c>
    </row>
    <row r="4877" spans="1:47">
      <c r="A4877" s="246" t="str">
        <f t="shared" si="1490"/>
        <v/>
      </c>
      <c r="B4877" s="23"/>
      <c r="C4877" s="23"/>
      <c r="D4877" s="202" t="str">
        <f t="shared" si="1491"/>
        <v/>
      </c>
      <c r="E4877" s="33" t="str">
        <f t="shared" si="1485"/>
        <v/>
      </c>
      <c r="F4877" s="23"/>
      <c r="G4877" s="23"/>
      <c r="H4877" s="29"/>
      <c r="I4877" s="204" t="str">
        <f t="shared" si="1488"/>
        <v/>
      </c>
      <c r="J4877" s="188"/>
      <c r="K4877" s="29"/>
      <c r="L4877" s="24"/>
      <c r="M4877" s="22"/>
      <c r="N4877" s="22"/>
      <c r="O4877" s="22"/>
      <c r="P4877" s="202" t="str">
        <f t="shared" si="1489"/>
        <v/>
      </c>
      <c r="Q4877" s="22"/>
      <c r="R4877" s="22"/>
      <c r="S4877" s="22"/>
      <c r="T4877" s="22"/>
      <c r="U4877" s="22"/>
      <c r="V4877" s="22"/>
      <c r="W4877" s="22"/>
      <c r="X4877" s="104"/>
      <c r="Y4877" s="195" t="str">
        <f t="shared" si="1486"/>
        <v/>
      </c>
      <c r="Z4877" s="196" t="str">
        <f t="shared" si="1487"/>
        <v/>
      </c>
      <c r="AA4877" s="22"/>
      <c r="AB4877" s="197" t="str">
        <f t="shared" si="1492"/>
        <v/>
      </c>
      <c r="AC4877" s="198" t="str">
        <f t="shared" si="1493"/>
        <v/>
      </c>
      <c r="AD4877" s="162"/>
      <c r="AE4877" s="199" t="str">
        <f t="shared" si="1494"/>
        <v/>
      </c>
      <c r="AF4877" s="199" t="str">
        <f>IF(AND(COUNTIFS($J$18:J4877,J4877)=1,AE4877=1),1,"")</f>
        <v/>
      </c>
      <c r="AG4877" s="199" t="str">
        <f>IF(C4877="","",IF(AND(COUNTIFS($J$18:J4877,J4877)=1,C4877&lt;&gt;""),1,""))</f>
        <v/>
      </c>
      <c r="AH4877" s="199" t="str">
        <f>IF(G4877="","",IF(AND(COUNTIFS($J$18:J4877,J4877)=1,G4877&lt;&gt;""),1,""))</f>
        <v/>
      </c>
      <c r="AI4877" s="200">
        <f t="shared" si="1495"/>
        <v>0</v>
      </c>
      <c r="AJ4877" s="200">
        <f t="shared" si="1496"/>
        <v>0</v>
      </c>
      <c r="AK4877" s="201" t="str">
        <f t="shared" si="1497"/>
        <v/>
      </c>
      <c r="AL4877" s="24"/>
      <c r="AM4877" s="24"/>
      <c r="AN4877" s="24"/>
      <c r="AO4877" s="24"/>
      <c r="AP4877" s="165" t="str">
        <f t="shared" si="1498"/>
        <v/>
      </c>
      <c r="AQ4877" s="203" t="str">
        <f t="shared" si="1499"/>
        <v/>
      </c>
      <c r="AR4877" s="206">
        <f t="shared" si="1500"/>
        <v>0</v>
      </c>
      <c r="AS4877" s="22" t="str">
        <f t="shared" si="1501"/>
        <v/>
      </c>
      <c r="AT4877" s="24" t="str">
        <f t="shared" si="1502"/>
        <v/>
      </c>
      <c r="AU4877" s="22" t="s">
        <v>3240</v>
      </c>
    </row>
    <row r="4878" spans="1:47">
      <c r="A4878" s="246" t="str">
        <f t="shared" si="1490"/>
        <v/>
      </c>
      <c r="B4878" s="23"/>
      <c r="C4878" s="23"/>
      <c r="D4878" s="202" t="str">
        <f t="shared" si="1491"/>
        <v/>
      </c>
      <c r="E4878" s="33" t="str">
        <f t="shared" si="1485"/>
        <v/>
      </c>
      <c r="F4878" s="23"/>
      <c r="G4878" s="23"/>
      <c r="H4878" s="29"/>
      <c r="I4878" s="204" t="str">
        <f t="shared" si="1488"/>
        <v/>
      </c>
      <c r="J4878" s="188"/>
      <c r="K4878" s="29"/>
      <c r="L4878" s="24"/>
      <c r="M4878" s="22"/>
      <c r="N4878" s="22"/>
      <c r="O4878" s="22"/>
      <c r="P4878" s="202" t="str">
        <f t="shared" si="1489"/>
        <v/>
      </c>
      <c r="Q4878" s="22"/>
      <c r="R4878" s="22"/>
      <c r="S4878" s="22"/>
      <c r="T4878" s="22"/>
      <c r="U4878" s="22"/>
      <c r="V4878" s="22"/>
      <c r="W4878" s="22"/>
      <c r="X4878" s="104"/>
      <c r="Y4878" s="195" t="str">
        <f t="shared" si="1486"/>
        <v/>
      </c>
      <c r="Z4878" s="196" t="str">
        <f t="shared" si="1487"/>
        <v/>
      </c>
      <c r="AA4878" s="22"/>
      <c r="AB4878" s="197" t="str">
        <f t="shared" si="1492"/>
        <v/>
      </c>
      <c r="AC4878" s="198" t="str">
        <f t="shared" si="1493"/>
        <v/>
      </c>
      <c r="AD4878" s="162"/>
      <c r="AE4878" s="199" t="str">
        <f t="shared" si="1494"/>
        <v/>
      </c>
      <c r="AF4878" s="199" t="str">
        <f>IF(AND(COUNTIFS($J$18:J4878,J4878)=1,AE4878=1),1,"")</f>
        <v/>
      </c>
      <c r="AG4878" s="199" t="str">
        <f>IF(C4878="","",IF(AND(COUNTIFS($J$18:J4878,J4878)=1,C4878&lt;&gt;""),1,""))</f>
        <v/>
      </c>
      <c r="AH4878" s="199" t="str">
        <f>IF(G4878="","",IF(AND(COUNTIFS($J$18:J4878,J4878)=1,G4878&lt;&gt;""),1,""))</f>
        <v/>
      </c>
      <c r="AI4878" s="200">
        <f t="shared" si="1495"/>
        <v>0</v>
      </c>
      <c r="AJ4878" s="200">
        <f t="shared" si="1496"/>
        <v>0</v>
      </c>
      <c r="AK4878" s="201" t="str">
        <f t="shared" si="1497"/>
        <v/>
      </c>
      <c r="AL4878" s="24"/>
      <c r="AM4878" s="24"/>
      <c r="AN4878" s="24"/>
      <c r="AO4878" s="24"/>
      <c r="AP4878" s="165" t="str">
        <f t="shared" si="1498"/>
        <v/>
      </c>
      <c r="AQ4878" s="203" t="str">
        <f t="shared" si="1499"/>
        <v/>
      </c>
      <c r="AR4878" s="206">
        <f t="shared" si="1500"/>
        <v>0</v>
      </c>
      <c r="AS4878" s="22" t="str">
        <f t="shared" si="1501"/>
        <v/>
      </c>
      <c r="AT4878" s="24" t="str">
        <f t="shared" si="1502"/>
        <v/>
      </c>
      <c r="AU4878" s="22" t="s">
        <v>3240</v>
      </c>
    </row>
    <row r="4879" spans="1:47">
      <c r="A4879" s="246" t="str">
        <f t="shared" si="1490"/>
        <v/>
      </c>
      <c r="B4879" s="23"/>
      <c r="C4879" s="23"/>
      <c r="D4879" s="202" t="str">
        <f t="shared" si="1491"/>
        <v/>
      </c>
      <c r="E4879" s="33" t="str">
        <f t="shared" si="1485"/>
        <v/>
      </c>
      <c r="F4879" s="23"/>
      <c r="G4879" s="23"/>
      <c r="H4879" s="29"/>
      <c r="I4879" s="204" t="str">
        <f t="shared" si="1488"/>
        <v/>
      </c>
      <c r="J4879" s="188"/>
      <c r="K4879" s="29"/>
      <c r="L4879" s="24"/>
      <c r="M4879" s="22"/>
      <c r="N4879" s="22"/>
      <c r="O4879" s="22"/>
      <c r="P4879" s="202" t="str">
        <f t="shared" si="1489"/>
        <v/>
      </c>
      <c r="Q4879" s="22"/>
      <c r="R4879" s="22"/>
      <c r="S4879" s="22"/>
      <c r="T4879" s="22"/>
      <c r="U4879" s="22"/>
      <c r="V4879" s="22"/>
      <c r="W4879" s="22"/>
      <c r="X4879" s="104"/>
      <c r="Y4879" s="195" t="str">
        <f t="shared" si="1486"/>
        <v/>
      </c>
      <c r="Z4879" s="196" t="str">
        <f t="shared" si="1487"/>
        <v/>
      </c>
      <c r="AA4879" s="22"/>
      <c r="AB4879" s="197" t="str">
        <f t="shared" si="1492"/>
        <v/>
      </c>
      <c r="AC4879" s="198" t="str">
        <f t="shared" si="1493"/>
        <v/>
      </c>
      <c r="AD4879" s="162"/>
      <c r="AE4879" s="199" t="str">
        <f t="shared" si="1494"/>
        <v/>
      </c>
      <c r="AF4879" s="199" t="str">
        <f>IF(AND(COUNTIFS($J$18:J4879,J4879)=1,AE4879=1),1,"")</f>
        <v/>
      </c>
      <c r="AG4879" s="199" t="str">
        <f>IF(C4879="","",IF(AND(COUNTIFS($J$18:J4879,J4879)=1,C4879&lt;&gt;""),1,""))</f>
        <v/>
      </c>
      <c r="AH4879" s="199" t="str">
        <f>IF(G4879="","",IF(AND(COUNTIFS($J$18:J4879,J4879)=1,G4879&lt;&gt;""),1,""))</f>
        <v/>
      </c>
      <c r="AI4879" s="200">
        <f t="shared" si="1495"/>
        <v>0</v>
      </c>
      <c r="AJ4879" s="200">
        <f t="shared" si="1496"/>
        <v>0</v>
      </c>
      <c r="AK4879" s="201" t="str">
        <f t="shared" si="1497"/>
        <v/>
      </c>
      <c r="AL4879" s="24"/>
      <c r="AM4879" s="24"/>
      <c r="AN4879" s="24"/>
      <c r="AO4879" s="24"/>
      <c r="AP4879" s="165" t="str">
        <f t="shared" si="1498"/>
        <v/>
      </c>
      <c r="AQ4879" s="203" t="str">
        <f t="shared" si="1499"/>
        <v/>
      </c>
      <c r="AR4879" s="206">
        <f t="shared" si="1500"/>
        <v>0</v>
      </c>
      <c r="AS4879" s="22" t="str">
        <f t="shared" si="1501"/>
        <v/>
      </c>
      <c r="AT4879" s="24" t="str">
        <f t="shared" si="1502"/>
        <v/>
      </c>
      <c r="AU4879" s="22" t="s">
        <v>3240</v>
      </c>
    </row>
    <row r="4880" spans="1:47">
      <c r="A4880" s="246" t="str">
        <f t="shared" si="1490"/>
        <v/>
      </c>
      <c r="B4880" s="23"/>
      <c r="C4880" s="23"/>
      <c r="D4880" s="202" t="str">
        <f t="shared" si="1491"/>
        <v/>
      </c>
      <c r="E4880" s="33" t="str">
        <f t="shared" si="1485"/>
        <v/>
      </c>
      <c r="F4880" s="23"/>
      <c r="G4880" s="23"/>
      <c r="H4880" s="29"/>
      <c r="I4880" s="204" t="str">
        <f t="shared" si="1488"/>
        <v/>
      </c>
      <c r="J4880" s="188"/>
      <c r="K4880" s="29"/>
      <c r="L4880" s="24"/>
      <c r="M4880" s="22"/>
      <c r="N4880" s="22"/>
      <c r="O4880" s="22"/>
      <c r="P4880" s="202" t="str">
        <f t="shared" si="1489"/>
        <v/>
      </c>
      <c r="Q4880" s="22"/>
      <c r="R4880" s="22"/>
      <c r="S4880" s="22"/>
      <c r="T4880" s="22"/>
      <c r="U4880" s="22"/>
      <c r="V4880" s="22"/>
      <c r="W4880" s="22"/>
      <c r="X4880" s="104"/>
      <c r="Y4880" s="195" t="str">
        <f t="shared" si="1486"/>
        <v/>
      </c>
      <c r="Z4880" s="196" t="str">
        <f t="shared" si="1487"/>
        <v/>
      </c>
      <c r="AA4880" s="22"/>
      <c r="AB4880" s="197" t="str">
        <f t="shared" si="1492"/>
        <v/>
      </c>
      <c r="AC4880" s="198" t="str">
        <f t="shared" si="1493"/>
        <v/>
      </c>
      <c r="AD4880" s="162"/>
      <c r="AE4880" s="199" t="str">
        <f t="shared" si="1494"/>
        <v/>
      </c>
      <c r="AF4880" s="199" t="str">
        <f>IF(AND(COUNTIFS($J$18:J4880,J4880)=1,AE4880=1),1,"")</f>
        <v/>
      </c>
      <c r="AG4880" s="199" t="str">
        <f>IF(C4880="","",IF(AND(COUNTIFS($J$18:J4880,J4880)=1,C4880&lt;&gt;""),1,""))</f>
        <v/>
      </c>
      <c r="AH4880" s="199" t="str">
        <f>IF(G4880="","",IF(AND(COUNTIFS($J$18:J4880,J4880)=1,G4880&lt;&gt;""),1,""))</f>
        <v/>
      </c>
      <c r="AI4880" s="200">
        <f t="shared" si="1495"/>
        <v>0</v>
      </c>
      <c r="AJ4880" s="200">
        <f t="shared" si="1496"/>
        <v>0</v>
      </c>
      <c r="AK4880" s="201" t="str">
        <f t="shared" si="1497"/>
        <v/>
      </c>
      <c r="AL4880" s="24"/>
      <c r="AM4880" s="24"/>
      <c r="AN4880" s="24"/>
      <c r="AO4880" s="24"/>
      <c r="AP4880" s="165" t="str">
        <f t="shared" si="1498"/>
        <v/>
      </c>
      <c r="AQ4880" s="203" t="str">
        <f t="shared" si="1499"/>
        <v/>
      </c>
      <c r="AR4880" s="206">
        <f t="shared" si="1500"/>
        <v>0</v>
      </c>
      <c r="AS4880" s="22" t="str">
        <f t="shared" si="1501"/>
        <v/>
      </c>
      <c r="AT4880" s="24" t="str">
        <f t="shared" si="1502"/>
        <v/>
      </c>
      <c r="AU4880" s="22" t="s">
        <v>3240</v>
      </c>
    </row>
    <row r="4881" spans="1:47">
      <c r="A4881" s="246" t="str">
        <f t="shared" si="1490"/>
        <v/>
      </c>
      <c r="B4881" s="23"/>
      <c r="C4881" s="23"/>
      <c r="D4881" s="202" t="str">
        <f t="shared" si="1491"/>
        <v/>
      </c>
      <c r="E4881" s="33" t="str">
        <f t="shared" si="1485"/>
        <v/>
      </c>
      <c r="F4881" s="23"/>
      <c r="G4881" s="23"/>
      <c r="H4881" s="29"/>
      <c r="I4881" s="204" t="str">
        <f t="shared" si="1488"/>
        <v/>
      </c>
      <c r="J4881" s="188"/>
      <c r="K4881" s="29"/>
      <c r="L4881" s="24"/>
      <c r="M4881" s="22"/>
      <c r="N4881" s="22"/>
      <c r="O4881" s="22"/>
      <c r="P4881" s="202" t="str">
        <f t="shared" si="1489"/>
        <v/>
      </c>
      <c r="Q4881" s="22"/>
      <c r="R4881" s="22"/>
      <c r="S4881" s="22"/>
      <c r="T4881" s="22"/>
      <c r="U4881" s="22"/>
      <c r="V4881" s="22"/>
      <c r="W4881" s="22"/>
      <c r="X4881" s="104"/>
      <c r="Y4881" s="195" t="str">
        <f t="shared" si="1486"/>
        <v/>
      </c>
      <c r="Z4881" s="196" t="str">
        <f t="shared" si="1487"/>
        <v/>
      </c>
      <c r="AA4881" s="22"/>
      <c r="AB4881" s="197" t="str">
        <f t="shared" si="1492"/>
        <v/>
      </c>
      <c r="AC4881" s="198" t="str">
        <f t="shared" si="1493"/>
        <v/>
      </c>
      <c r="AD4881" s="162"/>
      <c r="AE4881" s="199" t="str">
        <f t="shared" si="1494"/>
        <v/>
      </c>
      <c r="AF4881" s="199" t="str">
        <f>IF(AND(COUNTIFS($J$18:J4881,J4881)=1,AE4881=1),1,"")</f>
        <v/>
      </c>
      <c r="AG4881" s="199" t="str">
        <f>IF(C4881="","",IF(AND(COUNTIFS($J$18:J4881,J4881)=1,C4881&lt;&gt;""),1,""))</f>
        <v/>
      </c>
      <c r="AH4881" s="199" t="str">
        <f>IF(G4881="","",IF(AND(COUNTIFS($J$18:J4881,J4881)=1,G4881&lt;&gt;""),1,""))</f>
        <v/>
      </c>
      <c r="AI4881" s="200">
        <f t="shared" si="1495"/>
        <v>0</v>
      </c>
      <c r="AJ4881" s="200">
        <f t="shared" si="1496"/>
        <v>0</v>
      </c>
      <c r="AK4881" s="201" t="str">
        <f t="shared" si="1497"/>
        <v/>
      </c>
      <c r="AL4881" s="24"/>
      <c r="AM4881" s="24"/>
      <c r="AN4881" s="24"/>
      <c r="AO4881" s="24"/>
      <c r="AP4881" s="165" t="str">
        <f t="shared" si="1498"/>
        <v/>
      </c>
      <c r="AQ4881" s="203" t="str">
        <f t="shared" si="1499"/>
        <v/>
      </c>
      <c r="AR4881" s="206">
        <f t="shared" si="1500"/>
        <v>0</v>
      </c>
      <c r="AS4881" s="22" t="str">
        <f t="shared" si="1501"/>
        <v/>
      </c>
      <c r="AT4881" s="24" t="str">
        <f t="shared" si="1502"/>
        <v/>
      </c>
      <c r="AU4881" s="22" t="s">
        <v>3240</v>
      </c>
    </row>
    <row r="4882" spans="1:47">
      <c r="A4882" s="246" t="str">
        <f t="shared" si="1490"/>
        <v/>
      </c>
      <c r="B4882" s="23"/>
      <c r="C4882" s="23"/>
      <c r="D4882" s="202" t="str">
        <f t="shared" si="1491"/>
        <v/>
      </c>
      <c r="E4882" s="33" t="str">
        <f t="shared" si="1485"/>
        <v/>
      </c>
      <c r="F4882" s="23"/>
      <c r="G4882" s="23"/>
      <c r="H4882" s="29"/>
      <c r="I4882" s="204" t="str">
        <f t="shared" si="1488"/>
        <v/>
      </c>
      <c r="J4882" s="188"/>
      <c r="K4882" s="29"/>
      <c r="L4882" s="24"/>
      <c r="M4882" s="22"/>
      <c r="N4882" s="22"/>
      <c r="O4882" s="22"/>
      <c r="P4882" s="202" t="str">
        <f t="shared" si="1489"/>
        <v/>
      </c>
      <c r="Q4882" s="22"/>
      <c r="R4882" s="22"/>
      <c r="S4882" s="22"/>
      <c r="T4882" s="22"/>
      <c r="U4882" s="22"/>
      <c r="V4882" s="22"/>
      <c r="W4882" s="22"/>
      <c r="X4882" s="104"/>
      <c r="Y4882" s="195" t="str">
        <f t="shared" si="1486"/>
        <v/>
      </c>
      <c r="Z4882" s="196" t="str">
        <f t="shared" si="1487"/>
        <v/>
      </c>
      <c r="AA4882" s="22"/>
      <c r="AB4882" s="197" t="str">
        <f t="shared" si="1492"/>
        <v/>
      </c>
      <c r="AC4882" s="198" t="str">
        <f t="shared" si="1493"/>
        <v/>
      </c>
      <c r="AD4882" s="162"/>
      <c r="AE4882" s="199" t="str">
        <f t="shared" si="1494"/>
        <v/>
      </c>
      <c r="AF4882" s="199" t="str">
        <f>IF(AND(COUNTIFS($J$18:J4882,J4882)=1,AE4882=1),1,"")</f>
        <v/>
      </c>
      <c r="AG4882" s="199" t="str">
        <f>IF(C4882="","",IF(AND(COUNTIFS($J$18:J4882,J4882)=1,C4882&lt;&gt;""),1,""))</f>
        <v/>
      </c>
      <c r="AH4882" s="199" t="str">
        <f>IF(G4882="","",IF(AND(COUNTIFS($J$18:J4882,J4882)=1,G4882&lt;&gt;""),1,""))</f>
        <v/>
      </c>
      <c r="AI4882" s="200">
        <f t="shared" si="1495"/>
        <v>0</v>
      </c>
      <c r="AJ4882" s="200">
        <f t="shared" si="1496"/>
        <v>0</v>
      </c>
      <c r="AK4882" s="201" t="str">
        <f t="shared" si="1497"/>
        <v/>
      </c>
      <c r="AL4882" s="24"/>
      <c r="AM4882" s="24"/>
      <c r="AN4882" s="24"/>
      <c r="AO4882" s="24"/>
      <c r="AP4882" s="165" t="str">
        <f t="shared" si="1498"/>
        <v/>
      </c>
      <c r="AQ4882" s="203" t="str">
        <f t="shared" si="1499"/>
        <v/>
      </c>
      <c r="AR4882" s="206">
        <f t="shared" si="1500"/>
        <v>0</v>
      </c>
      <c r="AS4882" s="22" t="str">
        <f t="shared" si="1501"/>
        <v/>
      </c>
      <c r="AT4882" s="24" t="str">
        <f t="shared" si="1502"/>
        <v/>
      </c>
      <c r="AU4882" s="22" t="s">
        <v>3240</v>
      </c>
    </row>
    <row r="4883" spans="1:47">
      <c r="A4883" s="246" t="str">
        <f t="shared" si="1490"/>
        <v/>
      </c>
      <c r="B4883" s="23"/>
      <c r="C4883" s="23"/>
      <c r="D4883" s="202" t="str">
        <f t="shared" si="1491"/>
        <v/>
      </c>
      <c r="E4883" s="33" t="str">
        <f t="shared" si="1485"/>
        <v/>
      </c>
      <c r="F4883" s="23"/>
      <c r="G4883" s="23"/>
      <c r="H4883" s="29"/>
      <c r="I4883" s="204" t="str">
        <f t="shared" si="1488"/>
        <v/>
      </c>
      <c r="J4883" s="188"/>
      <c r="K4883" s="29"/>
      <c r="L4883" s="24"/>
      <c r="M4883" s="22"/>
      <c r="N4883" s="22"/>
      <c r="O4883" s="22"/>
      <c r="P4883" s="202" t="str">
        <f t="shared" si="1489"/>
        <v/>
      </c>
      <c r="Q4883" s="22"/>
      <c r="R4883" s="22"/>
      <c r="S4883" s="22"/>
      <c r="T4883" s="22"/>
      <c r="U4883" s="22"/>
      <c r="V4883" s="22"/>
      <c r="W4883" s="22"/>
      <c r="X4883" s="104"/>
      <c r="Y4883" s="195" t="str">
        <f t="shared" si="1486"/>
        <v/>
      </c>
      <c r="Z4883" s="196" t="str">
        <f t="shared" si="1487"/>
        <v/>
      </c>
      <c r="AA4883" s="22"/>
      <c r="AB4883" s="197" t="str">
        <f t="shared" si="1492"/>
        <v/>
      </c>
      <c r="AC4883" s="198" t="str">
        <f t="shared" si="1493"/>
        <v/>
      </c>
      <c r="AD4883" s="162"/>
      <c r="AE4883" s="199" t="str">
        <f t="shared" si="1494"/>
        <v/>
      </c>
      <c r="AF4883" s="199" t="str">
        <f>IF(AND(COUNTIFS($J$18:J4883,J4883)=1,AE4883=1),1,"")</f>
        <v/>
      </c>
      <c r="AG4883" s="199" t="str">
        <f>IF(C4883="","",IF(AND(COUNTIFS($J$18:J4883,J4883)=1,C4883&lt;&gt;""),1,""))</f>
        <v/>
      </c>
      <c r="AH4883" s="199" t="str">
        <f>IF(G4883="","",IF(AND(COUNTIFS($J$18:J4883,J4883)=1,G4883&lt;&gt;""),1,""))</f>
        <v/>
      </c>
      <c r="AI4883" s="200">
        <f t="shared" si="1495"/>
        <v>0</v>
      </c>
      <c r="AJ4883" s="200">
        <f t="shared" si="1496"/>
        <v>0</v>
      </c>
      <c r="AK4883" s="201" t="str">
        <f t="shared" si="1497"/>
        <v/>
      </c>
      <c r="AL4883" s="24"/>
      <c r="AM4883" s="24"/>
      <c r="AN4883" s="24"/>
      <c r="AO4883" s="24"/>
      <c r="AP4883" s="165" t="str">
        <f t="shared" si="1498"/>
        <v/>
      </c>
      <c r="AQ4883" s="203" t="str">
        <f t="shared" si="1499"/>
        <v/>
      </c>
      <c r="AR4883" s="206">
        <f t="shared" si="1500"/>
        <v>0</v>
      </c>
      <c r="AS4883" s="22" t="str">
        <f t="shared" si="1501"/>
        <v/>
      </c>
      <c r="AT4883" s="24" t="str">
        <f t="shared" si="1502"/>
        <v/>
      </c>
      <c r="AU4883" s="22" t="s">
        <v>3240</v>
      </c>
    </row>
    <row r="4884" spans="1:47">
      <c r="A4884" s="246" t="str">
        <f t="shared" si="1490"/>
        <v/>
      </c>
      <c r="B4884" s="23"/>
      <c r="C4884" s="23"/>
      <c r="D4884" s="202" t="str">
        <f t="shared" si="1491"/>
        <v/>
      </c>
      <c r="E4884" s="33" t="str">
        <f t="shared" si="1485"/>
        <v/>
      </c>
      <c r="F4884" s="23"/>
      <c r="G4884" s="23"/>
      <c r="H4884" s="29"/>
      <c r="I4884" s="204" t="str">
        <f t="shared" si="1488"/>
        <v/>
      </c>
      <c r="J4884" s="188"/>
      <c r="K4884" s="29"/>
      <c r="L4884" s="24"/>
      <c r="M4884" s="22"/>
      <c r="N4884" s="22"/>
      <c r="O4884" s="22"/>
      <c r="P4884" s="202" t="str">
        <f t="shared" si="1489"/>
        <v/>
      </c>
      <c r="Q4884" s="22"/>
      <c r="R4884" s="22"/>
      <c r="S4884" s="22"/>
      <c r="T4884" s="22"/>
      <c r="U4884" s="22"/>
      <c r="V4884" s="22"/>
      <c r="W4884" s="22"/>
      <c r="X4884" s="104"/>
      <c r="Y4884" s="195" t="str">
        <f t="shared" si="1486"/>
        <v/>
      </c>
      <c r="Z4884" s="196" t="str">
        <f t="shared" si="1487"/>
        <v/>
      </c>
      <c r="AA4884" s="22"/>
      <c r="AB4884" s="197" t="str">
        <f t="shared" si="1492"/>
        <v/>
      </c>
      <c r="AC4884" s="198" t="str">
        <f t="shared" si="1493"/>
        <v/>
      </c>
      <c r="AD4884" s="162"/>
      <c r="AE4884" s="199" t="str">
        <f t="shared" si="1494"/>
        <v/>
      </c>
      <c r="AF4884" s="199" t="str">
        <f>IF(AND(COUNTIFS($J$18:J4884,J4884)=1,AE4884=1),1,"")</f>
        <v/>
      </c>
      <c r="AG4884" s="199" t="str">
        <f>IF(C4884="","",IF(AND(COUNTIFS($J$18:J4884,J4884)=1,C4884&lt;&gt;""),1,""))</f>
        <v/>
      </c>
      <c r="AH4884" s="199" t="str">
        <f>IF(G4884="","",IF(AND(COUNTIFS($J$18:J4884,J4884)=1,G4884&lt;&gt;""),1,""))</f>
        <v/>
      </c>
      <c r="AI4884" s="200">
        <f t="shared" si="1495"/>
        <v>0</v>
      </c>
      <c r="AJ4884" s="200">
        <f t="shared" si="1496"/>
        <v>0</v>
      </c>
      <c r="AK4884" s="201" t="str">
        <f t="shared" si="1497"/>
        <v/>
      </c>
      <c r="AL4884" s="24"/>
      <c r="AM4884" s="24"/>
      <c r="AN4884" s="24"/>
      <c r="AO4884" s="24"/>
      <c r="AP4884" s="165" t="str">
        <f t="shared" si="1498"/>
        <v/>
      </c>
      <c r="AQ4884" s="203" t="str">
        <f t="shared" si="1499"/>
        <v/>
      </c>
      <c r="AR4884" s="206">
        <f t="shared" si="1500"/>
        <v>0</v>
      </c>
      <c r="AS4884" s="22" t="str">
        <f t="shared" si="1501"/>
        <v/>
      </c>
      <c r="AT4884" s="24" t="str">
        <f t="shared" si="1502"/>
        <v/>
      </c>
      <c r="AU4884" s="22" t="s">
        <v>3240</v>
      </c>
    </row>
    <row r="4885" spans="1:47">
      <c r="A4885" s="246" t="str">
        <f t="shared" si="1490"/>
        <v/>
      </c>
      <c r="B4885" s="23"/>
      <c r="C4885" s="23"/>
      <c r="D4885" s="202" t="str">
        <f t="shared" si="1491"/>
        <v/>
      </c>
      <c r="E4885" s="33" t="str">
        <f t="shared" si="1485"/>
        <v/>
      </c>
      <c r="F4885" s="23"/>
      <c r="G4885" s="23"/>
      <c r="H4885" s="29"/>
      <c r="I4885" s="204" t="str">
        <f t="shared" si="1488"/>
        <v/>
      </c>
      <c r="J4885" s="188"/>
      <c r="K4885" s="29"/>
      <c r="L4885" s="24"/>
      <c r="M4885" s="22"/>
      <c r="N4885" s="22"/>
      <c r="O4885" s="22"/>
      <c r="P4885" s="202" t="str">
        <f t="shared" si="1489"/>
        <v/>
      </c>
      <c r="Q4885" s="22"/>
      <c r="R4885" s="22"/>
      <c r="S4885" s="22"/>
      <c r="T4885" s="22"/>
      <c r="U4885" s="22"/>
      <c r="V4885" s="22"/>
      <c r="W4885" s="22"/>
      <c r="X4885" s="104"/>
      <c r="Y4885" s="195" t="str">
        <f t="shared" si="1486"/>
        <v/>
      </c>
      <c r="Z4885" s="196" t="str">
        <f t="shared" si="1487"/>
        <v/>
      </c>
      <c r="AA4885" s="22"/>
      <c r="AB4885" s="197" t="str">
        <f t="shared" si="1492"/>
        <v/>
      </c>
      <c r="AC4885" s="198" t="str">
        <f t="shared" si="1493"/>
        <v/>
      </c>
      <c r="AD4885" s="162"/>
      <c r="AE4885" s="199" t="str">
        <f t="shared" si="1494"/>
        <v/>
      </c>
      <c r="AF4885" s="199" t="str">
        <f>IF(AND(COUNTIFS($J$18:J4885,J4885)=1,AE4885=1),1,"")</f>
        <v/>
      </c>
      <c r="AG4885" s="199" t="str">
        <f>IF(C4885="","",IF(AND(COUNTIFS($J$18:J4885,J4885)=1,C4885&lt;&gt;""),1,""))</f>
        <v/>
      </c>
      <c r="AH4885" s="199" t="str">
        <f>IF(G4885="","",IF(AND(COUNTIFS($J$18:J4885,J4885)=1,G4885&lt;&gt;""),1,""))</f>
        <v/>
      </c>
      <c r="AI4885" s="200">
        <f t="shared" si="1495"/>
        <v>0</v>
      </c>
      <c r="AJ4885" s="200">
        <f t="shared" si="1496"/>
        <v>0</v>
      </c>
      <c r="AK4885" s="201" t="str">
        <f t="shared" si="1497"/>
        <v/>
      </c>
      <c r="AL4885" s="24"/>
      <c r="AM4885" s="24"/>
      <c r="AN4885" s="24"/>
      <c r="AO4885" s="24"/>
      <c r="AP4885" s="165" t="str">
        <f t="shared" si="1498"/>
        <v/>
      </c>
      <c r="AQ4885" s="203" t="str">
        <f t="shared" si="1499"/>
        <v/>
      </c>
      <c r="AR4885" s="206">
        <f t="shared" si="1500"/>
        <v>0</v>
      </c>
      <c r="AS4885" s="22" t="str">
        <f t="shared" si="1501"/>
        <v/>
      </c>
      <c r="AT4885" s="24" t="str">
        <f t="shared" si="1502"/>
        <v/>
      </c>
      <c r="AU4885" s="22" t="s">
        <v>3240</v>
      </c>
    </row>
    <row r="4886" spans="1:47">
      <c r="A4886" s="246" t="str">
        <f t="shared" si="1490"/>
        <v/>
      </c>
      <c r="B4886" s="23"/>
      <c r="C4886" s="23"/>
      <c r="D4886" s="202" t="str">
        <f t="shared" si="1491"/>
        <v/>
      </c>
      <c r="E4886" s="33" t="str">
        <f t="shared" si="1485"/>
        <v/>
      </c>
      <c r="F4886" s="23"/>
      <c r="G4886" s="23"/>
      <c r="H4886" s="29"/>
      <c r="I4886" s="204" t="str">
        <f t="shared" si="1488"/>
        <v/>
      </c>
      <c r="J4886" s="188"/>
      <c r="K4886" s="29"/>
      <c r="L4886" s="24"/>
      <c r="M4886" s="22"/>
      <c r="N4886" s="22"/>
      <c r="O4886" s="22"/>
      <c r="P4886" s="202" t="str">
        <f t="shared" si="1489"/>
        <v/>
      </c>
      <c r="Q4886" s="22"/>
      <c r="R4886" s="22"/>
      <c r="S4886" s="22"/>
      <c r="T4886" s="22"/>
      <c r="U4886" s="22"/>
      <c r="V4886" s="22"/>
      <c r="W4886" s="22"/>
      <c r="X4886" s="104"/>
      <c r="Y4886" s="195" t="str">
        <f t="shared" si="1486"/>
        <v/>
      </c>
      <c r="Z4886" s="196" t="str">
        <f t="shared" si="1487"/>
        <v/>
      </c>
      <c r="AA4886" s="22"/>
      <c r="AB4886" s="197" t="str">
        <f t="shared" si="1492"/>
        <v/>
      </c>
      <c r="AC4886" s="198" t="str">
        <f t="shared" si="1493"/>
        <v/>
      </c>
      <c r="AD4886" s="162"/>
      <c r="AE4886" s="199" t="str">
        <f t="shared" si="1494"/>
        <v/>
      </c>
      <c r="AF4886" s="199" t="str">
        <f>IF(AND(COUNTIFS($J$18:J4886,J4886)=1,AE4886=1),1,"")</f>
        <v/>
      </c>
      <c r="AG4886" s="199" t="str">
        <f>IF(C4886="","",IF(AND(COUNTIFS($J$18:J4886,J4886)=1,C4886&lt;&gt;""),1,""))</f>
        <v/>
      </c>
      <c r="AH4886" s="199" t="str">
        <f>IF(G4886="","",IF(AND(COUNTIFS($J$18:J4886,J4886)=1,G4886&lt;&gt;""),1,""))</f>
        <v/>
      </c>
      <c r="AI4886" s="200">
        <f t="shared" si="1495"/>
        <v>0</v>
      </c>
      <c r="AJ4886" s="200">
        <f t="shared" si="1496"/>
        <v>0</v>
      </c>
      <c r="AK4886" s="201" t="str">
        <f t="shared" si="1497"/>
        <v/>
      </c>
      <c r="AL4886" s="24"/>
      <c r="AM4886" s="24"/>
      <c r="AN4886" s="24"/>
      <c r="AO4886" s="24"/>
      <c r="AP4886" s="165" t="str">
        <f t="shared" si="1498"/>
        <v/>
      </c>
      <c r="AQ4886" s="203" t="str">
        <f t="shared" si="1499"/>
        <v/>
      </c>
      <c r="AR4886" s="206">
        <f t="shared" si="1500"/>
        <v>0</v>
      </c>
      <c r="AS4886" s="22" t="str">
        <f t="shared" si="1501"/>
        <v/>
      </c>
      <c r="AT4886" s="24" t="str">
        <f t="shared" si="1502"/>
        <v/>
      </c>
      <c r="AU4886" s="22" t="s">
        <v>3240</v>
      </c>
    </row>
    <row r="4887" spans="1:47">
      <c r="A4887" s="246" t="str">
        <f t="shared" si="1490"/>
        <v/>
      </c>
      <c r="B4887" s="23"/>
      <c r="C4887" s="23"/>
      <c r="D4887" s="202" t="str">
        <f t="shared" si="1491"/>
        <v/>
      </c>
      <c r="E4887" s="33" t="str">
        <f t="shared" si="1485"/>
        <v/>
      </c>
      <c r="F4887" s="23"/>
      <c r="G4887" s="23"/>
      <c r="H4887" s="29"/>
      <c r="I4887" s="204" t="str">
        <f t="shared" si="1488"/>
        <v/>
      </c>
      <c r="J4887" s="188"/>
      <c r="K4887" s="29"/>
      <c r="L4887" s="24"/>
      <c r="M4887" s="22"/>
      <c r="N4887" s="22"/>
      <c r="O4887" s="22"/>
      <c r="P4887" s="202" t="str">
        <f t="shared" si="1489"/>
        <v/>
      </c>
      <c r="Q4887" s="22"/>
      <c r="R4887" s="22"/>
      <c r="S4887" s="22"/>
      <c r="T4887" s="22"/>
      <c r="U4887" s="22"/>
      <c r="V4887" s="22"/>
      <c r="W4887" s="22"/>
      <c r="X4887" s="104"/>
      <c r="Y4887" s="195" t="str">
        <f t="shared" si="1486"/>
        <v/>
      </c>
      <c r="Z4887" s="196" t="str">
        <f t="shared" si="1487"/>
        <v/>
      </c>
      <c r="AA4887" s="22"/>
      <c r="AB4887" s="197" t="str">
        <f t="shared" si="1492"/>
        <v/>
      </c>
      <c r="AC4887" s="198" t="str">
        <f t="shared" si="1493"/>
        <v/>
      </c>
      <c r="AD4887" s="162"/>
      <c r="AE4887" s="199" t="str">
        <f t="shared" si="1494"/>
        <v/>
      </c>
      <c r="AF4887" s="199" t="str">
        <f>IF(AND(COUNTIFS($J$18:J4887,J4887)=1,AE4887=1),1,"")</f>
        <v/>
      </c>
      <c r="AG4887" s="199" t="str">
        <f>IF(C4887="","",IF(AND(COUNTIFS($J$18:J4887,J4887)=1,C4887&lt;&gt;""),1,""))</f>
        <v/>
      </c>
      <c r="AH4887" s="199" t="str">
        <f>IF(G4887="","",IF(AND(COUNTIFS($J$18:J4887,J4887)=1,G4887&lt;&gt;""),1,""))</f>
        <v/>
      </c>
      <c r="AI4887" s="200">
        <f t="shared" si="1495"/>
        <v>0</v>
      </c>
      <c r="AJ4887" s="200">
        <f t="shared" si="1496"/>
        <v>0</v>
      </c>
      <c r="AK4887" s="201" t="str">
        <f t="shared" si="1497"/>
        <v/>
      </c>
      <c r="AL4887" s="24"/>
      <c r="AM4887" s="24"/>
      <c r="AN4887" s="24"/>
      <c r="AO4887" s="24"/>
      <c r="AP4887" s="165" t="str">
        <f t="shared" si="1498"/>
        <v/>
      </c>
      <c r="AQ4887" s="203" t="str">
        <f t="shared" si="1499"/>
        <v/>
      </c>
      <c r="AR4887" s="206">
        <f t="shared" si="1500"/>
        <v>0</v>
      </c>
      <c r="AS4887" s="22" t="str">
        <f t="shared" si="1501"/>
        <v/>
      </c>
      <c r="AT4887" s="24" t="str">
        <f t="shared" si="1502"/>
        <v/>
      </c>
      <c r="AU4887" s="22" t="s">
        <v>3240</v>
      </c>
    </row>
    <row r="4888" spans="1:47">
      <c r="A4888" s="246" t="str">
        <f t="shared" si="1490"/>
        <v/>
      </c>
      <c r="B4888" s="23"/>
      <c r="C4888" s="23"/>
      <c r="D4888" s="202" t="str">
        <f t="shared" si="1491"/>
        <v/>
      </c>
      <c r="E4888" s="33" t="str">
        <f t="shared" ref="E4888:E4951" si="1503">IF(G4888="Cancel","Cancel",IF(G4888="TBA","TBA",IFERROR(IF(I4888="Q4","FY "&amp;RIGHT(F4888,2)-1&amp;"/"&amp;RIGHT(F4888,2),"FY "&amp;RIGHT(F4888,2)&amp;"/"&amp;RIGHT(F4888,2)+1),"")))</f>
        <v/>
      </c>
      <c r="F4888" s="23"/>
      <c r="G4888" s="23"/>
      <c r="H4888" s="29"/>
      <c r="I4888" s="204" t="str">
        <f t="shared" si="1488"/>
        <v/>
      </c>
      <c r="J4888" s="188"/>
      <c r="K4888" s="29"/>
      <c r="L4888" s="24"/>
      <c r="M4888" s="22"/>
      <c r="N4888" s="22"/>
      <c r="O4888" s="22"/>
      <c r="P4888" s="202" t="str">
        <f t="shared" si="1489"/>
        <v/>
      </c>
      <c r="Q4888" s="22"/>
      <c r="R4888" s="22"/>
      <c r="S4888" s="22"/>
      <c r="T4888" s="22"/>
      <c r="U4888" s="22"/>
      <c r="V4888" s="22"/>
      <c r="W4888" s="22"/>
      <c r="X4888" s="104"/>
      <c r="Y4888" s="195" t="str">
        <f t="shared" si="1486"/>
        <v/>
      </c>
      <c r="Z4888" s="196" t="str">
        <f t="shared" si="1487"/>
        <v/>
      </c>
      <c r="AA4888" s="22"/>
      <c r="AB4888" s="197" t="str">
        <f t="shared" si="1492"/>
        <v/>
      </c>
      <c r="AC4888" s="198" t="str">
        <f t="shared" si="1493"/>
        <v/>
      </c>
      <c r="AD4888" s="162"/>
      <c r="AE4888" s="199" t="str">
        <f t="shared" si="1494"/>
        <v/>
      </c>
      <c r="AF4888" s="199" t="str">
        <f>IF(AND(COUNTIFS($J$18:J4888,J4888)=1,AE4888=1),1,"")</f>
        <v/>
      </c>
      <c r="AG4888" s="199" t="str">
        <f>IF(C4888="","",IF(AND(COUNTIFS($J$18:J4888,J4888)=1,C4888&lt;&gt;""),1,""))</f>
        <v/>
      </c>
      <c r="AH4888" s="199" t="str">
        <f>IF(G4888="","",IF(AND(COUNTIFS($J$18:J4888,J4888)=1,G4888&lt;&gt;""),1,""))</f>
        <v/>
      </c>
      <c r="AI4888" s="200">
        <f t="shared" si="1495"/>
        <v>0</v>
      </c>
      <c r="AJ4888" s="200">
        <f t="shared" si="1496"/>
        <v>0</v>
      </c>
      <c r="AK4888" s="201" t="str">
        <f t="shared" si="1497"/>
        <v/>
      </c>
      <c r="AL4888" s="24"/>
      <c r="AM4888" s="24"/>
      <c r="AN4888" s="24"/>
      <c r="AO4888" s="24"/>
      <c r="AP4888" s="165" t="str">
        <f t="shared" si="1498"/>
        <v/>
      </c>
      <c r="AQ4888" s="203" t="str">
        <f t="shared" si="1499"/>
        <v/>
      </c>
      <c r="AR4888" s="206">
        <f t="shared" si="1500"/>
        <v>0</v>
      </c>
      <c r="AS4888" s="22" t="str">
        <f t="shared" si="1501"/>
        <v/>
      </c>
      <c r="AT4888" s="24" t="str">
        <f t="shared" si="1502"/>
        <v/>
      </c>
      <c r="AU4888" s="22" t="s">
        <v>3240</v>
      </c>
    </row>
    <row r="4889" spans="1:47">
      <c r="A4889" s="246" t="str">
        <f t="shared" si="1490"/>
        <v/>
      </c>
      <c r="B4889" s="23"/>
      <c r="C4889" s="23"/>
      <c r="D4889" s="202" t="str">
        <f t="shared" si="1491"/>
        <v/>
      </c>
      <c r="E4889" s="33" t="str">
        <f t="shared" si="1503"/>
        <v/>
      </c>
      <c r="F4889" s="23"/>
      <c r="G4889" s="23"/>
      <c r="H4889" s="29"/>
      <c r="I4889" s="204" t="str">
        <f t="shared" si="1488"/>
        <v/>
      </c>
      <c r="J4889" s="188"/>
      <c r="K4889" s="29"/>
      <c r="L4889" s="24"/>
      <c r="M4889" s="22"/>
      <c r="N4889" s="22"/>
      <c r="O4889" s="22"/>
      <c r="P4889" s="202" t="str">
        <f t="shared" si="1489"/>
        <v/>
      </c>
      <c r="Q4889" s="22"/>
      <c r="R4889" s="22"/>
      <c r="S4889" s="22"/>
      <c r="T4889" s="22"/>
      <c r="U4889" s="22"/>
      <c r="V4889" s="22"/>
      <c r="W4889" s="22"/>
      <c r="X4889" s="104"/>
      <c r="Y4889" s="195" t="str">
        <f t="shared" si="1486"/>
        <v/>
      </c>
      <c r="Z4889" s="196" t="str">
        <f t="shared" si="1487"/>
        <v/>
      </c>
      <c r="AA4889" s="22"/>
      <c r="AB4889" s="197" t="str">
        <f t="shared" si="1492"/>
        <v/>
      </c>
      <c r="AC4889" s="198" t="str">
        <f t="shared" si="1493"/>
        <v/>
      </c>
      <c r="AD4889" s="162"/>
      <c r="AE4889" s="199" t="str">
        <f t="shared" si="1494"/>
        <v/>
      </c>
      <c r="AF4889" s="199" t="str">
        <f>IF(AND(COUNTIFS($J$18:J4889,J4889)=1,AE4889=1),1,"")</f>
        <v/>
      </c>
      <c r="AG4889" s="199" t="str">
        <f>IF(C4889="","",IF(AND(COUNTIFS($J$18:J4889,J4889)=1,C4889&lt;&gt;""),1,""))</f>
        <v/>
      </c>
      <c r="AH4889" s="199" t="str">
        <f>IF(G4889="","",IF(AND(COUNTIFS($J$18:J4889,J4889)=1,G4889&lt;&gt;""),1,""))</f>
        <v/>
      </c>
      <c r="AI4889" s="200">
        <f t="shared" si="1495"/>
        <v>0</v>
      </c>
      <c r="AJ4889" s="200">
        <f t="shared" si="1496"/>
        <v>0</v>
      </c>
      <c r="AK4889" s="201" t="str">
        <f t="shared" si="1497"/>
        <v/>
      </c>
      <c r="AL4889" s="24"/>
      <c r="AM4889" s="24"/>
      <c r="AN4889" s="24"/>
      <c r="AO4889" s="24"/>
      <c r="AP4889" s="165" t="str">
        <f t="shared" si="1498"/>
        <v/>
      </c>
      <c r="AQ4889" s="203" t="str">
        <f t="shared" si="1499"/>
        <v/>
      </c>
      <c r="AR4889" s="206">
        <f t="shared" si="1500"/>
        <v>0</v>
      </c>
      <c r="AS4889" s="22" t="str">
        <f t="shared" si="1501"/>
        <v/>
      </c>
      <c r="AT4889" s="24" t="str">
        <f t="shared" si="1502"/>
        <v/>
      </c>
      <c r="AU4889" s="22" t="s">
        <v>3240</v>
      </c>
    </row>
    <row r="4890" spans="1:47">
      <c r="A4890" s="246" t="str">
        <f t="shared" si="1490"/>
        <v/>
      </c>
      <c r="B4890" s="23"/>
      <c r="C4890" s="23"/>
      <c r="D4890" s="202" t="str">
        <f t="shared" si="1491"/>
        <v/>
      </c>
      <c r="E4890" s="33" t="str">
        <f t="shared" si="1503"/>
        <v/>
      </c>
      <c r="F4890" s="23"/>
      <c r="G4890" s="23"/>
      <c r="H4890" s="29"/>
      <c r="I4890" s="204" t="str">
        <f t="shared" si="1488"/>
        <v/>
      </c>
      <c r="J4890" s="188"/>
      <c r="K4890" s="29"/>
      <c r="L4890" s="24"/>
      <c r="M4890" s="22"/>
      <c r="N4890" s="22"/>
      <c r="O4890" s="22"/>
      <c r="P4890" s="202" t="str">
        <f t="shared" si="1489"/>
        <v/>
      </c>
      <c r="Q4890" s="22"/>
      <c r="R4890" s="22"/>
      <c r="S4890" s="22"/>
      <c r="T4890" s="22"/>
      <c r="U4890" s="22"/>
      <c r="V4890" s="22"/>
      <c r="W4890" s="22"/>
      <c r="X4890" s="104"/>
      <c r="Y4890" s="195" t="str">
        <f t="shared" si="1486"/>
        <v/>
      </c>
      <c r="Z4890" s="196" t="str">
        <f t="shared" si="1487"/>
        <v/>
      </c>
      <c r="AA4890" s="22"/>
      <c r="AB4890" s="197" t="str">
        <f t="shared" si="1492"/>
        <v/>
      </c>
      <c r="AC4890" s="198" t="str">
        <f t="shared" si="1493"/>
        <v/>
      </c>
      <c r="AD4890" s="162"/>
      <c r="AE4890" s="199" t="str">
        <f t="shared" si="1494"/>
        <v/>
      </c>
      <c r="AF4890" s="199" t="str">
        <f>IF(AND(COUNTIFS($J$18:J4890,J4890)=1,AE4890=1),1,"")</f>
        <v/>
      </c>
      <c r="AG4890" s="199" t="str">
        <f>IF(C4890="","",IF(AND(COUNTIFS($J$18:J4890,J4890)=1,C4890&lt;&gt;""),1,""))</f>
        <v/>
      </c>
      <c r="AH4890" s="199" t="str">
        <f>IF(G4890="","",IF(AND(COUNTIFS($J$18:J4890,J4890)=1,G4890&lt;&gt;""),1,""))</f>
        <v/>
      </c>
      <c r="AI4890" s="200">
        <f t="shared" si="1495"/>
        <v>0</v>
      </c>
      <c r="AJ4890" s="200">
        <f t="shared" si="1496"/>
        <v>0</v>
      </c>
      <c r="AK4890" s="201" t="str">
        <f t="shared" si="1497"/>
        <v/>
      </c>
      <c r="AL4890" s="24"/>
      <c r="AM4890" s="24"/>
      <c r="AN4890" s="24"/>
      <c r="AO4890" s="24"/>
      <c r="AP4890" s="165" t="str">
        <f t="shared" si="1498"/>
        <v/>
      </c>
      <c r="AQ4890" s="203" t="str">
        <f t="shared" si="1499"/>
        <v/>
      </c>
      <c r="AR4890" s="206">
        <f t="shared" si="1500"/>
        <v>0</v>
      </c>
      <c r="AS4890" s="22" t="str">
        <f t="shared" si="1501"/>
        <v/>
      </c>
      <c r="AT4890" s="24" t="str">
        <f t="shared" si="1502"/>
        <v/>
      </c>
      <c r="AU4890" s="22" t="s">
        <v>3240</v>
      </c>
    </row>
    <row r="4891" spans="1:47">
      <c r="A4891" s="246" t="str">
        <f t="shared" si="1490"/>
        <v/>
      </c>
      <c r="B4891" s="23"/>
      <c r="C4891" s="23"/>
      <c r="D4891" s="202" t="str">
        <f t="shared" si="1491"/>
        <v/>
      </c>
      <c r="E4891" s="33" t="str">
        <f t="shared" si="1503"/>
        <v/>
      </c>
      <c r="F4891" s="23"/>
      <c r="G4891" s="23"/>
      <c r="H4891" s="29"/>
      <c r="I4891" s="204" t="str">
        <f t="shared" si="1488"/>
        <v/>
      </c>
      <c r="J4891" s="188"/>
      <c r="K4891" s="29"/>
      <c r="L4891" s="24"/>
      <c r="M4891" s="22"/>
      <c r="N4891" s="22"/>
      <c r="O4891" s="22"/>
      <c r="P4891" s="202" t="str">
        <f t="shared" si="1489"/>
        <v/>
      </c>
      <c r="Q4891" s="22"/>
      <c r="R4891" s="22"/>
      <c r="S4891" s="22"/>
      <c r="T4891" s="22"/>
      <c r="U4891" s="22"/>
      <c r="V4891" s="22"/>
      <c r="W4891" s="22"/>
      <c r="X4891" s="104"/>
      <c r="Y4891" s="195" t="str">
        <f t="shared" ref="Y4891:Y4954" si="1504">IF(W4891="","",IF(W4891="RMB","1.13", "1"))</f>
        <v/>
      </c>
      <c r="Z4891" s="196" t="str">
        <f t="shared" ref="Z4891:Z4954" si="1505">IF(X4891="","",X4891*MAX(O4891,N4891))</f>
        <v/>
      </c>
      <c r="AA4891" s="22"/>
      <c r="AB4891" s="197" t="str">
        <f t="shared" si="1492"/>
        <v/>
      </c>
      <c r="AC4891" s="198" t="str">
        <f t="shared" si="1493"/>
        <v/>
      </c>
      <c r="AD4891" s="162"/>
      <c r="AE4891" s="199" t="str">
        <f t="shared" si="1494"/>
        <v/>
      </c>
      <c r="AF4891" s="199" t="str">
        <f>IF(AND(COUNTIFS($J$18:J4891,J4891)=1,AE4891=1),1,"")</f>
        <v/>
      </c>
      <c r="AG4891" s="199" t="str">
        <f>IF(C4891="","",IF(AND(COUNTIFS($J$18:J4891,J4891)=1,C4891&lt;&gt;""),1,""))</f>
        <v/>
      </c>
      <c r="AH4891" s="199" t="str">
        <f>IF(G4891="","",IF(AND(COUNTIFS($J$18:J4891,J4891)=1,G4891&lt;&gt;""),1,""))</f>
        <v/>
      </c>
      <c r="AI4891" s="200">
        <f t="shared" si="1495"/>
        <v>0</v>
      </c>
      <c r="AJ4891" s="200">
        <f t="shared" si="1496"/>
        <v>0</v>
      </c>
      <c r="AK4891" s="201" t="str">
        <f t="shared" si="1497"/>
        <v/>
      </c>
      <c r="AL4891" s="24"/>
      <c r="AM4891" s="24"/>
      <c r="AN4891" s="24"/>
      <c r="AO4891" s="24"/>
      <c r="AP4891" s="165" t="str">
        <f t="shared" si="1498"/>
        <v/>
      </c>
      <c r="AQ4891" s="203" t="str">
        <f t="shared" si="1499"/>
        <v/>
      </c>
      <c r="AR4891" s="206">
        <f t="shared" si="1500"/>
        <v>0</v>
      </c>
      <c r="AS4891" s="22" t="str">
        <f t="shared" si="1501"/>
        <v/>
      </c>
      <c r="AT4891" s="24" t="str">
        <f t="shared" si="1502"/>
        <v/>
      </c>
      <c r="AU4891" s="22" t="s">
        <v>3240</v>
      </c>
    </row>
    <row r="4892" spans="1:47">
      <c r="A4892" s="246" t="str">
        <f t="shared" si="1490"/>
        <v/>
      </c>
      <c r="B4892" s="23"/>
      <c r="C4892" s="23"/>
      <c r="D4892" s="202" t="str">
        <f t="shared" si="1491"/>
        <v/>
      </c>
      <c r="E4892" s="33" t="str">
        <f t="shared" si="1503"/>
        <v/>
      </c>
      <c r="F4892" s="23"/>
      <c r="G4892" s="23"/>
      <c r="H4892" s="29"/>
      <c r="I4892" s="204" t="str">
        <f t="shared" si="1488"/>
        <v/>
      </c>
      <c r="J4892" s="188"/>
      <c r="K4892" s="29"/>
      <c r="L4892" s="24"/>
      <c r="M4892" s="22"/>
      <c r="N4892" s="22"/>
      <c r="O4892" s="22"/>
      <c r="P4892" s="202" t="str">
        <f t="shared" si="1489"/>
        <v/>
      </c>
      <c r="Q4892" s="22"/>
      <c r="R4892" s="22"/>
      <c r="S4892" s="22"/>
      <c r="T4892" s="22"/>
      <c r="U4892" s="22"/>
      <c r="V4892" s="22"/>
      <c r="W4892" s="22"/>
      <c r="X4892" s="104"/>
      <c r="Y4892" s="195" t="str">
        <f t="shared" si="1504"/>
        <v/>
      </c>
      <c r="Z4892" s="196" t="str">
        <f t="shared" si="1505"/>
        <v/>
      </c>
      <c r="AA4892" s="22"/>
      <c r="AB4892" s="197" t="str">
        <f t="shared" si="1492"/>
        <v/>
      </c>
      <c r="AC4892" s="198" t="str">
        <f t="shared" si="1493"/>
        <v/>
      </c>
      <c r="AD4892" s="162"/>
      <c r="AE4892" s="199" t="str">
        <f t="shared" si="1494"/>
        <v/>
      </c>
      <c r="AF4892" s="199" t="str">
        <f>IF(AND(COUNTIFS($J$18:J4892,J4892)=1,AE4892=1),1,"")</f>
        <v/>
      </c>
      <c r="AG4892" s="199" t="str">
        <f>IF(C4892="","",IF(AND(COUNTIFS($J$18:J4892,J4892)=1,C4892&lt;&gt;""),1,""))</f>
        <v/>
      </c>
      <c r="AH4892" s="199" t="str">
        <f>IF(G4892="","",IF(AND(COUNTIFS($J$18:J4892,J4892)=1,G4892&lt;&gt;""),1,""))</f>
        <v/>
      </c>
      <c r="AI4892" s="200">
        <f t="shared" si="1495"/>
        <v>0</v>
      </c>
      <c r="AJ4892" s="200">
        <f t="shared" si="1496"/>
        <v>0</v>
      </c>
      <c r="AK4892" s="201" t="str">
        <f t="shared" si="1497"/>
        <v/>
      </c>
      <c r="AL4892" s="24"/>
      <c r="AM4892" s="24"/>
      <c r="AN4892" s="24"/>
      <c r="AO4892" s="24"/>
      <c r="AP4892" s="165" t="str">
        <f t="shared" si="1498"/>
        <v/>
      </c>
      <c r="AQ4892" s="203" t="str">
        <f t="shared" si="1499"/>
        <v/>
      </c>
      <c r="AR4892" s="206">
        <f t="shared" si="1500"/>
        <v>0</v>
      </c>
      <c r="AS4892" s="22" t="str">
        <f t="shared" si="1501"/>
        <v/>
      </c>
      <c r="AT4892" s="24" t="str">
        <f t="shared" si="1502"/>
        <v/>
      </c>
      <c r="AU4892" s="22" t="s">
        <v>3240</v>
      </c>
    </row>
    <row r="4893" spans="1:47">
      <c r="A4893" s="246" t="str">
        <f t="shared" si="1490"/>
        <v/>
      </c>
      <c r="B4893" s="23"/>
      <c r="C4893" s="23"/>
      <c r="D4893" s="202" t="str">
        <f t="shared" si="1491"/>
        <v/>
      </c>
      <c r="E4893" s="33" t="str">
        <f t="shared" si="1503"/>
        <v/>
      </c>
      <c r="F4893" s="23"/>
      <c r="G4893" s="23"/>
      <c r="H4893" s="29"/>
      <c r="I4893" s="204" t="str">
        <f t="shared" si="1488"/>
        <v/>
      </c>
      <c r="J4893" s="188"/>
      <c r="K4893" s="29"/>
      <c r="L4893" s="24"/>
      <c r="M4893" s="22"/>
      <c r="N4893" s="22"/>
      <c r="O4893" s="22"/>
      <c r="P4893" s="202" t="str">
        <f t="shared" si="1489"/>
        <v/>
      </c>
      <c r="Q4893" s="22"/>
      <c r="R4893" s="22"/>
      <c r="S4893" s="22"/>
      <c r="T4893" s="22"/>
      <c r="U4893" s="22"/>
      <c r="V4893" s="22"/>
      <c r="W4893" s="22"/>
      <c r="X4893" s="104"/>
      <c r="Y4893" s="195" t="str">
        <f t="shared" si="1504"/>
        <v/>
      </c>
      <c r="Z4893" s="196" t="str">
        <f t="shared" si="1505"/>
        <v/>
      </c>
      <c r="AA4893" s="22"/>
      <c r="AB4893" s="197" t="str">
        <f t="shared" si="1492"/>
        <v/>
      </c>
      <c r="AC4893" s="198" t="str">
        <f t="shared" si="1493"/>
        <v/>
      </c>
      <c r="AD4893" s="162"/>
      <c r="AE4893" s="199" t="str">
        <f t="shared" si="1494"/>
        <v/>
      </c>
      <c r="AF4893" s="199" t="str">
        <f>IF(AND(COUNTIFS($J$18:J4893,J4893)=1,AE4893=1),1,"")</f>
        <v/>
      </c>
      <c r="AG4893" s="199" t="str">
        <f>IF(C4893="","",IF(AND(COUNTIFS($J$18:J4893,J4893)=1,C4893&lt;&gt;""),1,""))</f>
        <v/>
      </c>
      <c r="AH4893" s="199" t="str">
        <f>IF(G4893="","",IF(AND(COUNTIFS($J$18:J4893,J4893)=1,G4893&lt;&gt;""),1,""))</f>
        <v/>
      </c>
      <c r="AI4893" s="200">
        <f t="shared" si="1495"/>
        <v>0</v>
      </c>
      <c r="AJ4893" s="200">
        <f t="shared" si="1496"/>
        <v>0</v>
      </c>
      <c r="AK4893" s="201" t="str">
        <f t="shared" si="1497"/>
        <v/>
      </c>
      <c r="AL4893" s="24"/>
      <c r="AM4893" s="24"/>
      <c r="AN4893" s="24"/>
      <c r="AO4893" s="24"/>
      <c r="AP4893" s="165" t="str">
        <f t="shared" si="1498"/>
        <v/>
      </c>
      <c r="AQ4893" s="203" t="str">
        <f t="shared" si="1499"/>
        <v/>
      </c>
      <c r="AR4893" s="206">
        <f t="shared" si="1500"/>
        <v>0</v>
      </c>
      <c r="AS4893" s="22" t="str">
        <f t="shared" si="1501"/>
        <v/>
      </c>
      <c r="AT4893" s="24" t="str">
        <f t="shared" si="1502"/>
        <v/>
      </c>
      <c r="AU4893" s="22" t="s">
        <v>3240</v>
      </c>
    </row>
    <row r="4894" spans="1:47">
      <c r="A4894" s="246" t="str">
        <f t="shared" si="1490"/>
        <v/>
      </c>
      <c r="B4894" s="23"/>
      <c r="C4894" s="23"/>
      <c r="D4894" s="202" t="str">
        <f t="shared" si="1491"/>
        <v/>
      </c>
      <c r="E4894" s="33" t="str">
        <f t="shared" si="1503"/>
        <v/>
      </c>
      <c r="F4894" s="23"/>
      <c r="G4894" s="23"/>
      <c r="H4894" s="29"/>
      <c r="I4894" s="204" t="str">
        <f t="shared" si="1488"/>
        <v/>
      </c>
      <c r="J4894" s="188"/>
      <c r="K4894" s="29"/>
      <c r="L4894" s="24"/>
      <c r="M4894" s="22"/>
      <c r="N4894" s="22"/>
      <c r="O4894" s="22"/>
      <c r="P4894" s="202" t="str">
        <f t="shared" si="1489"/>
        <v/>
      </c>
      <c r="Q4894" s="22"/>
      <c r="R4894" s="22"/>
      <c r="S4894" s="22"/>
      <c r="T4894" s="22"/>
      <c r="U4894" s="22"/>
      <c r="V4894" s="22"/>
      <c r="W4894" s="22"/>
      <c r="X4894" s="104"/>
      <c r="Y4894" s="195" t="str">
        <f t="shared" si="1504"/>
        <v/>
      </c>
      <c r="Z4894" s="196" t="str">
        <f t="shared" si="1505"/>
        <v/>
      </c>
      <c r="AA4894" s="22"/>
      <c r="AB4894" s="197" t="str">
        <f t="shared" si="1492"/>
        <v/>
      </c>
      <c r="AC4894" s="198" t="str">
        <f t="shared" si="1493"/>
        <v/>
      </c>
      <c r="AD4894" s="162"/>
      <c r="AE4894" s="199" t="str">
        <f t="shared" si="1494"/>
        <v/>
      </c>
      <c r="AF4894" s="199" t="str">
        <f>IF(AND(COUNTIFS($J$18:J4894,J4894)=1,AE4894=1),1,"")</f>
        <v/>
      </c>
      <c r="AG4894" s="199" t="str">
        <f>IF(C4894="","",IF(AND(COUNTIFS($J$18:J4894,J4894)=1,C4894&lt;&gt;""),1,""))</f>
        <v/>
      </c>
      <c r="AH4894" s="199" t="str">
        <f>IF(G4894="","",IF(AND(COUNTIFS($J$18:J4894,J4894)=1,G4894&lt;&gt;""),1,""))</f>
        <v/>
      </c>
      <c r="AI4894" s="200">
        <f t="shared" si="1495"/>
        <v>0</v>
      </c>
      <c r="AJ4894" s="200">
        <f t="shared" si="1496"/>
        <v>0</v>
      </c>
      <c r="AK4894" s="201" t="str">
        <f t="shared" si="1497"/>
        <v/>
      </c>
      <c r="AL4894" s="24"/>
      <c r="AM4894" s="24"/>
      <c r="AN4894" s="24"/>
      <c r="AO4894" s="24"/>
      <c r="AP4894" s="165" t="str">
        <f t="shared" si="1498"/>
        <v/>
      </c>
      <c r="AQ4894" s="203" t="str">
        <f t="shared" si="1499"/>
        <v/>
      </c>
      <c r="AR4894" s="206">
        <f t="shared" si="1500"/>
        <v>0</v>
      </c>
      <c r="AS4894" s="22" t="str">
        <f t="shared" si="1501"/>
        <v/>
      </c>
      <c r="AT4894" s="24" t="str">
        <f t="shared" si="1502"/>
        <v/>
      </c>
      <c r="AU4894" s="22" t="s">
        <v>3240</v>
      </c>
    </row>
    <row r="4895" spans="1:47">
      <c r="A4895" s="246" t="str">
        <f t="shared" si="1490"/>
        <v/>
      </c>
      <c r="B4895" s="23"/>
      <c r="C4895" s="23"/>
      <c r="D4895" s="202" t="str">
        <f t="shared" si="1491"/>
        <v/>
      </c>
      <c r="E4895" s="33" t="str">
        <f t="shared" si="1503"/>
        <v/>
      </c>
      <c r="F4895" s="23"/>
      <c r="G4895" s="23"/>
      <c r="H4895" s="29"/>
      <c r="I4895" s="204" t="str">
        <f t="shared" si="1488"/>
        <v/>
      </c>
      <c r="J4895" s="188"/>
      <c r="K4895" s="29"/>
      <c r="L4895" s="24"/>
      <c r="M4895" s="22"/>
      <c r="N4895" s="22"/>
      <c r="O4895" s="22"/>
      <c r="P4895" s="202" t="str">
        <f t="shared" si="1489"/>
        <v/>
      </c>
      <c r="Q4895" s="22"/>
      <c r="R4895" s="22"/>
      <c r="S4895" s="22"/>
      <c r="T4895" s="22"/>
      <c r="U4895" s="22"/>
      <c r="V4895" s="22"/>
      <c r="W4895" s="22"/>
      <c r="X4895" s="104"/>
      <c r="Y4895" s="195" t="str">
        <f t="shared" si="1504"/>
        <v/>
      </c>
      <c r="Z4895" s="196" t="str">
        <f t="shared" si="1505"/>
        <v/>
      </c>
      <c r="AA4895" s="22"/>
      <c r="AB4895" s="197" t="str">
        <f t="shared" si="1492"/>
        <v/>
      </c>
      <c r="AC4895" s="198" t="str">
        <f t="shared" si="1493"/>
        <v/>
      </c>
      <c r="AD4895" s="162"/>
      <c r="AE4895" s="199" t="str">
        <f t="shared" si="1494"/>
        <v/>
      </c>
      <c r="AF4895" s="199" t="str">
        <f>IF(AND(COUNTIFS($J$18:J4895,J4895)=1,AE4895=1),1,"")</f>
        <v/>
      </c>
      <c r="AG4895" s="199" t="str">
        <f>IF(C4895="","",IF(AND(COUNTIFS($J$18:J4895,J4895)=1,C4895&lt;&gt;""),1,""))</f>
        <v/>
      </c>
      <c r="AH4895" s="199" t="str">
        <f>IF(G4895="","",IF(AND(COUNTIFS($J$18:J4895,J4895)=1,G4895&lt;&gt;""),1,""))</f>
        <v/>
      </c>
      <c r="AI4895" s="200">
        <f t="shared" si="1495"/>
        <v>0</v>
      </c>
      <c r="AJ4895" s="200">
        <f t="shared" si="1496"/>
        <v>0</v>
      </c>
      <c r="AK4895" s="201" t="str">
        <f t="shared" si="1497"/>
        <v/>
      </c>
      <c r="AL4895" s="24"/>
      <c r="AM4895" s="24"/>
      <c r="AN4895" s="24"/>
      <c r="AO4895" s="24"/>
      <c r="AP4895" s="165" t="str">
        <f t="shared" si="1498"/>
        <v/>
      </c>
      <c r="AQ4895" s="203" t="str">
        <f t="shared" si="1499"/>
        <v/>
      </c>
      <c r="AR4895" s="206">
        <f t="shared" si="1500"/>
        <v>0</v>
      </c>
      <c r="AS4895" s="22" t="str">
        <f t="shared" si="1501"/>
        <v/>
      </c>
      <c r="AT4895" s="24" t="str">
        <f t="shared" si="1502"/>
        <v/>
      </c>
      <c r="AU4895" s="22" t="s">
        <v>3240</v>
      </c>
    </row>
    <row r="4896" spans="1:47">
      <c r="A4896" s="246" t="str">
        <f t="shared" si="1490"/>
        <v/>
      </c>
      <c r="B4896" s="23"/>
      <c r="C4896" s="23"/>
      <c r="D4896" s="202" t="str">
        <f t="shared" si="1491"/>
        <v/>
      </c>
      <c r="E4896" s="33" t="str">
        <f t="shared" si="1503"/>
        <v/>
      </c>
      <c r="F4896" s="23"/>
      <c r="G4896" s="23"/>
      <c r="H4896" s="29"/>
      <c r="I4896" s="204" t="str">
        <f t="shared" ref="I4896:I4959" si="1506">IFERROR(IF(F4896="","",IF(F4896="TBA","TBA",IF(F4896="Cancel","Cancel",IF(AND(G4896&gt;=10,G4896&lt;=12),"Q3",IF(AND(G4896&gt;=1,G4896&lt;=3),"Q4",IF(AND(G4896&gt;=7,G4896&lt;=9),"Q2",IF(AND(G4896&gt;=4,G4896&lt;=6),"Q1"))))))),"")</f>
        <v/>
      </c>
      <c r="J4896" s="188"/>
      <c r="K4896" s="29"/>
      <c r="L4896" s="24"/>
      <c r="M4896" s="22"/>
      <c r="N4896" s="22"/>
      <c r="O4896" s="22"/>
      <c r="P4896" s="202" t="str">
        <f t="shared" si="1489"/>
        <v/>
      </c>
      <c r="Q4896" s="22"/>
      <c r="R4896" s="22"/>
      <c r="S4896" s="22"/>
      <c r="T4896" s="22"/>
      <c r="U4896" s="22"/>
      <c r="V4896" s="22"/>
      <c r="W4896" s="22"/>
      <c r="X4896" s="104"/>
      <c r="Y4896" s="195" t="str">
        <f t="shared" si="1504"/>
        <v/>
      </c>
      <c r="Z4896" s="196" t="str">
        <f t="shared" si="1505"/>
        <v/>
      </c>
      <c r="AA4896" s="22"/>
      <c r="AB4896" s="197" t="str">
        <f t="shared" si="1492"/>
        <v/>
      </c>
      <c r="AC4896" s="198" t="str">
        <f t="shared" si="1493"/>
        <v/>
      </c>
      <c r="AD4896" s="162"/>
      <c r="AE4896" s="199" t="str">
        <f t="shared" si="1494"/>
        <v/>
      </c>
      <c r="AF4896" s="199" t="str">
        <f>IF(AND(COUNTIFS($J$18:J4896,J4896)=1,AE4896=1),1,"")</f>
        <v/>
      </c>
      <c r="AG4896" s="199" t="str">
        <f>IF(C4896="","",IF(AND(COUNTIFS($J$18:J4896,J4896)=1,C4896&lt;&gt;""),1,""))</f>
        <v/>
      </c>
      <c r="AH4896" s="199" t="str">
        <f>IF(G4896="","",IF(AND(COUNTIFS($J$18:J4896,J4896)=1,G4896&lt;&gt;""),1,""))</f>
        <v/>
      </c>
      <c r="AI4896" s="200">
        <f t="shared" si="1495"/>
        <v>0</v>
      </c>
      <c r="AJ4896" s="200">
        <f t="shared" si="1496"/>
        <v>0</v>
      </c>
      <c r="AK4896" s="201" t="str">
        <f t="shared" si="1497"/>
        <v/>
      </c>
      <c r="AL4896" s="24"/>
      <c r="AM4896" s="24"/>
      <c r="AN4896" s="24"/>
      <c r="AO4896" s="24"/>
      <c r="AP4896" s="165" t="str">
        <f t="shared" si="1498"/>
        <v/>
      </c>
      <c r="AQ4896" s="203" t="str">
        <f t="shared" si="1499"/>
        <v/>
      </c>
      <c r="AR4896" s="206">
        <f t="shared" si="1500"/>
        <v>0</v>
      </c>
      <c r="AS4896" s="22" t="str">
        <f t="shared" si="1501"/>
        <v/>
      </c>
      <c r="AT4896" s="24" t="str">
        <f t="shared" si="1502"/>
        <v/>
      </c>
      <c r="AU4896" s="22" t="s">
        <v>3240</v>
      </c>
    </row>
    <row r="4897" spans="1:47">
      <c r="A4897" s="246" t="str">
        <f t="shared" si="1490"/>
        <v/>
      </c>
      <c r="B4897" s="23"/>
      <c r="C4897" s="23"/>
      <c r="D4897" s="202" t="str">
        <f t="shared" si="1491"/>
        <v/>
      </c>
      <c r="E4897" s="33" t="str">
        <f t="shared" si="1503"/>
        <v/>
      </c>
      <c r="F4897" s="23"/>
      <c r="G4897" s="23"/>
      <c r="H4897" s="29"/>
      <c r="I4897" s="204" t="str">
        <f t="shared" si="1506"/>
        <v/>
      </c>
      <c r="J4897" s="188"/>
      <c r="K4897" s="29"/>
      <c r="L4897" s="24"/>
      <c r="M4897" s="22"/>
      <c r="N4897" s="22"/>
      <c r="O4897" s="22"/>
      <c r="P4897" s="202" t="str">
        <f t="shared" ref="P4897:P4960" si="1507">IF(M4897="","",IF(AND(N4897&gt;0,L4897&lt;&gt;""),"MAIN UNIT",IF(AND(O4897&gt;0,L4897&lt;&gt;""),"SERVICE/ PARTS","C66 SERVICE/OTHERS")))</f>
        <v/>
      </c>
      <c r="Q4897" s="22"/>
      <c r="R4897" s="22"/>
      <c r="S4897" s="22"/>
      <c r="T4897" s="22"/>
      <c r="U4897" s="22"/>
      <c r="V4897" s="22"/>
      <c r="W4897" s="22"/>
      <c r="X4897" s="104"/>
      <c r="Y4897" s="195" t="str">
        <f t="shared" si="1504"/>
        <v/>
      </c>
      <c r="Z4897" s="196" t="str">
        <f t="shared" si="1505"/>
        <v/>
      </c>
      <c r="AA4897" s="22"/>
      <c r="AB4897" s="197" t="str">
        <f t="shared" si="1492"/>
        <v/>
      </c>
      <c r="AC4897" s="198" t="str">
        <f t="shared" si="1493"/>
        <v/>
      </c>
      <c r="AD4897" s="162"/>
      <c r="AE4897" s="199" t="str">
        <f t="shared" si="1494"/>
        <v/>
      </c>
      <c r="AF4897" s="199" t="str">
        <f>IF(AND(COUNTIFS($J$18:J4897,J4897)=1,AE4897=1),1,"")</f>
        <v/>
      </c>
      <c r="AG4897" s="199" t="str">
        <f>IF(C4897="","",IF(AND(COUNTIFS($J$18:J4897,J4897)=1,C4897&lt;&gt;""),1,""))</f>
        <v/>
      </c>
      <c r="AH4897" s="199" t="str">
        <f>IF(G4897="","",IF(AND(COUNTIFS($J$18:J4897,J4897)=1,G4897&lt;&gt;""),1,""))</f>
        <v/>
      </c>
      <c r="AI4897" s="200">
        <f t="shared" si="1495"/>
        <v>0</v>
      </c>
      <c r="AJ4897" s="200">
        <f t="shared" si="1496"/>
        <v>0</v>
      </c>
      <c r="AK4897" s="201" t="str">
        <f t="shared" si="1497"/>
        <v/>
      </c>
      <c r="AL4897" s="24"/>
      <c r="AM4897" s="24"/>
      <c r="AN4897" s="24"/>
      <c r="AO4897" s="24"/>
      <c r="AP4897" s="165" t="str">
        <f t="shared" si="1498"/>
        <v/>
      </c>
      <c r="AQ4897" s="203" t="str">
        <f t="shared" si="1499"/>
        <v/>
      </c>
      <c r="AR4897" s="206">
        <f t="shared" si="1500"/>
        <v>0</v>
      </c>
      <c r="AS4897" s="22" t="str">
        <f t="shared" si="1501"/>
        <v/>
      </c>
      <c r="AT4897" s="24" t="str">
        <f t="shared" si="1502"/>
        <v/>
      </c>
      <c r="AU4897" s="22" t="s">
        <v>3240</v>
      </c>
    </row>
    <row r="4898" spans="1:47">
      <c r="A4898" s="246" t="str">
        <f t="shared" ref="A4898:A4961" si="1508">IF(C4898="cancel","cancel",IFERROR(IF(D4898="Q4","FY "&amp;RIGHT(B4898,2)-1&amp;"/"&amp;RIGHT(B4898,2),"FY "&amp;RIGHT(B4898,2)&amp;"/"&amp;RIGHT(B4898,2)+1),""))</f>
        <v/>
      </c>
      <c r="B4898" s="23"/>
      <c r="C4898" s="23"/>
      <c r="D4898" s="202" t="str">
        <f t="shared" ref="D4898:D4961" si="1509">IF(B4898="","",IF(AND(C4898&gt;=10,C4898&lt;=12),"Q3",IF(AND(C4898&gt;=1,C4898&lt;=3),"Q4",IF(AND(C4898&gt;=7,C4898&lt;=9),"Q2",IF(AND(C4898&gt;=4,C4898&lt;=6),"Q1")))))</f>
        <v/>
      </c>
      <c r="E4898" s="33" t="str">
        <f t="shared" si="1503"/>
        <v/>
      </c>
      <c r="F4898" s="23"/>
      <c r="G4898" s="23"/>
      <c r="H4898" s="29"/>
      <c r="I4898" s="204" t="str">
        <f t="shared" si="1506"/>
        <v/>
      </c>
      <c r="J4898" s="188"/>
      <c r="K4898" s="29"/>
      <c r="L4898" s="24"/>
      <c r="M4898" s="22"/>
      <c r="N4898" s="22"/>
      <c r="O4898" s="22"/>
      <c r="P4898" s="202" t="str">
        <f t="shared" si="1507"/>
        <v/>
      </c>
      <c r="Q4898" s="22"/>
      <c r="R4898" s="22"/>
      <c r="S4898" s="22"/>
      <c r="T4898" s="22"/>
      <c r="U4898" s="22"/>
      <c r="V4898" s="22"/>
      <c r="W4898" s="22"/>
      <c r="X4898" s="104"/>
      <c r="Y4898" s="195" t="str">
        <f t="shared" si="1504"/>
        <v/>
      </c>
      <c r="Z4898" s="196" t="str">
        <f t="shared" si="1505"/>
        <v/>
      </c>
      <c r="AA4898" s="22"/>
      <c r="AB4898" s="197" t="str">
        <f t="shared" ref="AB4898:AB4961" si="1510">IF(AND(R4898&lt;&gt;"C66",R4898&lt;&gt;""),Z4898/Y4898*AA4898,"")</f>
        <v/>
      </c>
      <c r="AC4898" s="198" t="str">
        <f t="shared" ref="AC4898:AC4961" si="1511">IF(R4898&lt;&gt;"",AB4898*AD4898,"")</f>
        <v/>
      </c>
      <c r="AD4898" s="162"/>
      <c r="AE4898" s="199" t="str">
        <f t="shared" ref="AE4898:AE4961" si="1512">IF(Q4898="","",IF(Q4898="Yes",1,0))</f>
        <v/>
      </c>
      <c r="AF4898" s="199" t="str">
        <f>IF(AND(COUNTIFS($J$18:J4898,J4898)=1,AE4898=1),1,"")</f>
        <v/>
      </c>
      <c r="AG4898" s="199" t="str">
        <f>IF(C4898="","",IF(AND(COUNTIFS($J$18:J4898,J4898)=1,C4898&lt;&gt;""),1,""))</f>
        <v/>
      </c>
      <c r="AH4898" s="199" t="str">
        <f>IF(G4898="","",IF(AND(COUNTIFS($J$18:J4898,J4898)=1,G4898&lt;&gt;""),1,""))</f>
        <v/>
      </c>
      <c r="AI4898" s="200">
        <f t="shared" ref="AI4898:AI4961" si="1513">IF(P4898="C66 SERVICE","",SUMIFS(AB:AB,F:F,F4898,G:G,G4898,E:E,E4898))</f>
        <v>0</v>
      </c>
      <c r="AJ4898" s="200">
        <f t="shared" ref="AJ4898:AJ4961" si="1514">IF(P4898="C66 SERVICE","",SUMIFS(AC:AC,F:F,F4898,G:G,G4898,E:E,E4898))</f>
        <v>0</v>
      </c>
      <c r="AK4898" s="201" t="str">
        <f t="shared" ref="AK4898:AK4961" si="1515">IF(AJ4898&gt;0,AJ4898/AI4898,"")</f>
        <v/>
      </c>
      <c r="AL4898" s="24"/>
      <c r="AM4898" s="24"/>
      <c r="AN4898" s="24"/>
      <c r="AO4898" s="24"/>
      <c r="AP4898" s="165" t="str">
        <f t="shared" ref="AP4898:AP4961" si="1516">IF(F4898="","",F4898&amp;G4898)</f>
        <v/>
      </c>
      <c r="AQ4898" s="203" t="str">
        <f t="shared" ref="AQ4898:AQ4961" si="1517">IF(W4898="","",F4898&amp;G4898&amp;W4898)</f>
        <v/>
      </c>
      <c r="AR4898" s="206">
        <f t="shared" ref="AR4898:AR4961" si="1518">IFERROR(IF(AND(M4898="YAMAHA", R4898="C28"), "YAMAHA_Non_Mounter", IF(AND(M4898="YAMAHA", R4898="C49"), "YAMAHA_Mounter", M4898)),"")</f>
        <v>0</v>
      </c>
      <c r="AS4898" s="22" t="str">
        <f t="shared" ref="AS4898:AS4961" si="1519">IFERROR(IF(OR(G4898="TBA", G4898=""), "", DATEDIF(DATE(B4898, C4898, 1), DATE(F4898, G4898, 1), "M")),"")</f>
        <v/>
      </c>
      <c r="AT4898" s="24" t="str">
        <f t="shared" ref="AT4898:AT4961" si="1520">IF(ISNUMBER(AS4898), IF(AS4898&gt;=0, IF(AS4898&lt;=3, "0-3 months", IF(AS4898&lt;=6, "4-6 months", "&gt; 6 months"))), "")</f>
        <v/>
      </c>
      <c r="AU4898" s="22" t="s">
        <v>3240</v>
      </c>
    </row>
    <row r="4899" spans="1:47">
      <c r="A4899" s="246" t="str">
        <f t="shared" si="1508"/>
        <v/>
      </c>
      <c r="B4899" s="23"/>
      <c r="C4899" s="23"/>
      <c r="D4899" s="202" t="str">
        <f t="shared" si="1509"/>
        <v/>
      </c>
      <c r="E4899" s="33" t="str">
        <f t="shared" si="1503"/>
        <v/>
      </c>
      <c r="F4899" s="23"/>
      <c r="G4899" s="23"/>
      <c r="H4899" s="29"/>
      <c r="I4899" s="204" t="str">
        <f t="shared" si="1506"/>
        <v/>
      </c>
      <c r="J4899" s="188"/>
      <c r="K4899" s="29"/>
      <c r="L4899" s="24"/>
      <c r="M4899" s="22"/>
      <c r="N4899" s="22"/>
      <c r="O4899" s="22"/>
      <c r="P4899" s="202" t="str">
        <f t="shared" si="1507"/>
        <v/>
      </c>
      <c r="Q4899" s="22"/>
      <c r="R4899" s="22"/>
      <c r="S4899" s="22"/>
      <c r="T4899" s="22"/>
      <c r="U4899" s="22"/>
      <c r="V4899" s="22"/>
      <c r="W4899" s="22"/>
      <c r="X4899" s="104"/>
      <c r="Y4899" s="195" t="str">
        <f t="shared" si="1504"/>
        <v/>
      </c>
      <c r="Z4899" s="196" t="str">
        <f t="shared" si="1505"/>
        <v/>
      </c>
      <c r="AA4899" s="22"/>
      <c r="AB4899" s="197" t="str">
        <f t="shared" si="1510"/>
        <v/>
      </c>
      <c r="AC4899" s="198" t="str">
        <f t="shared" si="1511"/>
        <v/>
      </c>
      <c r="AD4899" s="162"/>
      <c r="AE4899" s="199" t="str">
        <f t="shared" si="1512"/>
        <v/>
      </c>
      <c r="AF4899" s="199" t="str">
        <f>IF(AND(COUNTIFS($J$18:J4899,J4899)=1,AE4899=1),1,"")</f>
        <v/>
      </c>
      <c r="AG4899" s="199" t="str">
        <f>IF(C4899="","",IF(AND(COUNTIFS($J$18:J4899,J4899)=1,C4899&lt;&gt;""),1,""))</f>
        <v/>
      </c>
      <c r="AH4899" s="199" t="str">
        <f>IF(G4899="","",IF(AND(COUNTIFS($J$18:J4899,J4899)=1,G4899&lt;&gt;""),1,""))</f>
        <v/>
      </c>
      <c r="AI4899" s="200">
        <f t="shared" si="1513"/>
        <v>0</v>
      </c>
      <c r="AJ4899" s="200">
        <f t="shared" si="1514"/>
        <v>0</v>
      </c>
      <c r="AK4899" s="201" t="str">
        <f t="shared" si="1515"/>
        <v/>
      </c>
      <c r="AL4899" s="24"/>
      <c r="AM4899" s="24"/>
      <c r="AN4899" s="24"/>
      <c r="AO4899" s="24"/>
      <c r="AP4899" s="165" t="str">
        <f t="shared" si="1516"/>
        <v/>
      </c>
      <c r="AQ4899" s="203" t="str">
        <f t="shared" si="1517"/>
        <v/>
      </c>
      <c r="AR4899" s="206">
        <f t="shared" si="1518"/>
        <v>0</v>
      </c>
      <c r="AS4899" s="22" t="str">
        <f t="shared" si="1519"/>
        <v/>
      </c>
      <c r="AT4899" s="24" t="str">
        <f t="shared" si="1520"/>
        <v/>
      </c>
      <c r="AU4899" s="22" t="s">
        <v>3240</v>
      </c>
    </row>
    <row r="4900" spans="1:47">
      <c r="A4900" s="246" t="str">
        <f t="shared" si="1508"/>
        <v/>
      </c>
      <c r="B4900" s="23"/>
      <c r="C4900" s="23"/>
      <c r="D4900" s="202" t="str">
        <f t="shared" si="1509"/>
        <v/>
      </c>
      <c r="E4900" s="33" t="str">
        <f t="shared" si="1503"/>
        <v/>
      </c>
      <c r="F4900" s="23"/>
      <c r="G4900" s="23"/>
      <c r="H4900" s="29"/>
      <c r="I4900" s="204" t="str">
        <f t="shared" si="1506"/>
        <v/>
      </c>
      <c r="J4900" s="188"/>
      <c r="K4900" s="29"/>
      <c r="L4900" s="24"/>
      <c r="M4900" s="22"/>
      <c r="N4900" s="22"/>
      <c r="O4900" s="22"/>
      <c r="P4900" s="202" t="str">
        <f t="shared" si="1507"/>
        <v/>
      </c>
      <c r="Q4900" s="22"/>
      <c r="R4900" s="22"/>
      <c r="S4900" s="22"/>
      <c r="T4900" s="22"/>
      <c r="U4900" s="22"/>
      <c r="V4900" s="22"/>
      <c r="W4900" s="22"/>
      <c r="X4900" s="104"/>
      <c r="Y4900" s="195" t="str">
        <f t="shared" si="1504"/>
        <v/>
      </c>
      <c r="Z4900" s="196" t="str">
        <f t="shared" si="1505"/>
        <v/>
      </c>
      <c r="AA4900" s="22"/>
      <c r="AB4900" s="197" t="str">
        <f t="shared" si="1510"/>
        <v/>
      </c>
      <c r="AC4900" s="198" t="str">
        <f t="shared" si="1511"/>
        <v/>
      </c>
      <c r="AD4900" s="162"/>
      <c r="AE4900" s="199" t="str">
        <f t="shared" si="1512"/>
        <v/>
      </c>
      <c r="AF4900" s="199" t="str">
        <f>IF(AND(COUNTIFS($J$18:J4900,J4900)=1,AE4900=1),1,"")</f>
        <v/>
      </c>
      <c r="AG4900" s="199" t="str">
        <f>IF(C4900="","",IF(AND(COUNTIFS($J$18:J4900,J4900)=1,C4900&lt;&gt;""),1,""))</f>
        <v/>
      </c>
      <c r="AH4900" s="199" t="str">
        <f>IF(G4900="","",IF(AND(COUNTIFS($J$18:J4900,J4900)=1,G4900&lt;&gt;""),1,""))</f>
        <v/>
      </c>
      <c r="AI4900" s="200">
        <f t="shared" si="1513"/>
        <v>0</v>
      </c>
      <c r="AJ4900" s="200">
        <f t="shared" si="1514"/>
        <v>0</v>
      </c>
      <c r="AK4900" s="201" t="str">
        <f t="shared" si="1515"/>
        <v/>
      </c>
      <c r="AL4900" s="24"/>
      <c r="AM4900" s="24"/>
      <c r="AN4900" s="24"/>
      <c r="AO4900" s="24"/>
      <c r="AP4900" s="165" t="str">
        <f t="shared" si="1516"/>
        <v/>
      </c>
      <c r="AQ4900" s="203" t="str">
        <f t="shared" si="1517"/>
        <v/>
      </c>
      <c r="AR4900" s="206">
        <f t="shared" si="1518"/>
        <v>0</v>
      </c>
      <c r="AS4900" s="22" t="str">
        <f t="shared" si="1519"/>
        <v/>
      </c>
      <c r="AT4900" s="24" t="str">
        <f t="shared" si="1520"/>
        <v/>
      </c>
      <c r="AU4900" s="22" t="s">
        <v>3240</v>
      </c>
    </row>
    <row r="4901" spans="1:47">
      <c r="A4901" s="246" t="str">
        <f t="shared" si="1508"/>
        <v/>
      </c>
      <c r="B4901" s="23"/>
      <c r="C4901" s="23"/>
      <c r="D4901" s="202" t="str">
        <f t="shared" si="1509"/>
        <v/>
      </c>
      <c r="E4901" s="33" t="str">
        <f t="shared" si="1503"/>
        <v/>
      </c>
      <c r="F4901" s="23"/>
      <c r="G4901" s="23"/>
      <c r="H4901" s="29"/>
      <c r="I4901" s="204" t="str">
        <f t="shared" si="1506"/>
        <v/>
      </c>
      <c r="J4901" s="188"/>
      <c r="K4901" s="29"/>
      <c r="L4901" s="24"/>
      <c r="M4901" s="22"/>
      <c r="N4901" s="22"/>
      <c r="O4901" s="22"/>
      <c r="P4901" s="202" t="str">
        <f t="shared" si="1507"/>
        <v/>
      </c>
      <c r="Q4901" s="22"/>
      <c r="R4901" s="22"/>
      <c r="S4901" s="22"/>
      <c r="T4901" s="22"/>
      <c r="U4901" s="22"/>
      <c r="V4901" s="22"/>
      <c r="W4901" s="22"/>
      <c r="X4901" s="104"/>
      <c r="Y4901" s="195" t="str">
        <f t="shared" si="1504"/>
        <v/>
      </c>
      <c r="Z4901" s="196" t="str">
        <f t="shared" si="1505"/>
        <v/>
      </c>
      <c r="AA4901" s="22"/>
      <c r="AB4901" s="197" t="str">
        <f t="shared" si="1510"/>
        <v/>
      </c>
      <c r="AC4901" s="198" t="str">
        <f t="shared" si="1511"/>
        <v/>
      </c>
      <c r="AD4901" s="162"/>
      <c r="AE4901" s="199" t="str">
        <f t="shared" si="1512"/>
        <v/>
      </c>
      <c r="AF4901" s="199" t="str">
        <f>IF(AND(COUNTIFS($J$18:J4901,J4901)=1,AE4901=1),1,"")</f>
        <v/>
      </c>
      <c r="AG4901" s="199" t="str">
        <f>IF(C4901="","",IF(AND(COUNTIFS($J$18:J4901,J4901)=1,C4901&lt;&gt;""),1,""))</f>
        <v/>
      </c>
      <c r="AH4901" s="199" t="str">
        <f>IF(G4901="","",IF(AND(COUNTIFS($J$18:J4901,J4901)=1,G4901&lt;&gt;""),1,""))</f>
        <v/>
      </c>
      <c r="AI4901" s="200">
        <f t="shared" si="1513"/>
        <v>0</v>
      </c>
      <c r="AJ4901" s="200">
        <f t="shared" si="1514"/>
        <v>0</v>
      </c>
      <c r="AK4901" s="201" t="str">
        <f t="shared" si="1515"/>
        <v/>
      </c>
      <c r="AL4901" s="24"/>
      <c r="AM4901" s="24"/>
      <c r="AN4901" s="24"/>
      <c r="AO4901" s="24"/>
      <c r="AP4901" s="165" t="str">
        <f t="shared" si="1516"/>
        <v/>
      </c>
      <c r="AQ4901" s="203" t="str">
        <f t="shared" si="1517"/>
        <v/>
      </c>
      <c r="AR4901" s="206">
        <f t="shared" si="1518"/>
        <v>0</v>
      </c>
      <c r="AS4901" s="22" t="str">
        <f t="shared" si="1519"/>
        <v/>
      </c>
      <c r="AT4901" s="24" t="str">
        <f t="shared" si="1520"/>
        <v/>
      </c>
      <c r="AU4901" s="22" t="s">
        <v>3240</v>
      </c>
    </row>
    <row r="4902" spans="1:47">
      <c r="A4902" s="246" t="str">
        <f t="shared" si="1508"/>
        <v/>
      </c>
      <c r="B4902" s="23"/>
      <c r="C4902" s="23"/>
      <c r="D4902" s="202" t="str">
        <f t="shared" si="1509"/>
        <v/>
      </c>
      <c r="E4902" s="33" t="str">
        <f t="shared" si="1503"/>
        <v/>
      </c>
      <c r="F4902" s="23"/>
      <c r="G4902" s="23"/>
      <c r="H4902" s="29"/>
      <c r="I4902" s="204" t="str">
        <f t="shared" si="1506"/>
        <v/>
      </c>
      <c r="J4902" s="188"/>
      <c r="K4902" s="29"/>
      <c r="L4902" s="24"/>
      <c r="M4902" s="22"/>
      <c r="N4902" s="22"/>
      <c r="O4902" s="22"/>
      <c r="P4902" s="202" t="str">
        <f t="shared" si="1507"/>
        <v/>
      </c>
      <c r="Q4902" s="22"/>
      <c r="R4902" s="22"/>
      <c r="S4902" s="22"/>
      <c r="T4902" s="22"/>
      <c r="U4902" s="22"/>
      <c r="V4902" s="22"/>
      <c r="W4902" s="22"/>
      <c r="X4902" s="104"/>
      <c r="Y4902" s="195" t="str">
        <f t="shared" si="1504"/>
        <v/>
      </c>
      <c r="Z4902" s="196" t="str">
        <f t="shared" si="1505"/>
        <v/>
      </c>
      <c r="AA4902" s="22"/>
      <c r="AB4902" s="197" t="str">
        <f t="shared" si="1510"/>
        <v/>
      </c>
      <c r="AC4902" s="198" t="str">
        <f t="shared" si="1511"/>
        <v/>
      </c>
      <c r="AD4902" s="162"/>
      <c r="AE4902" s="199" t="str">
        <f t="shared" si="1512"/>
        <v/>
      </c>
      <c r="AF4902" s="199" t="str">
        <f>IF(AND(COUNTIFS($J$18:J4902,J4902)=1,AE4902=1),1,"")</f>
        <v/>
      </c>
      <c r="AG4902" s="199" t="str">
        <f>IF(C4902="","",IF(AND(COUNTIFS($J$18:J4902,J4902)=1,C4902&lt;&gt;""),1,""))</f>
        <v/>
      </c>
      <c r="AH4902" s="199" t="str">
        <f>IF(G4902="","",IF(AND(COUNTIFS($J$18:J4902,J4902)=1,G4902&lt;&gt;""),1,""))</f>
        <v/>
      </c>
      <c r="AI4902" s="200">
        <f t="shared" si="1513"/>
        <v>0</v>
      </c>
      <c r="AJ4902" s="200">
        <f t="shared" si="1514"/>
        <v>0</v>
      </c>
      <c r="AK4902" s="201" t="str">
        <f t="shared" si="1515"/>
        <v/>
      </c>
      <c r="AL4902" s="24"/>
      <c r="AM4902" s="24"/>
      <c r="AN4902" s="24"/>
      <c r="AO4902" s="24"/>
      <c r="AP4902" s="165" t="str">
        <f t="shared" si="1516"/>
        <v/>
      </c>
      <c r="AQ4902" s="203" t="str">
        <f t="shared" si="1517"/>
        <v/>
      </c>
      <c r="AR4902" s="206">
        <f t="shared" si="1518"/>
        <v>0</v>
      </c>
      <c r="AS4902" s="22" t="str">
        <f t="shared" si="1519"/>
        <v/>
      </c>
      <c r="AT4902" s="24" t="str">
        <f t="shared" si="1520"/>
        <v/>
      </c>
      <c r="AU4902" s="22" t="s">
        <v>3240</v>
      </c>
    </row>
    <row r="4903" spans="1:47">
      <c r="A4903" s="246" t="str">
        <f t="shared" si="1508"/>
        <v/>
      </c>
      <c r="B4903" s="23"/>
      <c r="C4903" s="23"/>
      <c r="D4903" s="202" t="str">
        <f t="shared" si="1509"/>
        <v/>
      </c>
      <c r="E4903" s="33" t="str">
        <f t="shared" si="1503"/>
        <v/>
      </c>
      <c r="F4903" s="23"/>
      <c r="G4903" s="23"/>
      <c r="H4903" s="29"/>
      <c r="I4903" s="204" t="str">
        <f t="shared" si="1506"/>
        <v/>
      </c>
      <c r="J4903" s="188"/>
      <c r="K4903" s="29"/>
      <c r="L4903" s="24"/>
      <c r="M4903" s="22"/>
      <c r="N4903" s="22"/>
      <c r="O4903" s="22"/>
      <c r="P4903" s="202" t="str">
        <f t="shared" si="1507"/>
        <v/>
      </c>
      <c r="Q4903" s="22"/>
      <c r="R4903" s="22"/>
      <c r="S4903" s="22"/>
      <c r="T4903" s="22"/>
      <c r="U4903" s="22"/>
      <c r="V4903" s="22"/>
      <c r="W4903" s="22"/>
      <c r="X4903" s="104"/>
      <c r="Y4903" s="195" t="str">
        <f t="shared" si="1504"/>
        <v/>
      </c>
      <c r="Z4903" s="196" t="str">
        <f t="shared" si="1505"/>
        <v/>
      </c>
      <c r="AA4903" s="22"/>
      <c r="AB4903" s="197" t="str">
        <f t="shared" si="1510"/>
        <v/>
      </c>
      <c r="AC4903" s="198" t="str">
        <f t="shared" si="1511"/>
        <v/>
      </c>
      <c r="AD4903" s="162"/>
      <c r="AE4903" s="199" t="str">
        <f t="shared" si="1512"/>
        <v/>
      </c>
      <c r="AF4903" s="199" t="str">
        <f>IF(AND(COUNTIFS($J$18:J4903,J4903)=1,AE4903=1),1,"")</f>
        <v/>
      </c>
      <c r="AG4903" s="199" t="str">
        <f>IF(C4903="","",IF(AND(COUNTIFS($J$18:J4903,J4903)=1,C4903&lt;&gt;""),1,""))</f>
        <v/>
      </c>
      <c r="AH4903" s="199" t="str">
        <f>IF(G4903="","",IF(AND(COUNTIFS($J$18:J4903,J4903)=1,G4903&lt;&gt;""),1,""))</f>
        <v/>
      </c>
      <c r="AI4903" s="200">
        <f t="shared" si="1513"/>
        <v>0</v>
      </c>
      <c r="AJ4903" s="200">
        <f t="shared" si="1514"/>
        <v>0</v>
      </c>
      <c r="AK4903" s="201" t="str">
        <f t="shared" si="1515"/>
        <v/>
      </c>
      <c r="AL4903" s="24"/>
      <c r="AM4903" s="24"/>
      <c r="AN4903" s="24"/>
      <c r="AO4903" s="24"/>
      <c r="AP4903" s="165" t="str">
        <f t="shared" si="1516"/>
        <v/>
      </c>
      <c r="AQ4903" s="203" t="str">
        <f t="shared" si="1517"/>
        <v/>
      </c>
      <c r="AR4903" s="206">
        <f t="shared" si="1518"/>
        <v>0</v>
      </c>
      <c r="AS4903" s="22" t="str">
        <f t="shared" si="1519"/>
        <v/>
      </c>
      <c r="AT4903" s="24" t="str">
        <f t="shared" si="1520"/>
        <v/>
      </c>
      <c r="AU4903" s="22" t="s">
        <v>3240</v>
      </c>
    </row>
    <row r="4904" spans="1:47">
      <c r="A4904" s="246" t="str">
        <f t="shared" si="1508"/>
        <v/>
      </c>
      <c r="B4904" s="23"/>
      <c r="C4904" s="23"/>
      <c r="D4904" s="202" t="str">
        <f t="shared" si="1509"/>
        <v/>
      </c>
      <c r="E4904" s="33" t="str">
        <f t="shared" si="1503"/>
        <v/>
      </c>
      <c r="F4904" s="23"/>
      <c r="G4904" s="23"/>
      <c r="H4904" s="29"/>
      <c r="I4904" s="204" t="str">
        <f t="shared" si="1506"/>
        <v/>
      </c>
      <c r="J4904" s="188"/>
      <c r="K4904" s="29"/>
      <c r="L4904" s="24"/>
      <c r="M4904" s="22"/>
      <c r="N4904" s="22"/>
      <c r="O4904" s="22"/>
      <c r="P4904" s="202" t="str">
        <f t="shared" si="1507"/>
        <v/>
      </c>
      <c r="Q4904" s="22"/>
      <c r="R4904" s="22"/>
      <c r="S4904" s="22"/>
      <c r="T4904" s="22"/>
      <c r="U4904" s="22"/>
      <c r="V4904" s="22"/>
      <c r="W4904" s="22"/>
      <c r="X4904" s="104"/>
      <c r="Y4904" s="195" t="str">
        <f t="shared" si="1504"/>
        <v/>
      </c>
      <c r="Z4904" s="196" t="str">
        <f t="shared" si="1505"/>
        <v/>
      </c>
      <c r="AA4904" s="22"/>
      <c r="AB4904" s="197" t="str">
        <f t="shared" si="1510"/>
        <v/>
      </c>
      <c r="AC4904" s="198" t="str">
        <f t="shared" si="1511"/>
        <v/>
      </c>
      <c r="AD4904" s="162"/>
      <c r="AE4904" s="199" t="str">
        <f t="shared" si="1512"/>
        <v/>
      </c>
      <c r="AF4904" s="199" t="str">
        <f>IF(AND(COUNTIFS($J$18:J4904,J4904)=1,AE4904=1),1,"")</f>
        <v/>
      </c>
      <c r="AG4904" s="199" t="str">
        <f>IF(C4904="","",IF(AND(COUNTIFS($J$18:J4904,J4904)=1,C4904&lt;&gt;""),1,""))</f>
        <v/>
      </c>
      <c r="AH4904" s="199" t="str">
        <f>IF(G4904="","",IF(AND(COUNTIFS($J$18:J4904,J4904)=1,G4904&lt;&gt;""),1,""))</f>
        <v/>
      </c>
      <c r="AI4904" s="200">
        <f t="shared" si="1513"/>
        <v>0</v>
      </c>
      <c r="AJ4904" s="200">
        <f t="shared" si="1514"/>
        <v>0</v>
      </c>
      <c r="AK4904" s="201" t="str">
        <f t="shared" si="1515"/>
        <v/>
      </c>
      <c r="AL4904" s="24"/>
      <c r="AM4904" s="24"/>
      <c r="AN4904" s="24"/>
      <c r="AO4904" s="24"/>
      <c r="AP4904" s="165" t="str">
        <f t="shared" si="1516"/>
        <v/>
      </c>
      <c r="AQ4904" s="203" t="str">
        <f t="shared" si="1517"/>
        <v/>
      </c>
      <c r="AR4904" s="206">
        <f t="shared" si="1518"/>
        <v>0</v>
      </c>
      <c r="AS4904" s="22" t="str">
        <f t="shared" si="1519"/>
        <v/>
      </c>
      <c r="AT4904" s="24" t="str">
        <f t="shared" si="1520"/>
        <v/>
      </c>
      <c r="AU4904" s="22" t="s">
        <v>3240</v>
      </c>
    </row>
    <row r="4905" spans="1:47">
      <c r="A4905" s="246" t="str">
        <f t="shared" si="1508"/>
        <v/>
      </c>
      <c r="B4905" s="23"/>
      <c r="C4905" s="23"/>
      <c r="D4905" s="202" t="str">
        <f t="shared" si="1509"/>
        <v/>
      </c>
      <c r="E4905" s="33" t="str">
        <f t="shared" si="1503"/>
        <v/>
      </c>
      <c r="F4905" s="23"/>
      <c r="G4905" s="23"/>
      <c r="H4905" s="29"/>
      <c r="I4905" s="204" t="str">
        <f t="shared" si="1506"/>
        <v/>
      </c>
      <c r="J4905" s="188"/>
      <c r="K4905" s="29"/>
      <c r="L4905" s="24"/>
      <c r="M4905" s="22"/>
      <c r="N4905" s="22"/>
      <c r="O4905" s="22"/>
      <c r="P4905" s="202" t="str">
        <f t="shared" si="1507"/>
        <v/>
      </c>
      <c r="Q4905" s="22"/>
      <c r="R4905" s="22"/>
      <c r="S4905" s="22"/>
      <c r="T4905" s="22"/>
      <c r="U4905" s="22"/>
      <c r="V4905" s="22"/>
      <c r="W4905" s="22"/>
      <c r="X4905" s="104"/>
      <c r="Y4905" s="195" t="str">
        <f t="shared" si="1504"/>
        <v/>
      </c>
      <c r="Z4905" s="196" t="str">
        <f t="shared" si="1505"/>
        <v/>
      </c>
      <c r="AA4905" s="22"/>
      <c r="AB4905" s="197" t="str">
        <f t="shared" si="1510"/>
        <v/>
      </c>
      <c r="AC4905" s="198" t="str">
        <f t="shared" si="1511"/>
        <v/>
      </c>
      <c r="AD4905" s="162"/>
      <c r="AE4905" s="199" t="str">
        <f t="shared" si="1512"/>
        <v/>
      </c>
      <c r="AF4905" s="199" t="str">
        <f>IF(AND(COUNTIFS($J$18:J4905,J4905)=1,AE4905=1),1,"")</f>
        <v/>
      </c>
      <c r="AG4905" s="199" t="str">
        <f>IF(C4905="","",IF(AND(COUNTIFS($J$18:J4905,J4905)=1,C4905&lt;&gt;""),1,""))</f>
        <v/>
      </c>
      <c r="AH4905" s="199" t="str">
        <f>IF(G4905="","",IF(AND(COUNTIFS($J$18:J4905,J4905)=1,G4905&lt;&gt;""),1,""))</f>
        <v/>
      </c>
      <c r="AI4905" s="200">
        <f t="shared" si="1513"/>
        <v>0</v>
      </c>
      <c r="AJ4905" s="200">
        <f t="shared" si="1514"/>
        <v>0</v>
      </c>
      <c r="AK4905" s="201" t="str">
        <f t="shared" si="1515"/>
        <v/>
      </c>
      <c r="AL4905" s="24"/>
      <c r="AM4905" s="24"/>
      <c r="AN4905" s="24"/>
      <c r="AO4905" s="24"/>
      <c r="AP4905" s="165" t="str">
        <f t="shared" si="1516"/>
        <v/>
      </c>
      <c r="AQ4905" s="203" t="str">
        <f t="shared" si="1517"/>
        <v/>
      </c>
      <c r="AR4905" s="206">
        <f t="shared" si="1518"/>
        <v>0</v>
      </c>
      <c r="AS4905" s="22" t="str">
        <f t="shared" si="1519"/>
        <v/>
      </c>
      <c r="AT4905" s="24" t="str">
        <f t="shared" si="1520"/>
        <v/>
      </c>
      <c r="AU4905" s="22" t="s">
        <v>3240</v>
      </c>
    </row>
    <row r="4906" spans="1:47">
      <c r="A4906" s="246" t="str">
        <f t="shared" si="1508"/>
        <v/>
      </c>
      <c r="B4906" s="23"/>
      <c r="C4906" s="23"/>
      <c r="D4906" s="202" t="str">
        <f t="shared" si="1509"/>
        <v/>
      </c>
      <c r="E4906" s="33" t="str">
        <f t="shared" si="1503"/>
        <v/>
      </c>
      <c r="F4906" s="23"/>
      <c r="G4906" s="23"/>
      <c r="H4906" s="29"/>
      <c r="I4906" s="204" t="str">
        <f t="shared" si="1506"/>
        <v/>
      </c>
      <c r="J4906" s="188"/>
      <c r="K4906" s="29"/>
      <c r="L4906" s="24"/>
      <c r="M4906" s="22"/>
      <c r="N4906" s="22"/>
      <c r="O4906" s="22"/>
      <c r="P4906" s="202" t="str">
        <f t="shared" si="1507"/>
        <v/>
      </c>
      <c r="Q4906" s="22"/>
      <c r="R4906" s="22"/>
      <c r="S4906" s="22"/>
      <c r="T4906" s="22"/>
      <c r="U4906" s="22"/>
      <c r="V4906" s="22"/>
      <c r="W4906" s="22"/>
      <c r="X4906" s="104"/>
      <c r="Y4906" s="195" t="str">
        <f t="shared" si="1504"/>
        <v/>
      </c>
      <c r="Z4906" s="196" t="str">
        <f t="shared" si="1505"/>
        <v/>
      </c>
      <c r="AA4906" s="22"/>
      <c r="AB4906" s="197" t="str">
        <f t="shared" si="1510"/>
        <v/>
      </c>
      <c r="AC4906" s="198" t="str">
        <f t="shared" si="1511"/>
        <v/>
      </c>
      <c r="AD4906" s="162"/>
      <c r="AE4906" s="199" t="str">
        <f t="shared" si="1512"/>
        <v/>
      </c>
      <c r="AF4906" s="199" t="str">
        <f>IF(AND(COUNTIFS($J$18:J4906,J4906)=1,AE4906=1),1,"")</f>
        <v/>
      </c>
      <c r="AG4906" s="199" t="str">
        <f>IF(C4906="","",IF(AND(COUNTIFS($J$18:J4906,J4906)=1,C4906&lt;&gt;""),1,""))</f>
        <v/>
      </c>
      <c r="AH4906" s="199" t="str">
        <f>IF(G4906="","",IF(AND(COUNTIFS($J$18:J4906,J4906)=1,G4906&lt;&gt;""),1,""))</f>
        <v/>
      </c>
      <c r="AI4906" s="200">
        <f t="shared" si="1513"/>
        <v>0</v>
      </c>
      <c r="AJ4906" s="200">
        <f t="shared" si="1514"/>
        <v>0</v>
      </c>
      <c r="AK4906" s="201" t="str">
        <f t="shared" si="1515"/>
        <v/>
      </c>
      <c r="AL4906" s="24"/>
      <c r="AM4906" s="24"/>
      <c r="AN4906" s="24"/>
      <c r="AO4906" s="24"/>
      <c r="AP4906" s="165" t="str">
        <f t="shared" si="1516"/>
        <v/>
      </c>
      <c r="AQ4906" s="203" t="str">
        <f t="shared" si="1517"/>
        <v/>
      </c>
      <c r="AR4906" s="206">
        <f t="shared" si="1518"/>
        <v>0</v>
      </c>
      <c r="AS4906" s="22" t="str">
        <f t="shared" si="1519"/>
        <v/>
      </c>
      <c r="AT4906" s="24" t="str">
        <f t="shared" si="1520"/>
        <v/>
      </c>
      <c r="AU4906" s="22" t="s">
        <v>3240</v>
      </c>
    </row>
    <row r="4907" spans="1:47">
      <c r="A4907" s="246" t="str">
        <f t="shared" si="1508"/>
        <v/>
      </c>
      <c r="B4907" s="23"/>
      <c r="C4907" s="23"/>
      <c r="D4907" s="202" t="str">
        <f t="shared" si="1509"/>
        <v/>
      </c>
      <c r="E4907" s="33" t="str">
        <f t="shared" si="1503"/>
        <v/>
      </c>
      <c r="F4907" s="23"/>
      <c r="G4907" s="23"/>
      <c r="H4907" s="29"/>
      <c r="I4907" s="204" t="str">
        <f t="shared" si="1506"/>
        <v/>
      </c>
      <c r="J4907" s="188"/>
      <c r="K4907" s="29"/>
      <c r="L4907" s="24"/>
      <c r="M4907" s="22"/>
      <c r="N4907" s="22"/>
      <c r="O4907" s="22"/>
      <c r="P4907" s="202" t="str">
        <f t="shared" si="1507"/>
        <v/>
      </c>
      <c r="Q4907" s="22"/>
      <c r="R4907" s="22"/>
      <c r="S4907" s="22"/>
      <c r="T4907" s="22"/>
      <c r="U4907" s="22"/>
      <c r="V4907" s="22"/>
      <c r="W4907" s="22"/>
      <c r="X4907" s="104"/>
      <c r="Y4907" s="195" t="str">
        <f t="shared" si="1504"/>
        <v/>
      </c>
      <c r="Z4907" s="196" t="str">
        <f t="shared" si="1505"/>
        <v/>
      </c>
      <c r="AA4907" s="22"/>
      <c r="AB4907" s="197" t="str">
        <f t="shared" si="1510"/>
        <v/>
      </c>
      <c r="AC4907" s="198" t="str">
        <f t="shared" si="1511"/>
        <v/>
      </c>
      <c r="AD4907" s="162"/>
      <c r="AE4907" s="199" t="str">
        <f t="shared" si="1512"/>
        <v/>
      </c>
      <c r="AF4907" s="199" t="str">
        <f>IF(AND(COUNTIFS($J$18:J4907,J4907)=1,AE4907=1),1,"")</f>
        <v/>
      </c>
      <c r="AG4907" s="199" t="str">
        <f>IF(C4907="","",IF(AND(COUNTIFS($J$18:J4907,J4907)=1,C4907&lt;&gt;""),1,""))</f>
        <v/>
      </c>
      <c r="AH4907" s="199" t="str">
        <f>IF(G4907="","",IF(AND(COUNTIFS($J$18:J4907,J4907)=1,G4907&lt;&gt;""),1,""))</f>
        <v/>
      </c>
      <c r="AI4907" s="200">
        <f t="shared" si="1513"/>
        <v>0</v>
      </c>
      <c r="AJ4907" s="200">
        <f t="shared" si="1514"/>
        <v>0</v>
      </c>
      <c r="AK4907" s="201" t="str">
        <f t="shared" si="1515"/>
        <v/>
      </c>
      <c r="AL4907" s="24"/>
      <c r="AM4907" s="24"/>
      <c r="AN4907" s="24"/>
      <c r="AO4907" s="24"/>
      <c r="AP4907" s="165" t="str">
        <f t="shared" si="1516"/>
        <v/>
      </c>
      <c r="AQ4907" s="203" t="str">
        <f t="shared" si="1517"/>
        <v/>
      </c>
      <c r="AR4907" s="206">
        <f t="shared" si="1518"/>
        <v>0</v>
      </c>
      <c r="AS4907" s="22" t="str">
        <f t="shared" si="1519"/>
        <v/>
      </c>
      <c r="AT4907" s="24" t="str">
        <f t="shared" si="1520"/>
        <v/>
      </c>
      <c r="AU4907" s="22" t="s">
        <v>3240</v>
      </c>
    </row>
    <row r="4908" spans="1:47">
      <c r="A4908" s="246" t="str">
        <f t="shared" si="1508"/>
        <v/>
      </c>
      <c r="B4908" s="23"/>
      <c r="C4908" s="23"/>
      <c r="D4908" s="202" t="str">
        <f t="shared" si="1509"/>
        <v/>
      </c>
      <c r="E4908" s="33" t="str">
        <f t="shared" si="1503"/>
        <v/>
      </c>
      <c r="F4908" s="23"/>
      <c r="G4908" s="23"/>
      <c r="H4908" s="29"/>
      <c r="I4908" s="204" t="str">
        <f t="shared" si="1506"/>
        <v/>
      </c>
      <c r="J4908" s="188"/>
      <c r="K4908" s="29"/>
      <c r="L4908" s="24"/>
      <c r="M4908" s="22"/>
      <c r="N4908" s="22"/>
      <c r="O4908" s="22"/>
      <c r="P4908" s="202" t="str">
        <f t="shared" si="1507"/>
        <v/>
      </c>
      <c r="Q4908" s="22"/>
      <c r="R4908" s="22"/>
      <c r="S4908" s="22"/>
      <c r="T4908" s="22"/>
      <c r="U4908" s="22"/>
      <c r="V4908" s="22"/>
      <c r="W4908" s="22"/>
      <c r="X4908" s="104"/>
      <c r="Y4908" s="195" t="str">
        <f t="shared" si="1504"/>
        <v/>
      </c>
      <c r="Z4908" s="196" t="str">
        <f t="shared" si="1505"/>
        <v/>
      </c>
      <c r="AA4908" s="22"/>
      <c r="AB4908" s="197" t="str">
        <f t="shared" si="1510"/>
        <v/>
      </c>
      <c r="AC4908" s="198" t="str">
        <f t="shared" si="1511"/>
        <v/>
      </c>
      <c r="AD4908" s="162"/>
      <c r="AE4908" s="199" t="str">
        <f t="shared" si="1512"/>
        <v/>
      </c>
      <c r="AF4908" s="199" t="str">
        <f>IF(AND(COUNTIFS($J$18:J4908,J4908)=1,AE4908=1),1,"")</f>
        <v/>
      </c>
      <c r="AG4908" s="199" t="str">
        <f>IF(C4908="","",IF(AND(COUNTIFS($J$18:J4908,J4908)=1,C4908&lt;&gt;""),1,""))</f>
        <v/>
      </c>
      <c r="AH4908" s="199" t="str">
        <f>IF(G4908="","",IF(AND(COUNTIFS($J$18:J4908,J4908)=1,G4908&lt;&gt;""),1,""))</f>
        <v/>
      </c>
      <c r="AI4908" s="200">
        <f t="shared" si="1513"/>
        <v>0</v>
      </c>
      <c r="AJ4908" s="200">
        <f t="shared" si="1514"/>
        <v>0</v>
      </c>
      <c r="AK4908" s="201" t="str">
        <f t="shared" si="1515"/>
        <v/>
      </c>
      <c r="AL4908" s="24"/>
      <c r="AM4908" s="24"/>
      <c r="AN4908" s="24"/>
      <c r="AO4908" s="24"/>
      <c r="AP4908" s="165" t="str">
        <f t="shared" si="1516"/>
        <v/>
      </c>
      <c r="AQ4908" s="203" t="str">
        <f t="shared" si="1517"/>
        <v/>
      </c>
      <c r="AR4908" s="206">
        <f t="shared" si="1518"/>
        <v>0</v>
      </c>
      <c r="AS4908" s="22" t="str">
        <f t="shared" si="1519"/>
        <v/>
      </c>
      <c r="AT4908" s="24" t="str">
        <f t="shared" si="1520"/>
        <v/>
      </c>
      <c r="AU4908" s="22" t="s">
        <v>3240</v>
      </c>
    </row>
    <row r="4909" spans="1:47">
      <c r="A4909" s="246" t="str">
        <f t="shared" si="1508"/>
        <v/>
      </c>
      <c r="B4909" s="23"/>
      <c r="C4909" s="23"/>
      <c r="D4909" s="202" t="str">
        <f t="shared" si="1509"/>
        <v/>
      </c>
      <c r="E4909" s="33" t="str">
        <f t="shared" si="1503"/>
        <v/>
      </c>
      <c r="F4909" s="23"/>
      <c r="G4909" s="23"/>
      <c r="H4909" s="29"/>
      <c r="I4909" s="204" t="str">
        <f t="shared" si="1506"/>
        <v/>
      </c>
      <c r="J4909" s="188"/>
      <c r="K4909" s="29"/>
      <c r="L4909" s="24"/>
      <c r="M4909" s="22"/>
      <c r="N4909" s="22"/>
      <c r="O4909" s="22"/>
      <c r="P4909" s="202" t="str">
        <f t="shared" si="1507"/>
        <v/>
      </c>
      <c r="Q4909" s="22"/>
      <c r="R4909" s="22"/>
      <c r="S4909" s="22"/>
      <c r="T4909" s="22"/>
      <c r="U4909" s="22"/>
      <c r="V4909" s="22"/>
      <c r="W4909" s="22"/>
      <c r="X4909" s="104"/>
      <c r="Y4909" s="195" t="str">
        <f t="shared" si="1504"/>
        <v/>
      </c>
      <c r="Z4909" s="196" t="str">
        <f t="shared" si="1505"/>
        <v/>
      </c>
      <c r="AA4909" s="22"/>
      <c r="AB4909" s="197" t="str">
        <f t="shared" si="1510"/>
        <v/>
      </c>
      <c r="AC4909" s="198" t="str">
        <f t="shared" si="1511"/>
        <v/>
      </c>
      <c r="AD4909" s="162"/>
      <c r="AE4909" s="199" t="str">
        <f t="shared" si="1512"/>
        <v/>
      </c>
      <c r="AF4909" s="199" t="str">
        <f>IF(AND(COUNTIFS($J$18:J4909,J4909)=1,AE4909=1),1,"")</f>
        <v/>
      </c>
      <c r="AG4909" s="199" t="str">
        <f>IF(C4909="","",IF(AND(COUNTIFS($J$18:J4909,J4909)=1,C4909&lt;&gt;""),1,""))</f>
        <v/>
      </c>
      <c r="AH4909" s="199" t="str">
        <f>IF(G4909="","",IF(AND(COUNTIFS($J$18:J4909,J4909)=1,G4909&lt;&gt;""),1,""))</f>
        <v/>
      </c>
      <c r="AI4909" s="200">
        <f t="shared" si="1513"/>
        <v>0</v>
      </c>
      <c r="AJ4909" s="200">
        <f t="shared" si="1514"/>
        <v>0</v>
      </c>
      <c r="AK4909" s="201" t="str">
        <f t="shared" si="1515"/>
        <v/>
      </c>
      <c r="AL4909" s="24"/>
      <c r="AM4909" s="24"/>
      <c r="AN4909" s="24"/>
      <c r="AO4909" s="24"/>
      <c r="AP4909" s="165" t="str">
        <f t="shared" si="1516"/>
        <v/>
      </c>
      <c r="AQ4909" s="203" t="str">
        <f t="shared" si="1517"/>
        <v/>
      </c>
      <c r="AR4909" s="206">
        <f t="shared" si="1518"/>
        <v>0</v>
      </c>
      <c r="AS4909" s="22" t="str">
        <f t="shared" si="1519"/>
        <v/>
      </c>
      <c r="AT4909" s="24" t="str">
        <f t="shared" si="1520"/>
        <v/>
      </c>
      <c r="AU4909" s="22" t="s">
        <v>3240</v>
      </c>
    </row>
    <row r="4910" spans="1:47">
      <c r="A4910" s="246" t="str">
        <f t="shared" si="1508"/>
        <v/>
      </c>
      <c r="B4910" s="23"/>
      <c r="C4910" s="23"/>
      <c r="D4910" s="202" t="str">
        <f t="shared" si="1509"/>
        <v/>
      </c>
      <c r="E4910" s="33" t="str">
        <f t="shared" si="1503"/>
        <v/>
      </c>
      <c r="F4910" s="23"/>
      <c r="G4910" s="23"/>
      <c r="H4910" s="29"/>
      <c r="I4910" s="204" t="str">
        <f t="shared" si="1506"/>
        <v/>
      </c>
      <c r="J4910" s="188"/>
      <c r="K4910" s="29"/>
      <c r="L4910" s="24"/>
      <c r="M4910" s="22"/>
      <c r="N4910" s="22"/>
      <c r="O4910" s="22"/>
      <c r="P4910" s="202" t="str">
        <f t="shared" si="1507"/>
        <v/>
      </c>
      <c r="Q4910" s="22"/>
      <c r="R4910" s="22"/>
      <c r="S4910" s="22"/>
      <c r="T4910" s="22"/>
      <c r="U4910" s="22"/>
      <c r="V4910" s="22"/>
      <c r="W4910" s="22"/>
      <c r="X4910" s="104"/>
      <c r="Y4910" s="195" t="str">
        <f t="shared" si="1504"/>
        <v/>
      </c>
      <c r="Z4910" s="196" t="str">
        <f t="shared" si="1505"/>
        <v/>
      </c>
      <c r="AA4910" s="22"/>
      <c r="AB4910" s="197" t="str">
        <f t="shared" si="1510"/>
        <v/>
      </c>
      <c r="AC4910" s="198" t="str">
        <f t="shared" si="1511"/>
        <v/>
      </c>
      <c r="AD4910" s="162"/>
      <c r="AE4910" s="199" t="str">
        <f t="shared" si="1512"/>
        <v/>
      </c>
      <c r="AF4910" s="199" t="str">
        <f>IF(AND(COUNTIFS($J$18:J4910,J4910)=1,AE4910=1),1,"")</f>
        <v/>
      </c>
      <c r="AG4910" s="199" t="str">
        <f>IF(C4910="","",IF(AND(COUNTIFS($J$18:J4910,J4910)=1,C4910&lt;&gt;""),1,""))</f>
        <v/>
      </c>
      <c r="AH4910" s="199" t="str">
        <f>IF(G4910="","",IF(AND(COUNTIFS($J$18:J4910,J4910)=1,G4910&lt;&gt;""),1,""))</f>
        <v/>
      </c>
      <c r="AI4910" s="200">
        <f t="shared" si="1513"/>
        <v>0</v>
      </c>
      <c r="AJ4910" s="200">
        <f t="shared" si="1514"/>
        <v>0</v>
      </c>
      <c r="AK4910" s="201" t="str">
        <f t="shared" si="1515"/>
        <v/>
      </c>
      <c r="AL4910" s="24"/>
      <c r="AM4910" s="24"/>
      <c r="AN4910" s="24"/>
      <c r="AO4910" s="24"/>
      <c r="AP4910" s="165" t="str">
        <f t="shared" si="1516"/>
        <v/>
      </c>
      <c r="AQ4910" s="203" t="str">
        <f t="shared" si="1517"/>
        <v/>
      </c>
      <c r="AR4910" s="206">
        <f t="shared" si="1518"/>
        <v>0</v>
      </c>
      <c r="AS4910" s="22" t="str">
        <f t="shared" si="1519"/>
        <v/>
      </c>
      <c r="AT4910" s="24" t="str">
        <f t="shared" si="1520"/>
        <v/>
      </c>
      <c r="AU4910" s="22" t="s">
        <v>3240</v>
      </c>
    </row>
    <row r="4911" spans="1:47">
      <c r="A4911" s="246" t="str">
        <f t="shared" si="1508"/>
        <v/>
      </c>
      <c r="B4911" s="23"/>
      <c r="C4911" s="23"/>
      <c r="D4911" s="202" t="str">
        <f t="shared" si="1509"/>
        <v/>
      </c>
      <c r="E4911" s="33" t="str">
        <f t="shared" si="1503"/>
        <v/>
      </c>
      <c r="F4911" s="23"/>
      <c r="G4911" s="23"/>
      <c r="H4911" s="29"/>
      <c r="I4911" s="204" t="str">
        <f t="shared" si="1506"/>
        <v/>
      </c>
      <c r="J4911" s="188"/>
      <c r="K4911" s="29"/>
      <c r="L4911" s="24"/>
      <c r="M4911" s="22"/>
      <c r="N4911" s="22"/>
      <c r="O4911" s="22"/>
      <c r="P4911" s="202" t="str">
        <f t="shared" si="1507"/>
        <v/>
      </c>
      <c r="Q4911" s="22"/>
      <c r="R4911" s="22"/>
      <c r="S4911" s="22"/>
      <c r="T4911" s="22"/>
      <c r="U4911" s="22"/>
      <c r="V4911" s="22"/>
      <c r="W4911" s="22"/>
      <c r="X4911" s="104"/>
      <c r="Y4911" s="195" t="str">
        <f t="shared" si="1504"/>
        <v/>
      </c>
      <c r="Z4911" s="196" t="str">
        <f t="shared" si="1505"/>
        <v/>
      </c>
      <c r="AA4911" s="22"/>
      <c r="AB4911" s="197" t="str">
        <f t="shared" si="1510"/>
        <v/>
      </c>
      <c r="AC4911" s="198" t="str">
        <f t="shared" si="1511"/>
        <v/>
      </c>
      <c r="AD4911" s="162"/>
      <c r="AE4911" s="199" t="str">
        <f t="shared" si="1512"/>
        <v/>
      </c>
      <c r="AF4911" s="199" t="str">
        <f>IF(AND(COUNTIFS($J$18:J4911,J4911)=1,AE4911=1),1,"")</f>
        <v/>
      </c>
      <c r="AG4911" s="199" t="str">
        <f>IF(C4911="","",IF(AND(COUNTIFS($J$18:J4911,J4911)=1,C4911&lt;&gt;""),1,""))</f>
        <v/>
      </c>
      <c r="AH4911" s="199" t="str">
        <f>IF(G4911="","",IF(AND(COUNTIFS($J$18:J4911,J4911)=1,G4911&lt;&gt;""),1,""))</f>
        <v/>
      </c>
      <c r="AI4911" s="200">
        <f t="shared" si="1513"/>
        <v>0</v>
      </c>
      <c r="AJ4911" s="200">
        <f t="shared" si="1514"/>
        <v>0</v>
      </c>
      <c r="AK4911" s="201" t="str">
        <f t="shared" si="1515"/>
        <v/>
      </c>
      <c r="AL4911" s="24"/>
      <c r="AM4911" s="24"/>
      <c r="AN4911" s="24"/>
      <c r="AO4911" s="24"/>
      <c r="AP4911" s="165" t="str">
        <f t="shared" si="1516"/>
        <v/>
      </c>
      <c r="AQ4911" s="203" t="str">
        <f t="shared" si="1517"/>
        <v/>
      </c>
      <c r="AR4911" s="206">
        <f t="shared" si="1518"/>
        <v>0</v>
      </c>
      <c r="AS4911" s="22" t="str">
        <f t="shared" si="1519"/>
        <v/>
      </c>
      <c r="AT4911" s="24" t="str">
        <f t="shared" si="1520"/>
        <v/>
      </c>
      <c r="AU4911" s="22" t="s">
        <v>3240</v>
      </c>
    </row>
    <row r="4912" spans="1:47">
      <c r="A4912" s="246" t="str">
        <f t="shared" si="1508"/>
        <v/>
      </c>
      <c r="B4912" s="23"/>
      <c r="C4912" s="23"/>
      <c r="D4912" s="202" t="str">
        <f t="shared" si="1509"/>
        <v/>
      </c>
      <c r="E4912" s="33" t="str">
        <f t="shared" si="1503"/>
        <v/>
      </c>
      <c r="F4912" s="23"/>
      <c r="G4912" s="23"/>
      <c r="H4912" s="29"/>
      <c r="I4912" s="204" t="str">
        <f t="shared" si="1506"/>
        <v/>
      </c>
      <c r="J4912" s="188"/>
      <c r="K4912" s="29"/>
      <c r="L4912" s="24"/>
      <c r="M4912" s="22"/>
      <c r="N4912" s="22"/>
      <c r="O4912" s="22"/>
      <c r="P4912" s="202" t="str">
        <f t="shared" si="1507"/>
        <v/>
      </c>
      <c r="Q4912" s="22"/>
      <c r="R4912" s="22"/>
      <c r="S4912" s="22"/>
      <c r="T4912" s="22"/>
      <c r="U4912" s="22"/>
      <c r="V4912" s="22"/>
      <c r="W4912" s="22"/>
      <c r="X4912" s="104"/>
      <c r="Y4912" s="195" t="str">
        <f t="shared" si="1504"/>
        <v/>
      </c>
      <c r="Z4912" s="196" t="str">
        <f t="shared" si="1505"/>
        <v/>
      </c>
      <c r="AA4912" s="22"/>
      <c r="AB4912" s="197" t="str">
        <f t="shared" si="1510"/>
        <v/>
      </c>
      <c r="AC4912" s="198" t="str">
        <f t="shared" si="1511"/>
        <v/>
      </c>
      <c r="AD4912" s="162"/>
      <c r="AE4912" s="199" t="str">
        <f t="shared" si="1512"/>
        <v/>
      </c>
      <c r="AF4912" s="199" t="str">
        <f>IF(AND(COUNTIFS($J$18:J4912,J4912)=1,AE4912=1),1,"")</f>
        <v/>
      </c>
      <c r="AG4912" s="199" t="str">
        <f>IF(C4912="","",IF(AND(COUNTIFS($J$18:J4912,J4912)=1,C4912&lt;&gt;""),1,""))</f>
        <v/>
      </c>
      <c r="AH4912" s="199" t="str">
        <f>IF(G4912="","",IF(AND(COUNTIFS($J$18:J4912,J4912)=1,G4912&lt;&gt;""),1,""))</f>
        <v/>
      </c>
      <c r="AI4912" s="200">
        <f t="shared" si="1513"/>
        <v>0</v>
      </c>
      <c r="AJ4912" s="200">
        <f t="shared" si="1514"/>
        <v>0</v>
      </c>
      <c r="AK4912" s="201" t="str">
        <f t="shared" si="1515"/>
        <v/>
      </c>
      <c r="AL4912" s="24"/>
      <c r="AM4912" s="24"/>
      <c r="AN4912" s="24"/>
      <c r="AO4912" s="24"/>
      <c r="AP4912" s="165" t="str">
        <f t="shared" si="1516"/>
        <v/>
      </c>
      <c r="AQ4912" s="203" t="str">
        <f t="shared" si="1517"/>
        <v/>
      </c>
      <c r="AR4912" s="206">
        <f t="shared" si="1518"/>
        <v>0</v>
      </c>
      <c r="AS4912" s="22" t="str">
        <f t="shared" si="1519"/>
        <v/>
      </c>
      <c r="AT4912" s="24" t="str">
        <f t="shared" si="1520"/>
        <v/>
      </c>
      <c r="AU4912" s="22" t="s">
        <v>3240</v>
      </c>
    </row>
    <row r="4913" spans="1:47">
      <c r="A4913" s="246" t="str">
        <f t="shared" si="1508"/>
        <v/>
      </c>
      <c r="B4913" s="23"/>
      <c r="C4913" s="23"/>
      <c r="D4913" s="202" t="str">
        <f t="shared" si="1509"/>
        <v/>
      </c>
      <c r="E4913" s="33" t="str">
        <f t="shared" si="1503"/>
        <v/>
      </c>
      <c r="F4913" s="23"/>
      <c r="G4913" s="23"/>
      <c r="H4913" s="29"/>
      <c r="I4913" s="204" t="str">
        <f t="shared" si="1506"/>
        <v/>
      </c>
      <c r="J4913" s="188"/>
      <c r="K4913" s="29"/>
      <c r="L4913" s="24"/>
      <c r="M4913" s="22"/>
      <c r="N4913" s="22"/>
      <c r="O4913" s="22"/>
      <c r="P4913" s="202" t="str">
        <f t="shared" si="1507"/>
        <v/>
      </c>
      <c r="Q4913" s="22"/>
      <c r="R4913" s="22"/>
      <c r="S4913" s="22"/>
      <c r="T4913" s="22"/>
      <c r="U4913" s="22"/>
      <c r="V4913" s="22"/>
      <c r="W4913" s="22"/>
      <c r="X4913" s="104"/>
      <c r="Y4913" s="195" t="str">
        <f t="shared" si="1504"/>
        <v/>
      </c>
      <c r="Z4913" s="196" t="str">
        <f t="shared" si="1505"/>
        <v/>
      </c>
      <c r="AA4913" s="22"/>
      <c r="AB4913" s="197" t="str">
        <f t="shared" si="1510"/>
        <v/>
      </c>
      <c r="AC4913" s="198" t="str">
        <f t="shared" si="1511"/>
        <v/>
      </c>
      <c r="AD4913" s="162"/>
      <c r="AE4913" s="199" t="str">
        <f t="shared" si="1512"/>
        <v/>
      </c>
      <c r="AF4913" s="199" t="str">
        <f>IF(AND(COUNTIFS($J$18:J4913,J4913)=1,AE4913=1),1,"")</f>
        <v/>
      </c>
      <c r="AG4913" s="199" t="str">
        <f>IF(C4913="","",IF(AND(COUNTIFS($J$18:J4913,J4913)=1,C4913&lt;&gt;""),1,""))</f>
        <v/>
      </c>
      <c r="AH4913" s="199" t="str">
        <f>IF(G4913="","",IF(AND(COUNTIFS($J$18:J4913,J4913)=1,G4913&lt;&gt;""),1,""))</f>
        <v/>
      </c>
      <c r="AI4913" s="200">
        <f t="shared" si="1513"/>
        <v>0</v>
      </c>
      <c r="AJ4913" s="200">
        <f t="shared" si="1514"/>
        <v>0</v>
      </c>
      <c r="AK4913" s="201" t="str">
        <f t="shared" si="1515"/>
        <v/>
      </c>
      <c r="AL4913" s="24"/>
      <c r="AM4913" s="24"/>
      <c r="AN4913" s="24"/>
      <c r="AO4913" s="24"/>
      <c r="AP4913" s="165" t="str">
        <f t="shared" si="1516"/>
        <v/>
      </c>
      <c r="AQ4913" s="203" t="str">
        <f t="shared" si="1517"/>
        <v/>
      </c>
      <c r="AR4913" s="206">
        <f t="shared" si="1518"/>
        <v>0</v>
      </c>
      <c r="AS4913" s="22" t="str">
        <f t="shared" si="1519"/>
        <v/>
      </c>
      <c r="AT4913" s="24" t="str">
        <f t="shared" si="1520"/>
        <v/>
      </c>
      <c r="AU4913" s="22" t="s">
        <v>3240</v>
      </c>
    </row>
    <row r="4914" spans="1:47">
      <c r="A4914" s="246" t="str">
        <f t="shared" si="1508"/>
        <v/>
      </c>
      <c r="B4914" s="23"/>
      <c r="C4914" s="23"/>
      <c r="D4914" s="202" t="str">
        <f t="shared" si="1509"/>
        <v/>
      </c>
      <c r="E4914" s="33" t="str">
        <f t="shared" si="1503"/>
        <v/>
      </c>
      <c r="F4914" s="23"/>
      <c r="G4914" s="23"/>
      <c r="H4914" s="29"/>
      <c r="I4914" s="204" t="str">
        <f t="shared" si="1506"/>
        <v/>
      </c>
      <c r="J4914" s="188"/>
      <c r="K4914" s="29"/>
      <c r="L4914" s="24"/>
      <c r="M4914" s="22"/>
      <c r="N4914" s="22"/>
      <c r="O4914" s="22"/>
      <c r="P4914" s="202" t="str">
        <f t="shared" si="1507"/>
        <v/>
      </c>
      <c r="Q4914" s="22"/>
      <c r="R4914" s="22"/>
      <c r="S4914" s="22"/>
      <c r="T4914" s="22"/>
      <c r="U4914" s="22"/>
      <c r="V4914" s="22"/>
      <c r="W4914" s="22"/>
      <c r="X4914" s="104"/>
      <c r="Y4914" s="195" t="str">
        <f t="shared" si="1504"/>
        <v/>
      </c>
      <c r="Z4914" s="196" t="str">
        <f t="shared" si="1505"/>
        <v/>
      </c>
      <c r="AA4914" s="22"/>
      <c r="AB4914" s="197" t="str">
        <f t="shared" si="1510"/>
        <v/>
      </c>
      <c r="AC4914" s="198" t="str">
        <f t="shared" si="1511"/>
        <v/>
      </c>
      <c r="AD4914" s="162"/>
      <c r="AE4914" s="199" t="str">
        <f t="shared" si="1512"/>
        <v/>
      </c>
      <c r="AF4914" s="199" t="str">
        <f>IF(AND(COUNTIFS($J$18:J4914,J4914)=1,AE4914=1),1,"")</f>
        <v/>
      </c>
      <c r="AG4914" s="199" t="str">
        <f>IF(C4914="","",IF(AND(COUNTIFS($J$18:J4914,J4914)=1,C4914&lt;&gt;""),1,""))</f>
        <v/>
      </c>
      <c r="AH4914" s="199" t="str">
        <f>IF(G4914="","",IF(AND(COUNTIFS($J$18:J4914,J4914)=1,G4914&lt;&gt;""),1,""))</f>
        <v/>
      </c>
      <c r="AI4914" s="200">
        <f t="shared" si="1513"/>
        <v>0</v>
      </c>
      <c r="AJ4914" s="200">
        <f t="shared" si="1514"/>
        <v>0</v>
      </c>
      <c r="AK4914" s="201" t="str">
        <f t="shared" si="1515"/>
        <v/>
      </c>
      <c r="AL4914" s="24"/>
      <c r="AM4914" s="24"/>
      <c r="AN4914" s="24"/>
      <c r="AO4914" s="24"/>
      <c r="AP4914" s="165" t="str">
        <f t="shared" si="1516"/>
        <v/>
      </c>
      <c r="AQ4914" s="203" t="str">
        <f t="shared" si="1517"/>
        <v/>
      </c>
      <c r="AR4914" s="206">
        <f t="shared" si="1518"/>
        <v>0</v>
      </c>
      <c r="AS4914" s="22" t="str">
        <f t="shared" si="1519"/>
        <v/>
      </c>
      <c r="AT4914" s="24" t="str">
        <f t="shared" si="1520"/>
        <v/>
      </c>
      <c r="AU4914" s="22" t="s">
        <v>3240</v>
      </c>
    </row>
    <row r="4915" spans="1:47">
      <c r="A4915" s="246" t="str">
        <f t="shared" si="1508"/>
        <v/>
      </c>
      <c r="B4915" s="23"/>
      <c r="C4915" s="23"/>
      <c r="D4915" s="202" t="str">
        <f t="shared" si="1509"/>
        <v/>
      </c>
      <c r="E4915" s="33" t="str">
        <f t="shared" si="1503"/>
        <v/>
      </c>
      <c r="F4915" s="23"/>
      <c r="G4915" s="23"/>
      <c r="H4915" s="29"/>
      <c r="I4915" s="204" t="str">
        <f t="shared" si="1506"/>
        <v/>
      </c>
      <c r="J4915" s="188"/>
      <c r="K4915" s="29"/>
      <c r="L4915" s="24"/>
      <c r="M4915" s="22"/>
      <c r="N4915" s="22"/>
      <c r="O4915" s="22"/>
      <c r="P4915" s="202" t="str">
        <f t="shared" si="1507"/>
        <v/>
      </c>
      <c r="Q4915" s="22"/>
      <c r="R4915" s="22"/>
      <c r="S4915" s="22"/>
      <c r="T4915" s="22"/>
      <c r="U4915" s="22"/>
      <c r="V4915" s="22"/>
      <c r="W4915" s="22"/>
      <c r="X4915" s="104"/>
      <c r="Y4915" s="195" t="str">
        <f t="shared" si="1504"/>
        <v/>
      </c>
      <c r="Z4915" s="196" t="str">
        <f t="shared" si="1505"/>
        <v/>
      </c>
      <c r="AA4915" s="22"/>
      <c r="AB4915" s="197" t="str">
        <f t="shared" si="1510"/>
        <v/>
      </c>
      <c r="AC4915" s="198" t="str">
        <f t="shared" si="1511"/>
        <v/>
      </c>
      <c r="AD4915" s="162"/>
      <c r="AE4915" s="199" t="str">
        <f t="shared" si="1512"/>
        <v/>
      </c>
      <c r="AF4915" s="199" t="str">
        <f>IF(AND(COUNTIFS($J$18:J4915,J4915)=1,AE4915=1),1,"")</f>
        <v/>
      </c>
      <c r="AG4915" s="199" t="str">
        <f>IF(C4915="","",IF(AND(COUNTIFS($J$18:J4915,J4915)=1,C4915&lt;&gt;""),1,""))</f>
        <v/>
      </c>
      <c r="AH4915" s="199" t="str">
        <f>IF(G4915="","",IF(AND(COUNTIFS($J$18:J4915,J4915)=1,G4915&lt;&gt;""),1,""))</f>
        <v/>
      </c>
      <c r="AI4915" s="200">
        <f t="shared" si="1513"/>
        <v>0</v>
      </c>
      <c r="AJ4915" s="200">
        <f t="shared" si="1514"/>
        <v>0</v>
      </c>
      <c r="AK4915" s="201" t="str">
        <f t="shared" si="1515"/>
        <v/>
      </c>
      <c r="AL4915" s="24"/>
      <c r="AM4915" s="24"/>
      <c r="AN4915" s="24"/>
      <c r="AO4915" s="24"/>
      <c r="AP4915" s="165" t="str">
        <f t="shared" si="1516"/>
        <v/>
      </c>
      <c r="AQ4915" s="203" t="str">
        <f t="shared" si="1517"/>
        <v/>
      </c>
      <c r="AR4915" s="206">
        <f t="shared" si="1518"/>
        <v>0</v>
      </c>
      <c r="AS4915" s="22" t="str">
        <f t="shared" si="1519"/>
        <v/>
      </c>
      <c r="AT4915" s="24" t="str">
        <f t="shared" si="1520"/>
        <v/>
      </c>
      <c r="AU4915" s="22" t="s">
        <v>3240</v>
      </c>
    </row>
    <row r="4916" spans="1:47">
      <c r="A4916" s="246" t="str">
        <f t="shared" si="1508"/>
        <v/>
      </c>
      <c r="B4916" s="23"/>
      <c r="C4916" s="23"/>
      <c r="D4916" s="202" t="str">
        <f t="shared" si="1509"/>
        <v/>
      </c>
      <c r="E4916" s="33" t="str">
        <f t="shared" si="1503"/>
        <v/>
      </c>
      <c r="F4916" s="23"/>
      <c r="G4916" s="23"/>
      <c r="H4916" s="29"/>
      <c r="I4916" s="204" t="str">
        <f t="shared" si="1506"/>
        <v/>
      </c>
      <c r="J4916" s="188"/>
      <c r="K4916" s="29"/>
      <c r="L4916" s="24"/>
      <c r="M4916" s="22"/>
      <c r="N4916" s="22"/>
      <c r="O4916" s="22"/>
      <c r="P4916" s="202" t="str">
        <f t="shared" si="1507"/>
        <v/>
      </c>
      <c r="Q4916" s="22"/>
      <c r="R4916" s="22"/>
      <c r="S4916" s="22"/>
      <c r="T4916" s="22"/>
      <c r="U4916" s="22"/>
      <c r="V4916" s="22"/>
      <c r="W4916" s="22"/>
      <c r="X4916" s="104"/>
      <c r="Y4916" s="195" t="str">
        <f t="shared" si="1504"/>
        <v/>
      </c>
      <c r="Z4916" s="196" t="str">
        <f t="shared" si="1505"/>
        <v/>
      </c>
      <c r="AA4916" s="22"/>
      <c r="AB4916" s="197" t="str">
        <f t="shared" si="1510"/>
        <v/>
      </c>
      <c r="AC4916" s="198" t="str">
        <f t="shared" si="1511"/>
        <v/>
      </c>
      <c r="AD4916" s="162"/>
      <c r="AE4916" s="199" t="str">
        <f t="shared" si="1512"/>
        <v/>
      </c>
      <c r="AF4916" s="199" t="str">
        <f>IF(AND(COUNTIFS($J$18:J4916,J4916)=1,AE4916=1),1,"")</f>
        <v/>
      </c>
      <c r="AG4916" s="199" t="str">
        <f>IF(C4916="","",IF(AND(COUNTIFS($J$18:J4916,J4916)=1,C4916&lt;&gt;""),1,""))</f>
        <v/>
      </c>
      <c r="AH4916" s="199" t="str">
        <f>IF(G4916="","",IF(AND(COUNTIFS($J$18:J4916,J4916)=1,G4916&lt;&gt;""),1,""))</f>
        <v/>
      </c>
      <c r="AI4916" s="200">
        <f t="shared" si="1513"/>
        <v>0</v>
      </c>
      <c r="AJ4916" s="200">
        <f t="shared" si="1514"/>
        <v>0</v>
      </c>
      <c r="AK4916" s="201" t="str">
        <f t="shared" si="1515"/>
        <v/>
      </c>
      <c r="AL4916" s="24"/>
      <c r="AM4916" s="24"/>
      <c r="AN4916" s="24"/>
      <c r="AO4916" s="24"/>
      <c r="AP4916" s="165" t="str">
        <f t="shared" si="1516"/>
        <v/>
      </c>
      <c r="AQ4916" s="203" t="str">
        <f t="shared" si="1517"/>
        <v/>
      </c>
      <c r="AR4916" s="206">
        <f t="shared" si="1518"/>
        <v>0</v>
      </c>
      <c r="AS4916" s="22" t="str">
        <f t="shared" si="1519"/>
        <v/>
      </c>
      <c r="AT4916" s="24" t="str">
        <f t="shared" si="1520"/>
        <v/>
      </c>
      <c r="AU4916" s="22" t="s">
        <v>3240</v>
      </c>
    </row>
    <row r="4917" spans="1:47">
      <c r="A4917" s="246" t="str">
        <f t="shared" si="1508"/>
        <v/>
      </c>
      <c r="B4917" s="23"/>
      <c r="C4917" s="23"/>
      <c r="D4917" s="202" t="str">
        <f t="shared" si="1509"/>
        <v/>
      </c>
      <c r="E4917" s="33" t="str">
        <f t="shared" si="1503"/>
        <v/>
      </c>
      <c r="F4917" s="23"/>
      <c r="G4917" s="23"/>
      <c r="H4917" s="29"/>
      <c r="I4917" s="204" t="str">
        <f t="shared" si="1506"/>
        <v/>
      </c>
      <c r="J4917" s="188"/>
      <c r="K4917" s="29"/>
      <c r="L4917" s="24"/>
      <c r="M4917" s="22"/>
      <c r="N4917" s="22"/>
      <c r="O4917" s="22"/>
      <c r="P4917" s="202" t="str">
        <f t="shared" si="1507"/>
        <v/>
      </c>
      <c r="Q4917" s="22"/>
      <c r="R4917" s="22"/>
      <c r="S4917" s="22"/>
      <c r="T4917" s="22"/>
      <c r="U4917" s="22"/>
      <c r="V4917" s="22"/>
      <c r="W4917" s="22"/>
      <c r="X4917" s="104"/>
      <c r="Y4917" s="195" t="str">
        <f t="shared" si="1504"/>
        <v/>
      </c>
      <c r="Z4917" s="196" t="str">
        <f t="shared" si="1505"/>
        <v/>
      </c>
      <c r="AA4917" s="22"/>
      <c r="AB4917" s="197" t="str">
        <f t="shared" si="1510"/>
        <v/>
      </c>
      <c r="AC4917" s="198" t="str">
        <f t="shared" si="1511"/>
        <v/>
      </c>
      <c r="AD4917" s="162"/>
      <c r="AE4917" s="199" t="str">
        <f t="shared" si="1512"/>
        <v/>
      </c>
      <c r="AF4917" s="199" t="str">
        <f>IF(AND(COUNTIFS($J$18:J4917,J4917)=1,AE4917=1),1,"")</f>
        <v/>
      </c>
      <c r="AG4917" s="199" t="str">
        <f>IF(C4917="","",IF(AND(COUNTIFS($J$18:J4917,J4917)=1,C4917&lt;&gt;""),1,""))</f>
        <v/>
      </c>
      <c r="AH4917" s="199" t="str">
        <f>IF(G4917="","",IF(AND(COUNTIFS($J$18:J4917,J4917)=1,G4917&lt;&gt;""),1,""))</f>
        <v/>
      </c>
      <c r="AI4917" s="200">
        <f t="shared" si="1513"/>
        <v>0</v>
      </c>
      <c r="AJ4917" s="200">
        <f t="shared" si="1514"/>
        <v>0</v>
      </c>
      <c r="AK4917" s="201" t="str">
        <f t="shared" si="1515"/>
        <v/>
      </c>
      <c r="AL4917" s="24"/>
      <c r="AM4917" s="24"/>
      <c r="AN4917" s="24"/>
      <c r="AO4917" s="24"/>
      <c r="AP4917" s="165" t="str">
        <f t="shared" si="1516"/>
        <v/>
      </c>
      <c r="AQ4917" s="203" t="str">
        <f t="shared" si="1517"/>
        <v/>
      </c>
      <c r="AR4917" s="206">
        <f t="shared" si="1518"/>
        <v>0</v>
      </c>
      <c r="AS4917" s="22" t="str">
        <f t="shared" si="1519"/>
        <v/>
      </c>
      <c r="AT4917" s="24" t="str">
        <f t="shared" si="1520"/>
        <v/>
      </c>
      <c r="AU4917" s="22" t="s">
        <v>3240</v>
      </c>
    </row>
    <row r="4918" spans="1:47">
      <c r="A4918" s="246" t="str">
        <f t="shared" si="1508"/>
        <v/>
      </c>
      <c r="B4918" s="23"/>
      <c r="C4918" s="23"/>
      <c r="D4918" s="202" t="str">
        <f t="shared" si="1509"/>
        <v/>
      </c>
      <c r="E4918" s="33" t="str">
        <f t="shared" si="1503"/>
        <v/>
      </c>
      <c r="F4918" s="23"/>
      <c r="G4918" s="23"/>
      <c r="H4918" s="29"/>
      <c r="I4918" s="204" t="str">
        <f t="shared" si="1506"/>
        <v/>
      </c>
      <c r="J4918" s="188"/>
      <c r="K4918" s="29"/>
      <c r="L4918" s="24"/>
      <c r="M4918" s="22"/>
      <c r="N4918" s="22"/>
      <c r="O4918" s="22"/>
      <c r="P4918" s="202" t="str">
        <f t="shared" si="1507"/>
        <v/>
      </c>
      <c r="Q4918" s="22"/>
      <c r="R4918" s="22"/>
      <c r="S4918" s="22"/>
      <c r="T4918" s="22"/>
      <c r="U4918" s="22"/>
      <c r="V4918" s="22"/>
      <c r="W4918" s="22"/>
      <c r="X4918" s="104"/>
      <c r="Y4918" s="195" t="str">
        <f t="shared" si="1504"/>
        <v/>
      </c>
      <c r="Z4918" s="196" t="str">
        <f t="shared" si="1505"/>
        <v/>
      </c>
      <c r="AA4918" s="22"/>
      <c r="AB4918" s="197" t="str">
        <f t="shared" si="1510"/>
        <v/>
      </c>
      <c r="AC4918" s="198" t="str">
        <f t="shared" si="1511"/>
        <v/>
      </c>
      <c r="AD4918" s="162"/>
      <c r="AE4918" s="199" t="str">
        <f t="shared" si="1512"/>
        <v/>
      </c>
      <c r="AF4918" s="199" t="str">
        <f>IF(AND(COUNTIFS($J$18:J4918,J4918)=1,AE4918=1),1,"")</f>
        <v/>
      </c>
      <c r="AG4918" s="199" t="str">
        <f>IF(C4918="","",IF(AND(COUNTIFS($J$18:J4918,J4918)=1,C4918&lt;&gt;""),1,""))</f>
        <v/>
      </c>
      <c r="AH4918" s="199" t="str">
        <f>IF(G4918="","",IF(AND(COUNTIFS($J$18:J4918,J4918)=1,G4918&lt;&gt;""),1,""))</f>
        <v/>
      </c>
      <c r="AI4918" s="200">
        <f t="shared" si="1513"/>
        <v>0</v>
      </c>
      <c r="AJ4918" s="200">
        <f t="shared" si="1514"/>
        <v>0</v>
      </c>
      <c r="AK4918" s="201" t="str">
        <f t="shared" si="1515"/>
        <v/>
      </c>
      <c r="AL4918" s="24"/>
      <c r="AM4918" s="24"/>
      <c r="AN4918" s="24"/>
      <c r="AO4918" s="24"/>
      <c r="AP4918" s="165" t="str">
        <f t="shared" si="1516"/>
        <v/>
      </c>
      <c r="AQ4918" s="203" t="str">
        <f t="shared" si="1517"/>
        <v/>
      </c>
      <c r="AR4918" s="206">
        <f t="shared" si="1518"/>
        <v>0</v>
      </c>
      <c r="AS4918" s="22" t="str">
        <f t="shared" si="1519"/>
        <v/>
      </c>
      <c r="AT4918" s="24" t="str">
        <f t="shared" si="1520"/>
        <v/>
      </c>
      <c r="AU4918" s="22" t="s">
        <v>3240</v>
      </c>
    </row>
    <row r="4919" spans="1:47">
      <c r="A4919" s="246" t="str">
        <f t="shared" si="1508"/>
        <v/>
      </c>
      <c r="B4919" s="23"/>
      <c r="C4919" s="23"/>
      <c r="D4919" s="202" t="str">
        <f t="shared" si="1509"/>
        <v/>
      </c>
      <c r="E4919" s="33" t="str">
        <f t="shared" si="1503"/>
        <v/>
      </c>
      <c r="F4919" s="23"/>
      <c r="G4919" s="23"/>
      <c r="H4919" s="29"/>
      <c r="I4919" s="204" t="str">
        <f t="shared" si="1506"/>
        <v/>
      </c>
      <c r="J4919" s="188"/>
      <c r="K4919" s="29"/>
      <c r="L4919" s="24"/>
      <c r="M4919" s="22"/>
      <c r="N4919" s="22"/>
      <c r="O4919" s="22"/>
      <c r="P4919" s="202" t="str">
        <f t="shared" si="1507"/>
        <v/>
      </c>
      <c r="Q4919" s="22"/>
      <c r="R4919" s="22"/>
      <c r="S4919" s="22"/>
      <c r="T4919" s="22"/>
      <c r="U4919" s="22"/>
      <c r="V4919" s="22"/>
      <c r="W4919" s="22"/>
      <c r="X4919" s="104"/>
      <c r="Y4919" s="195" t="str">
        <f t="shared" si="1504"/>
        <v/>
      </c>
      <c r="Z4919" s="196" t="str">
        <f t="shared" si="1505"/>
        <v/>
      </c>
      <c r="AA4919" s="22"/>
      <c r="AB4919" s="197" t="str">
        <f t="shared" si="1510"/>
        <v/>
      </c>
      <c r="AC4919" s="198" t="str">
        <f t="shared" si="1511"/>
        <v/>
      </c>
      <c r="AD4919" s="162"/>
      <c r="AE4919" s="199" t="str">
        <f t="shared" si="1512"/>
        <v/>
      </c>
      <c r="AF4919" s="199" t="str">
        <f>IF(AND(COUNTIFS($J$18:J4919,J4919)=1,AE4919=1),1,"")</f>
        <v/>
      </c>
      <c r="AG4919" s="199" t="str">
        <f>IF(C4919="","",IF(AND(COUNTIFS($J$18:J4919,J4919)=1,C4919&lt;&gt;""),1,""))</f>
        <v/>
      </c>
      <c r="AH4919" s="199" t="str">
        <f>IF(G4919="","",IF(AND(COUNTIFS($J$18:J4919,J4919)=1,G4919&lt;&gt;""),1,""))</f>
        <v/>
      </c>
      <c r="AI4919" s="200">
        <f t="shared" si="1513"/>
        <v>0</v>
      </c>
      <c r="AJ4919" s="200">
        <f t="shared" si="1514"/>
        <v>0</v>
      </c>
      <c r="AK4919" s="201" t="str">
        <f t="shared" si="1515"/>
        <v/>
      </c>
      <c r="AL4919" s="24"/>
      <c r="AM4919" s="24"/>
      <c r="AN4919" s="24"/>
      <c r="AO4919" s="24"/>
      <c r="AP4919" s="165" t="str">
        <f t="shared" si="1516"/>
        <v/>
      </c>
      <c r="AQ4919" s="203" t="str">
        <f t="shared" si="1517"/>
        <v/>
      </c>
      <c r="AR4919" s="206">
        <f t="shared" si="1518"/>
        <v>0</v>
      </c>
      <c r="AS4919" s="22" t="str">
        <f t="shared" si="1519"/>
        <v/>
      </c>
      <c r="AT4919" s="24" t="str">
        <f t="shared" si="1520"/>
        <v/>
      </c>
      <c r="AU4919" s="22" t="s">
        <v>3240</v>
      </c>
    </row>
    <row r="4920" spans="1:47">
      <c r="A4920" s="246" t="str">
        <f t="shared" si="1508"/>
        <v/>
      </c>
      <c r="B4920" s="23"/>
      <c r="C4920" s="23"/>
      <c r="D4920" s="202" t="str">
        <f t="shared" si="1509"/>
        <v/>
      </c>
      <c r="E4920" s="33" t="str">
        <f t="shared" si="1503"/>
        <v/>
      </c>
      <c r="F4920" s="23"/>
      <c r="G4920" s="23"/>
      <c r="H4920" s="29"/>
      <c r="I4920" s="204" t="str">
        <f t="shared" si="1506"/>
        <v/>
      </c>
      <c r="J4920" s="188"/>
      <c r="K4920" s="29"/>
      <c r="L4920" s="24"/>
      <c r="M4920" s="22"/>
      <c r="N4920" s="22"/>
      <c r="O4920" s="22"/>
      <c r="P4920" s="202" t="str">
        <f t="shared" si="1507"/>
        <v/>
      </c>
      <c r="Q4920" s="22"/>
      <c r="R4920" s="22"/>
      <c r="S4920" s="22"/>
      <c r="T4920" s="22"/>
      <c r="U4920" s="22"/>
      <c r="V4920" s="22"/>
      <c r="W4920" s="22"/>
      <c r="X4920" s="104"/>
      <c r="Y4920" s="195" t="str">
        <f t="shared" si="1504"/>
        <v/>
      </c>
      <c r="Z4920" s="196" t="str">
        <f t="shared" si="1505"/>
        <v/>
      </c>
      <c r="AA4920" s="22"/>
      <c r="AB4920" s="197" t="str">
        <f t="shared" si="1510"/>
        <v/>
      </c>
      <c r="AC4920" s="198" t="str">
        <f t="shared" si="1511"/>
        <v/>
      </c>
      <c r="AD4920" s="162"/>
      <c r="AE4920" s="199" t="str">
        <f t="shared" si="1512"/>
        <v/>
      </c>
      <c r="AF4920" s="199" t="str">
        <f>IF(AND(COUNTIFS($J$18:J4920,J4920)=1,AE4920=1),1,"")</f>
        <v/>
      </c>
      <c r="AG4920" s="199" t="str">
        <f>IF(C4920="","",IF(AND(COUNTIFS($J$18:J4920,J4920)=1,C4920&lt;&gt;""),1,""))</f>
        <v/>
      </c>
      <c r="AH4920" s="199" t="str">
        <f>IF(G4920="","",IF(AND(COUNTIFS($J$18:J4920,J4920)=1,G4920&lt;&gt;""),1,""))</f>
        <v/>
      </c>
      <c r="AI4920" s="200">
        <f t="shared" si="1513"/>
        <v>0</v>
      </c>
      <c r="AJ4920" s="200">
        <f t="shared" si="1514"/>
        <v>0</v>
      </c>
      <c r="AK4920" s="201" t="str">
        <f t="shared" si="1515"/>
        <v/>
      </c>
      <c r="AL4920" s="24"/>
      <c r="AM4920" s="24"/>
      <c r="AN4920" s="24"/>
      <c r="AO4920" s="24"/>
      <c r="AP4920" s="165" t="str">
        <f t="shared" si="1516"/>
        <v/>
      </c>
      <c r="AQ4920" s="203" t="str">
        <f t="shared" si="1517"/>
        <v/>
      </c>
      <c r="AR4920" s="206">
        <f t="shared" si="1518"/>
        <v>0</v>
      </c>
      <c r="AS4920" s="22" t="str">
        <f t="shared" si="1519"/>
        <v/>
      </c>
      <c r="AT4920" s="24" t="str">
        <f t="shared" si="1520"/>
        <v/>
      </c>
      <c r="AU4920" s="22" t="s">
        <v>3240</v>
      </c>
    </row>
    <row r="4921" spans="1:47">
      <c r="A4921" s="246" t="str">
        <f t="shared" si="1508"/>
        <v/>
      </c>
      <c r="B4921" s="23"/>
      <c r="C4921" s="23"/>
      <c r="D4921" s="202" t="str">
        <f t="shared" si="1509"/>
        <v/>
      </c>
      <c r="E4921" s="33" t="str">
        <f t="shared" si="1503"/>
        <v/>
      </c>
      <c r="F4921" s="23"/>
      <c r="G4921" s="23"/>
      <c r="H4921" s="29"/>
      <c r="I4921" s="204" t="str">
        <f t="shared" si="1506"/>
        <v/>
      </c>
      <c r="J4921" s="188"/>
      <c r="K4921" s="29"/>
      <c r="L4921" s="24"/>
      <c r="M4921" s="22"/>
      <c r="N4921" s="22"/>
      <c r="O4921" s="22"/>
      <c r="P4921" s="202" t="str">
        <f t="shared" si="1507"/>
        <v/>
      </c>
      <c r="Q4921" s="22"/>
      <c r="R4921" s="22"/>
      <c r="S4921" s="22"/>
      <c r="T4921" s="22"/>
      <c r="U4921" s="22"/>
      <c r="V4921" s="22"/>
      <c r="W4921" s="22"/>
      <c r="X4921" s="104"/>
      <c r="Y4921" s="195" t="str">
        <f t="shared" si="1504"/>
        <v/>
      </c>
      <c r="Z4921" s="196" t="str">
        <f t="shared" si="1505"/>
        <v/>
      </c>
      <c r="AA4921" s="22"/>
      <c r="AB4921" s="197" t="str">
        <f t="shared" si="1510"/>
        <v/>
      </c>
      <c r="AC4921" s="198" t="str">
        <f t="shared" si="1511"/>
        <v/>
      </c>
      <c r="AD4921" s="162"/>
      <c r="AE4921" s="199" t="str">
        <f t="shared" si="1512"/>
        <v/>
      </c>
      <c r="AF4921" s="199" t="str">
        <f>IF(AND(COUNTIFS($J$18:J4921,J4921)=1,AE4921=1),1,"")</f>
        <v/>
      </c>
      <c r="AG4921" s="199" t="str">
        <f>IF(C4921="","",IF(AND(COUNTIFS($J$18:J4921,J4921)=1,C4921&lt;&gt;""),1,""))</f>
        <v/>
      </c>
      <c r="AH4921" s="199" t="str">
        <f>IF(G4921="","",IF(AND(COUNTIFS($J$18:J4921,J4921)=1,G4921&lt;&gt;""),1,""))</f>
        <v/>
      </c>
      <c r="AI4921" s="200">
        <f t="shared" si="1513"/>
        <v>0</v>
      </c>
      <c r="AJ4921" s="200">
        <f t="shared" si="1514"/>
        <v>0</v>
      </c>
      <c r="AK4921" s="201" t="str">
        <f t="shared" si="1515"/>
        <v/>
      </c>
      <c r="AL4921" s="24"/>
      <c r="AM4921" s="24"/>
      <c r="AN4921" s="24"/>
      <c r="AO4921" s="24"/>
      <c r="AP4921" s="165" t="str">
        <f t="shared" si="1516"/>
        <v/>
      </c>
      <c r="AQ4921" s="203" t="str">
        <f t="shared" si="1517"/>
        <v/>
      </c>
      <c r="AR4921" s="206">
        <f t="shared" si="1518"/>
        <v>0</v>
      </c>
      <c r="AS4921" s="22" t="str">
        <f t="shared" si="1519"/>
        <v/>
      </c>
      <c r="AT4921" s="24" t="str">
        <f t="shared" si="1520"/>
        <v/>
      </c>
      <c r="AU4921" s="22" t="s">
        <v>3240</v>
      </c>
    </row>
    <row r="4922" spans="1:47">
      <c r="A4922" s="246" t="str">
        <f t="shared" si="1508"/>
        <v/>
      </c>
      <c r="B4922" s="23"/>
      <c r="C4922" s="23"/>
      <c r="D4922" s="202" t="str">
        <f t="shared" si="1509"/>
        <v/>
      </c>
      <c r="E4922" s="33" t="str">
        <f t="shared" si="1503"/>
        <v/>
      </c>
      <c r="F4922" s="23"/>
      <c r="G4922" s="23"/>
      <c r="H4922" s="29"/>
      <c r="I4922" s="204" t="str">
        <f t="shared" si="1506"/>
        <v/>
      </c>
      <c r="J4922" s="188"/>
      <c r="K4922" s="29"/>
      <c r="L4922" s="24"/>
      <c r="M4922" s="22"/>
      <c r="N4922" s="22"/>
      <c r="O4922" s="22"/>
      <c r="P4922" s="202" t="str">
        <f t="shared" si="1507"/>
        <v/>
      </c>
      <c r="Q4922" s="22"/>
      <c r="R4922" s="22"/>
      <c r="S4922" s="22"/>
      <c r="T4922" s="22"/>
      <c r="U4922" s="22"/>
      <c r="V4922" s="22"/>
      <c r="W4922" s="22"/>
      <c r="X4922" s="104"/>
      <c r="Y4922" s="195" t="str">
        <f t="shared" si="1504"/>
        <v/>
      </c>
      <c r="Z4922" s="196" t="str">
        <f t="shared" si="1505"/>
        <v/>
      </c>
      <c r="AA4922" s="22"/>
      <c r="AB4922" s="197" t="str">
        <f t="shared" si="1510"/>
        <v/>
      </c>
      <c r="AC4922" s="198" t="str">
        <f t="shared" si="1511"/>
        <v/>
      </c>
      <c r="AD4922" s="162"/>
      <c r="AE4922" s="199" t="str">
        <f t="shared" si="1512"/>
        <v/>
      </c>
      <c r="AF4922" s="199" t="str">
        <f>IF(AND(COUNTIFS($J$18:J4922,J4922)=1,AE4922=1),1,"")</f>
        <v/>
      </c>
      <c r="AG4922" s="199" t="str">
        <f>IF(C4922="","",IF(AND(COUNTIFS($J$18:J4922,J4922)=1,C4922&lt;&gt;""),1,""))</f>
        <v/>
      </c>
      <c r="AH4922" s="199" t="str">
        <f>IF(G4922="","",IF(AND(COUNTIFS($J$18:J4922,J4922)=1,G4922&lt;&gt;""),1,""))</f>
        <v/>
      </c>
      <c r="AI4922" s="200">
        <f t="shared" si="1513"/>
        <v>0</v>
      </c>
      <c r="AJ4922" s="200">
        <f t="shared" si="1514"/>
        <v>0</v>
      </c>
      <c r="AK4922" s="201" t="str">
        <f t="shared" si="1515"/>
        <v/>
      </c>
      <c r="AL4922" s="24"/>
      <c r="AM4922" s="24"/>
      <c r="AN4922" s="24"/>
      <c r="AO4922" s="24"/>
      <c r="AP4922" s="165" t="str">
        <f t="shared" si="1516"/>
        <v/>
      </c>
      <c r="AQ4922" s="203" t="str">
        <f t="shared" si="1517"/>
        <v/>
      </c>
      <c r="AR4922" s="206">
        <f t="shared" si="1518"/>
        <v>0</v>
      </c>
      <c r="AS4922" s="22" t="str">
        <f t="shared" si="1519"/>
        <v/>
      </c>
      <c r="AT4922" s="24" t="str">
        <f t="shared" si="1520"/>
        <v/>
      </c>
      <c r="AU4922" s="22" t="s">
        <v>3240</v>
      </c>
    </row>
    <row r="4923" spans="1:47">
      <c r="A4923" s="246" t="str">
        <f t="shared" si="1508"/>
        <v/>
      </c>
      <c r="B4923" s="23"/>
      <c r="C4923" s="23"/>
      <c r="D4923" s="202" t="str">
        <f t="shared" si="1509"/>
        <v/>
      </c>
      <c r="E4923" s="33" t="str">
        <f t="shared" si="1503"/>
        <v/>
      </c>
      <c r="F4923" s="23"/>
      <c r="G4923" s="23"/>
      <c r="H4923" s="29"/>
      <c r="I4923" s="204" t="str">
        <f t="shared" si="1506"/>
        <v/>
      </c>
      <c r="J4923" s="188"/>
      <c r="K4923" s="29"/>
      <c r="L4923" s="24"/>
      <c r="M4923" s="22"/>
      <c r="N4923" s="22"/>
      <c r="O4923" s="22"/>
      <c r="P4923" s="202" t="str">
        <f t="shared" si="1507"/>
        <v/>
      </c>
      <c r="Q4923" s="22"/>
      <c r="R4923" s="22"/>
      <c r="S4923" s="22"/>
      <c r="T4923" s="22"/>
      <c r="U4923" s="22"/>
      <c r="V4923" s="22"/>
      <c r="W4923" s="22"/>
      <c r="X4923" s="104"/>
      <c r="Y4923" s="195" t="str">
        <f t="shared" si="1504"/>
        <v/>
      </c>
      <c r="Z4923" s="196" t="str">
        <f t="shared" si="1505"/>
        <v/>
      </c>
      <c r="AA4923" s="22"/>
      <c r="AB4923" s="197" t="str">
        <f t="shared" si="1510"/>
        <v/>
      </c>
      <c r="AC4923" s="198" t="str">
        <f t="shared" si="1511"/>
        <v/>
      </c>
      <c r="AD4923" s="162"/>
      <c r="AE4923" s="199" t="str">
        <f t="shared" si="1512"/>
        <v/>
      </c>
      <c r="AF4923" s="199" t="str">
        <f>IF(AND(COUNTIFS($J$18:J4923,J4923)=1,AE4923=1),1,"")</f>
        <v/>
      </c>
      <c r="AG4923" s="199" t="str">
        <f>IF(C4923="","",IF(AND(COUNTIFS($J$18:J4923,J4923)=1,C4923&lt;&gt;""),1,""))</f>
        <v/>
      </c>
      <c r="AH4923" s="199" t="str">
        <f>IF(G4923="","",IF(AND(COUNTIFS($J$18:J4923,J4923)=1,G4923&lt;&gt;""),1,""))</f>
        <v/>
      </c>
      <c r="AI4923" s="200">
        <f t="shared" si="1513"/>
        <v>0</v>
      </c>
      <c r="AJ4923" s="200">
        <f t="shared" si="1514"/>
        <v>0</v>
      </c>
      <c r="AK4923" s="201" t="str">
        <f t="shared" si="1515"/>
        <v/>
      </c>
      <c r="AL4923" s="24"/>
      <c r="AM4923" s="24"/>
      <c r="AN4923" s="24"/>
      <c r="AO4923" s="24"/>
      <c r="AP4923" s="165" t="str">
        <f t="shared" si="1516"/>
        <v/>
      </c>
      <c r="AQ4923" s="203" t="str">
        <f t="shared" si="1517"/>
        <v/>
      </c>
      <c r="AR4923" s="206">
        <f t="shared" si="1518"/>
        <v>0</v>
      </c>
      <c r="AS4923" s="22" t="str">
        <f t="shared" si="1519"/>
        <v/>
      </c>
      <c r="AT4923" s="24" t="str">
        <f t="shared" si="1520"/>
        <v/>
      </c>
      <c r="AU4923" s="22" t="s">
        <v>3240</v>
      </c>
    </row>
    <row r="4924" spans="1:47">
      <c r="A4924" s="246" t="str">
        <f t="shared" si="1508"/>
        <v/>
      </c>
      <c r="B4924" s="23"/>
      <c r="C4924" s="23"/>
      <c r="D4924" s="202" t="str">
        <f t="shared" si="1509"/>
        <v/>
      </c>
      <c r="E4924" s="33" t="str">
        <f t="shared" si="1503"/>
        <v/>
      </c>
      <c r="F4924" s="23"/>
      <c r="G4924" s="23"/>
      <c r="H4924" s="29"/>
      <c r="I4924" s="204" t="str">
        <f t="shared" si="1506"/>
        <v/>
      </c>
      <c r="J4924" s="188"/>
      <c r="K4924" s="29"/>
      <c r="L4924" s="24"/>
      <c r="M4924" s="22"/>
      <c r="N4924" s="22"/>
      <c r="O4924" s="22"/>
      <c r="P4924" s="202" t="str">
        <f t="shared" si="1507"/>
        <v/>
      </c>
      <c r="Q4924" s="22"/>
      <c r="R4924" s="22"/>
      <c r="S4924" s="22"/>
      <c r="T4924" s="22"/>
      <c r="U4924" s="22"/>
      <c r="V4924" s="22"/>
      <c r="W4924" s="22"/>
      <c r="X4924" s="104"/>
      <c r="Y4924" s="195" t="str">
        <f t="shared" si="1504"/>
        <v/>
      </c>
      <c r="Z4924" s="196" t="str">
        <f t="shared" si="1505"/>
        <v/>
      </c>
      <c r="AA4924" s="22"/>
      <c r="AB4924" s="197" t="str">
        <f t="shared" si="1510"/>
        <v/>
      </c>
      <c r="AC4924" s="198" t="str">
        <f t="shared" si="1511"/>
        <v/>
      </c>
      <c r="AD4924" s="162"/>
      <c r="AE4924" s="199" t="str">
        <f t="shared" si="1512"/>
        <v/>
      </c>
      <c r="AF4924" s="199" t="str">
        <f>IF(AND(COUNTIFS($J$18:J4924,J4924)=1,AE4924=1),1,"")</f>
        <v/>
      </c>
      <c r="AG4924" s="199" t="str">
        <f>IF(C4924="","",IF(AND(COUNTIFS($J$18:J4924,J4924)=1,C4924&lt;&gt;""),1,""))</f>
        <v/>
      </c>
      <c r="AH4924" s="199" t="str">
        <f>IF(G4924="","",IF(AND(COUNTIFS($J$18:J4924,J4924)=1,G4924&lt;&gt;""),1,""))</f>
        <v/>
      </c>
      <c r="AI4924" s="200">
        <f t="shared" si="1513"/>
        <v>0</v>
      </c>
      <c r="AJ4924" s="200">
        <f t="shared" si="1514"/>
        <v>0</v>
      </c>
      <c r="AK4924" s="201" t="str">
        <f t="shared" si="1515"/>
        <v/>
      </c>
      <c r="AL4924" s="24"/>
      <c r="AM4924" s="24"/>
      <c r="AN4924" s="24"/>
      <c r="AO4924" s="24"/>
      <c r="AP4924" s="165" t="str">
        <f t="shared" si="1516"/>
        <v/>
      </c>
      <c r="AQ4924" s="203" t="str">
        <f t="shared" si="1517"/>
        <v/>
      </c>
      <c r="AR4924" s="206">
        <f t="shared" si="1518"/>
        <v>0</v>
      </c>
      <c r="AS4924" s="22" t="str">
        <f t="shared" si="1519"/>
        <v/>
      </c>
      <c r="AT4924" s="24" t="str">
        <f t="shared" si="1520"/>
        <v/>
      </c>
      <c r="AU4924" s="22" t="s">
        <v>3240</v>
      </c>
    </row>
    <row r="4925" spans="1:47">
      <c r="A4925" s="246" t="str">
        <f t="shared" si="1508"/>
        <v/>
      </c>
      <c r="B4925" s="23"/>
      <c r="C4925" s="23"/>
      <c r="D4925" s="202" t="str">
        <f t="shared" si="1509"/>
        <v/>
      </c>
      <c r="E4925" s="33" t="str">
        <f t="shared" si="1503"/>
        <v/>
      </c>
      <c r="F4925" s="23"/>
      <c r="G4925" s="23"/>
      <c r="H4925" s="29"/>
      <c r="I4925" s="204" t="str">
        <f t="shared" si="1506"/>
        <v/>
      </c>
      <c r="J4925" s="188"/>
      <c r="K4925" s="29"/>
      <c r="L4925" s="24"/>
      <c r="M4925" s="22"/>
      <c r="N4925" s="22"/>
      <c r="O4925" s="22"/>
      <c r="P4925" s="202" t="str">
        <f t="shared" si="1507"/>
        <v/>
      </c>
      <c r="Q4925" s="22"/>
      <c r="R4925" s="22"/>
      <c r="S4925" s="22"/>
      <c r="T4925" s="22"/>
      <c r="U4925" s="22"/>
      <c r="V4925" s="22"/>
      <c r="W4925" s="22"/>
      <c r="X4925" s="104"/>
      <c r="Y4925" s="195" t="str">
        <f t="shared" si="1504"/>
        <v/>
      </c>
      <c r="Z4925" s="196" t="str">
        <f t="shared" si="1505"/>
        <v/>
      </c>
      <c r="AA4925" s="22"/>
      <c r="AB4925" s="197" t="str">
        <f t="shared" si="1510"/>
        <v/>
      </c>
      <c r="AC4925" s="198" t="str">
        <f t="shared" si="1511"/>
        <v/>
      </c>
      <c r="AD4925" s="162"/>
      <c r="AE4925" s="199" t="str">
        <f t="shared" si="1512"/>
        <v/>
      </c>
      <c r="AF4925" s="199" t="str">
        <f>IF(AND(COUNTIFS($J$18:J4925,J4925)=1,AE4925=1),1,"")</f>
        <v/>
      </c>
      <c r="AG4925" s="199" t="str">
        <f>IF(C4925="","",IF(AND(COUNTIFS($J$18:J4925,J4925)=1,C4925&lt;&gt;""),1,""))</f>
        <v/>
      </c>
      <c r="AH4925" s="199" t="str">
        <f>IF(G4925="","",IF(AND(COUNTIFS($J$18:J4925,J4925)=1,G4925&lt;&gt;""),1,""))</f>
        <v/>
      </c>
      <c r="AI4925" s="200">
        <f t="shared" si="1513"/>
        <v>0</v>
      </c>
      <c r="AJ4925" s="200">
        <f t="shared" si="1514"/>
        <v>0</v>
      </c>
      <c r="AK4925" s="201" t="str">
        <f t="shared" si="1515"/>
        <v/>
      </c>
      <c r="AL4925" s="24"/>
      <c r="AM4925" s="24"/>
      <c r="AN4925" s="24"/>
      <c r="AO4925" s="24"/>
      <c r="AP4925" s="165" t="str">
        <f t="shared" si="1516"/>
        <v/>
      </c>
      <c r="AQ4925" s="203" t="str">
        <f t="shared" si="1517"/>
        <v/>
      </c>
      <c r="AR4925" s="206">
        <f t="shared" si="1518"/>
        <v>0</v>
      </c>
      <c r="AS4925" s="22" t="str">
        <f t="shared" si="1519"/>
        <v/>
      </c>
      <c r="AT4925" s="24" t="str">
        <f t="shared" si="1520"/>
        <v/>
      </c>
      <c r="AU4925" s="22" t="s">
        <v>3240</v>
      </c>
    </row>
    <row r="4926" spans="1:47">
      <c r="A4926" s="246" t="str">
        <f t="shared" si="1508"/>
        <v/>
      </c>
      <c r="B4926" s="23"/>
      <c r="C4926" s="23"/>
      <c r="D4926" s="202" t="str">
        <f t="shared" si="1509"/>
        <v/>
      </c>
      <c r="E4926" s="33" t="str">
        <f t="shared" si="1503"/>
        <v/>
      </c>
      <c r="F4926" s="23"/>
      <c r="G4926" s="23"/>
      <c r="H4926" s="29"/>
      <c r="I4926" s="204" t="str">
        <f t="shared" si="1506"/>
        <v/>
      </c>
      <c r="J4926" s="188"/>
      <c r="K4926" s="29"/>
      <c r="L4926" s="24"/>
      <c r="M4926" s="22"/>
      <c r="N4926" s="22"/>
      <c r="O4926" s="22"/>
      <c r="P4926" s="202" t="str">
        <f t="shared" si="1507"/>
        <v/>
      </c>
      <c r="Q4926" s="22"/>
      <c r="R4926" s="22"/>
      <c r="S4926" s="22"/>
      <c r="T4926" s="22"/>
      <c r="U4926" s="22"/>
      <c r="V4926" s="22"/>
      <c r="W4926" s="22"/>
      <c r="X4926" s="104"/>
      <c r="Y4926" s="195" t="str">
        <f t="shared" si="1504"/>
        <v/>
      </c>
      <c r="Z4926" s="196" t="str">
        <f t="shared" si="1505"/>
        <v/>
      </c>
      <c r="AA4926" s="22"/>
      <c r="AB4926" s="197" t="str">
        <f t="shared" si="1510"/>
        <v/>
      </c>
      <c r="AC4926" s="198" t="str">
        <f t="shared" si="1511"/>
        <v/>
      </c>
      <c r="AD4926" s="162"/>
      <c r="AE4926" s="199" t="str">
        <f t="shared" si="1512"/>
        <v/>
      </c>
      <c r="AF4926" s="199" t="str">
        <f>IF(AND(COUNTIFS($J$18:J4926,J4926)=1,AE4926=1),1,"")</f>
        <v/>
      </c>
      <c r="AG4926" s="199" t="str">
        <f>IF(C4926="","",IF(AND(COUNTIFS($J$18:J4926,J4926)=1,C4926&lt;&gt;""),1,""))</f>
        <v/>
      </c>
      <c r="AH4926" s="199" t="str">
        <f>IF(G4926="","",IF(AND(COUNTIFS($J$18:J4926,J4926)=1,G4926&lt;&gt;""),1,""))</f>
        <v/>
      </c>
      <c r="AI4926" s="200">
        <f t="shared" si="1513"/>
        <v>0</v>
      </c>
      <c r="AJ4926" s="200">
        <f t="shared" si="1514"/>
        <v>0</v>
      </c>
      <c r="AK4926" s="201" t="str">
        <f t="shared" si="1515"/>
        <v/>
      </c>
      <c r="AL4926" s="24"/>
      <c r="AM4926" s="24"/>
      <c r="AN4926" s="24"/>
      <c r="AO4926" s="24"/>
      <c r="AP4926" s="165" t="str">
        <f t="shared" si="1516"/>
        <v/>
      </c>
      <c r="AQ4926" s="203" t="str">
        <f t="shared" si="1517"/>
        <v/>
      </c>
      <c r="AR4926" s="206">
        <f t="shared" si="1518"/>
        <v>0</v>
      </c>
      <c r="AS4926" s="22" t="str">
        <f t="shared" si="1519"/>
        <v/>
      </c>
      <c r="AT4926" s="24" t="str">
        <f t="shared" si="1520"/>
        <v/>
      </c>
      <c r="AU4926" s="22" t="s">
        <v>3240</v>
      </c>
    </row>
    <row r="4927" spans="1:47">
      <c r="A4927" s="246" t="str">
        <f t="shared" si="1508"/>
        <v/>
      </c>
      <c r="B4927" s="23"/>
      <c r="C4927" s="23"/>
      <c r="D4927" s="202" t="str">
        <f t="shared" si="1509"/>
        <v/>
      </c>
      <c r="E4927" s="33" t="str">
        <f t="shared" si="1503"/>
        <v/>
      </c>
      <c r="F4927" s="23"/>
      <c r="G4927" s="23"/>
      <c r="H4927" s="29"/>
      <c r="I4927" s="204" t="str">
        <f t="shared" si="1506"/>
        <v/>
      </c>
      <c r="J4927" s="188"/>
      <c r="K4927" s="29"/>
      <c r="L4927" s="24"/>
      <c r="M4927" s="22"/>
      <c r="N4927" s="22"/>
      <c r="O4927" s="22"/>
      <c r="P4927" s="202" t="str">
        <f t="shared" si="1507"/>
        <v/>
      </c>
      <c r="Q4927" s="22"/>
      <c r="R4927" s="22"/>
      <c r="S4927" s="22"/>
      <c r="T4927" s="22"/>
      <c r="U4927" s="22"/>
      <c r="V4927" s="22"/>
      <c r="W4927" s="22"/>
      <c r="X4927" s="104"/>
      <c r="Y4927" s="195" t="str">
        <f t="shared" si="1504"/>
        <v/>
      </c>
      <c r="Z4927" s="196" t="str">
        <f t="shared" si="1505"/>
        <v/>
      </c>
      <c r="AA4927" s="22"/>
      <c r="AB4927" s="197" t="str">
        <f t="shared" si="1510"/>
        <v/>
      </c>
      <c r="AC4927" s="198" t="str">
        <f t="shared" si="1511"/>
        <v/>
      </c>
      <c r="AD4927" s="162"/>
      <c r="AE4927" s="199" t="str">
        <f t="shared" si="1512"/>
        <v/>
      </c>
      <c r="AF4927" s="199" t="str">
        <f>IF(AND(COUNTIFS($J$18:J4927,J4927)=1,AE4927=1),1,"")</f>
        <v/>
      </c>
      <c r="AG4927" s="199" t="str">
        <f>IF(C4927="","",IF(AND(COUNTIFS($J$18:J4927,J4927)=1,C4927&lt;&gt;""),1,""))</f>
        <v/>
      </c>
      <c r="AH4927" s="199" t="str">
        <f>IF(G4927="","",IF(AND(COUNTIFS($J$18:J4927,J4927)=1,G4927&lt;&gt;""),1,""))</f>
        <v/>
      </c>
      <c r="AI4927" s="200">
        <f t="shared" si="1513"/>
        <v>0</v>
      </c>
      <c r="AJ4927" s="200">
        <f t="shared" si="1514"/>
        <v>0</v>
      </c>
      <c r="AK4927" s="201" t="str">
        <f t="shared" si="1515"/>
        <v/>
      </c>
      <c r="AL4927" s="24"/>
      <c r="AM4927" s="24"/>
      <c r="AN4927" s="24"/>
      <c r="AO4927" s="24"/>
      <c r="AP4927" s="165" t="str">
        <f t="shared" si="1516"/>
        <v/>
      </c>
      <c r="AQ4927" s="203" t="str">
        <f t="shared" si="1517"/>
        <v/>
      </c>
      <c r="AR4927" s="206">
        <f t="shared" si="1518"/>
        <v>0</v>
      </c>
      <c r="AS4927" s="22" t="str">
        <f t="shared" si="1519"/>
        <v/>
      </c>
      <c r="AT4927" s="24" t="str">
        <f t="shared" si="1520"/>
        <v/>
      </c>
      <c r="AU4927" s="22" t="s">
        <v>3240</v>
      </c>
    </row>
    <row r="4928" spans="1:47">
      <c r="A4928" s="246" t="str">
        <f t="shared" si="1508"/>
        <v/>
      </c>
      <c r="B4928" s="23"/>
      <c r="C4928" s="23"/>
      <c r="D4928" s="202" t="str">
        <f t="shared" si="1509"/>
        <v/>
      </c>
      <c r="E4928" s="33" t="str">
        <f t="shared" si="1503"/>
        <v/>
      </c>
      <c r="F4928" s="23"/>
      <c r="G4928" s="23"/>
      <c r="H4928" s="29"/>
      <c r="I4928" s="204" t="str">
        <f t="shared" si="1506"/>
        <v/>
      </c>
      <c r="J4928" s="188"/>
      <c r="K4928" s="29"/>
      <c r="L4928" s="24"/>
      <c r="M4928" s="22"/>
      <c r="N4928" s="22"/>
      <c r="O4928" s="22"/>
      <c r="P4928" s="202" t="str">
        <f t="shared" si="1507"/>
        <v/>
      </c>
      <c r="Q4928" s="22"/>
      <c r="R4928" s="22"/>
      <c r="S4928" s="22"/>
      <c r="T4928" s="22"/>
      <c r="U4928" s="22"/>
      <c r="V4928" s="22"/>
      <c r="W4928" s="22"/>
      <c r="X4928" s="104"/>
      <c r="Y4928" s="195" t="str">
        <f t="shared" si="1504"/>
        <v/>
      </c>
      <c r="Z4928" s="196" t="str">
        <f t="shared" si="1505"/>
        <v/>
      </c>
      <c r="AA4928" s="22"/>
      <c r="AB4928" s="197" t="str">
        <f t="shared" si="1510"/>
        <v/>
      </c>
      <c r="AC4928" s="198" t="str">
        <f t="shared" si="1511"/>
        <v/>
      </c>
      <c r="AD4928" s="162"/>
      <c r="AE4928" s="199" t="str">
        <f t="shared" si="1512"/>
        <v/>
      </c>
      <c r="AF4928" s="199" t="str">
        <f>IF(AND(COUNTIFS($J$18:J4928,J4928)=1,AE4928=1),1,"")</f>
        <v/>
      </c>
      <c r="AG4928" s="199" t="str">
        <f>IF(C4928="","",IF(AND(COUNTIFS($J$18:J4928,J4928)=1,C4928&lt;&gt;""),1,""))</f>
        <v/>
      </c>
      <c r="AH4928" s="199" t="str">
        <f>IF(G4928="","",IF(AND(COUNTIFS($J$18:J4928,J4928)=1,G4928&lt;&gt;""),1,""))</f>
        <v/>
      </c>
      <c r="AI4928" s="200">
        <f t="shared" si="1513"/>
        <v>0</v>
      </c>
      <c r="AJ4928" s="200">
        <f t="shared" si="1514"/>
        <v>0</v>
      </c>
      <c r="AK4928" s="201" t="str">
        <f t="shared" si="1515"/>
        <v/>
      </c>
      <c r="AL4928" s="24"/>
      <c r="AM4928" s="24"/>
      <c r="AN4928" s="24"/>
      <c r="AO4928" s="24"/>
      <c r="AP4928" s="165" t="str">
        <f t="shared" si="1516"/>
        <v/>
      </c>
      <c r="AQ4928" s="203" t="str">
        <f t="shared" si="1517"/>
        <v/>
      </c>
      <c r="AR4928" s="206">
        <f t="shared" si="1518"/>
        <v>0</v>
      </c>
      <c r="AS4928" s="22" t="str">
        <f t="shared" si="1519"/>
        <v/>
      </c>
      <c r="AT4928" s="24" t="str">
        <f t="shared" si="1520"/>
        <v/>
      </c>
      <c r="AU4928" s="22" t="s">
        <v>3240</v>
      </c>
    </row>
    <row r="4929" spans="1:47">
      <c r="A4929" s="246" t="str">
        <f t="shared" si="1508"/>
        <v/>
      </c>
      <c r="B4929" s="23"/>
      <c r="C4929" s="23"/>
      <c r="D4929" s="202" t="str">
        <f t="shared" si="1509"/>
        <v/>
      </c>
      <c r="E4929" s="33" t="str">
        <f t="shared" si="1503"/>
        <v/>
      </c>
      <c r="F4929" s="23"/>
      <c r="G4929" s="23"/>
      <c r="H4929" s="29"/>
      <c r="I4929" s="204" t="str">
        <f t="shared" si="1506"/>
        <v/>
      </c>
      <c r="J4929" s="188"/>
      <c r="K4929" s="29"/>
      <c r="L4929" s="24"/>
      <c r="M4929" s="22"/>
      <c r="N4929" s="22"/>
      <c r="O4929" s="22"/>
      <c r="P4929" s="202" t="str">
        <f t="shared" si="1507"/>
        <v/>
      </c>
      <c r="Q4929" s="22"/>
      <c r="R4929" s="22"/>
      <c r="S4929" s="22"/>
      <c r="T4929" s="22"/>
      <c r="U4929" s="22"/>
      <c r="V4929" s="22"/>
      <c r="W4929" s="22"/>
      <c r="X4929" s="104"/>
      <c r="Y4929" s="195" t="str">
        <f t="shared" si="1504"/>
        <v/>
      </c>
      <c r="Z4929" s="196" t="str">
        <f t="shared" si="1505"/>
        <v/>
      </c>
      <c r="AA4929" s="22"/>
      <c r="AB4929" s="197" t="str">
        <f t="shared" si="1510"/>
        <v/>
      </c>
      <c r="AC4929" s="198" t="str">
        <f t="shared" si="1511"/>
        <v/>
      </c>
      <c r="AD4929" s="162"/>
      <c r="AE4929" s="199" t="str">
        <f t="shared" si="1512"/>
        <v/>
      </c>
      <c r="AF4929" s="199" t="str">
        <f>IF(AND(COUNTIFS($J$18:J4929,J4929)=1,AE4929=1),1,"")</f>
        <v/>
      </c>
      <c r="AG4929" s="199" t="str">
        <f>IF(C4929="","",IF(AND(COUNTIFS($J$18:J4929,J4929)=1,C4929&lt;&gt;""),1,""))</f>
        <v/>
      </c>
      <c r="AH4929" s="199" t="str">
        <f>IF(G4929="","",IF(AND(COUNTIFS($J$18:J4929,J4929)=1,G4929&lt;&gt;""),1,""))</f>
        <v/>
      </c>
      <c r="AI4929" s="200">
        <f t="shared" si="1513"/>
        <v>0</v>
      </c>
      <c r="AJ4929" s="200">
        <f t="shared" si="1514"/>
        <v>0</v>
      </c>
      <c r="AK4929" s="201" t="str">
        <f t="shared" si="1515"/>
        <v/>
      </c>
      <c r="AL4929" s="24"/>
      <c r="AM4929" s="24"/>
      <c r="AN4929" s="24"/>
      <c r="AO4929" s="24"/>
      <c r="AP4929" s="165" t="str">
        <f t="shared" si="1516"/>
        <v/>
      </c>
      <c r="AQ4929" s="203" t="str">
        <f t="shared" si="1517"/>
        <v/>
      </c>
      <c r="AR4929" s="206">
        <f t="shared" si="1518"/>
        <v>0</v>
      </c>
      <c r="AS4929" s="22" t="str">
        <f t="shared" si="1519"/>
        <v/>
      </c>
      <c r="AT4929" s="24" t="str">
        <f t="shared" si="1520"/>
        <v/>
      </c>
      <c r="AU4929" s="22" t="s">
        <v>3240</v>
      </c>
    </row>
    <row r="4930" spans="1:47">
      <c r="A4930" s="246" t="str">
        <f t="shared" si="1508"/>
        <v/>
      </c>
      <c r="B4930" s="23"/>
      <c r="C4930" s="23"/>
      <c r="D4930" s="202" t="str">
        <f t="shared" si="1509"/>
        <v/>
      </c>
      <c r="E4930" s="33" t="str">
        <f t="shared" si="1503"/>
        <v/>
      </c>
      <c r="F4930" s="23"/>
      <c r="G4930" s="23"/>
      <c r="H4930" s="29"/>
      <c r="I4930" s="204" t="str">
        <f t="shared" si="1506"/>
        <v/>
      </c>
      <c r="J4930" s="188"/>
      <c r="K4930" s="29"/>
      <c r="L4930" s="24"/>
      <c r="M4930" s="22"/>
      <c r="N4930" s="22"/>
      <c r="O4930" s="22"/>
      <c r="P4930" s="202" t="str">
        <f t="shared" si="1507"/>
        <v/>
      </c>
      <c r="Q4930" s="22"/>
      <c r="R4930" s="22"/>
      <c r="S4930" s="22"/>
      <c r="T4930" s="22"/>
      <c r="U4930" s="22"/>
      <c r="V4930" s="22"/>
      <c r="W4930" s="22"/>
      <c r="X4930" s="104"/>
      <c r="Y4930" s="195" t="str">
        <f t="shared" si="1504"/>
        <v/>
      </c>
      <c r="Z4930" s="196" t="str">
        <f t="shared" si="1505"/>
        <v/>
      </c>
      <c r="AA4930" s="22"/>
      <c r="AB4930" s="197" t="str">
        <f t="shared" si="1510"/>
        <v/>
      </c>
      <c r="AC4930" s="198" t="str">
        <f t="shared" si="1511"/>
        <v/>
      </c>
      <c r="AD4930" s="162"/>
      <c r="AE4930" s="199" t="str">
        <f t="shared" si="1512"/>
        <v/>
      </c>
      <c r="AF4930" s="199" t="str">
        <f>IF(AND(COUNTIFS($J$18:J4930,J4930)=1,AE4930=1),1,"")</f>
        <v/>
      </c>
      <c r="AG4930" s="199" t="str">
        <f>IF(C4930="","",IF(AND(COUNTIFS($J$18:J4930,J4930)=1,C4930&lt;&gt;""),1,""))</f>
        <v/>
      </c>
      <c r="AH4930" s="199" t="str">
        <f>IF(G4930="","",IF(AND(COUNTIFS($J$18:J4930,J4930)=1,G4930&lt;&gt;""),1,""))</f>
        <v/>
      </c>
      <c r="AI4930" s="200">
        <f t="shared" si="1513"/>
        <v>0</v>
      </c>
      <c r="AJ4930" s="200">
        <f t="shared" si="1514"/>
        <v>0</v>
      </c>
      <c r="AK4930" s="201" t="str">
        <f t="shared" si="1515"/>
        <v/>
      </c>
      <c r="AL4930" s="24"/>
      <c r="AM4930" s="24"/>
      <c r="AN4930" s="24"/>
      <c r="AO4930" s="24"/>
      <c r="AP4930" s="165" t="str">
        <f t="shared" si="1516"/>
        <v/>
      </c>
      <c r="AQ4930" s="203" t="str">
        <f t="shared" si="1517"/>
        <v/>
      </c>
      <c r="AR4930" s="206">
        <f t="shared" si="1518"/>
        <v>0</v>
      </c>
      <c r="AS4930" s="22" t="str">
        <f t="shared" si="1519"/>
        <v/>
      </c>
      <c r="AT4930" s="24" t="str">
        <f t="shared" si="1520"/>
        <v/>
      </c>
      <c r="AU4930" s="22" t="s">
        <v>3240</v>
      </c>
    </row>
    <row r="4931" spans="1:47">
      <c r="A4931" s="246" t="str">
        <f t="shared" si="1508"/>
        <v/>
      </c>
      <c r="B4931" s="23"/>
      <c r="C4931" s="23"/>
      <c r="D4931" s="202" t="str">
        <f t="shared" si="1509"/>
        <v/>
      </c>
      <c r="E4931" s="33" t="str">
        <f t="shared" si="1503"/>
        <v/>
      </c>
      <c r="F4931" s="23"/>
      <c r="G4931" s="23"/>
      <c r="H4931" s="29"/>
      <c r="I4931" s="204" t="str">
        <f t="shared" si="1506"/>
        <v/>
      </c>
      <c r="J4931" s="188"/>
      <c r="K4931" s="29"/>
      <c r="L4931" s="24"/>
      <c r="M4931" s="22"/>
      <c r="N4931" s="22"/>
      <c r="O4931" s="22"/>
      <c r="P4931" s="202" t="str">
        <f t="shared" si="1507"/>
        <v/>
      </c>
      <c r="Q4931" s="22"/>
      <c r="R4931" s="22"/>
      <c r="S4931" s="22"/>
      <c r="T4931" s="22"/>
      <c r="U4931" s="22"/>
      <c r="V4931" s="22"/>
      <c r="W4931" s="22"/>
      <c r="X4931" s="104"/>
      <c r="Y4931" s="195" t="str">
        <f t="shared" si="1504"/>
        <v/>
      </c>
      <c r="Z4931" s="196" t="str">
        <f t="shared" si="1505"/>
        <v/>
      </c>
      <c r="AA4931" s="22"/>
      <c r="AB4931" s="197" t="str">
        <f t="shared" si="1510"/>
        <v/>
      </c>
      <c r="AC4931" s="198" t="str">
        <f t="shared" si="1511"/>
        <v/>
      </c>
      <c r="AD4931" s="162"/>
      <c r="AE4931" s="199" t="str">
        <f t="shared" si="1512"/>
        <v/>
      </c>
      <c r="AF4931" s="199" t="str">
        <f>IF(AND(COUNTIFS($J$18:J4931,J4931)=1,AE4931=1),1,"")</f>
        <v/>
      </c>
      <c r="AG4931" s="199" t="str">
        <f>IF(C4931="","",IF(AND(COUNTIFS($J$18:J4931,J4931)=1,C4931&lt;&gt;""),1,""))</f>
        <v/>
      </c>
      <c r="AH4931" s="199" t="str">
        <f>IF(G4931="","",IF(AND(COUNTIFS($J$18:J4931,J4931)=1,G4931&lt;&gt;""),1,""))</f>
        <v/>
      </c>
      <c r="AI4931" s="200">
        <f t="shared" si="1513"/>
        <v>0</v>
      </c>
      <c r="AJ4931" s="200">
        <f t="shared" si="1514"/>
        <v>0</v>
      </c>
      <c r="AK4931" s="201" t="str">
        <f t="shared" si="1515"/>
        <v/>
      </c>
      <c r="AL4931" s="24"/>
      <c r="AM4931" s="24"/>
      <c r="AN4931" s="24"/>
      <c r="AO4931" s="24"/>
      <c r="AP4931" s="165" t="str">
        <f t="shared" si="1516"/>
        <v/>
      </c>
      <c r="AQ4931" s="203" t="str">
        <f t="shared" si="1517"/>
        <v/>
      </c>
      <c r="AR4931" s="206">
        <f t="shared" si="1518"/>
        <v>0</v>
      </c>
      <c r="AS4931" s="22" t="str">
        <f t="shared" si="1519"/>
        <v/>
      </c>
      <c r="AT4931" s="24" t="str">
        <f t="shared" si="1520"/>
        <v/>
      </c>
      <c r="AU4931" s="22" t="s">
        <v>3240</v>
      </c>
    </row>
    <row r="4932" spans="1:47">
      <c r="A4932" s="246" t="str">
        <f t="shared" si="1508"/>
        <v/>
      </c>
      <c r="B4932" s="23"/>
      <c r="C4932" s="23"/>
      <c r="D4932" s="202" t="str">
        <f t="shared" si="1509"/>
        <v/>
      </c>
      <c r="E4932" s="33" t="str">
        <f t="shared" si="1503"/>
        <v/>
      </c>
      <c r="F4932" s="23"/>
      <c r="G4932" s="23"/>
      <c r="H4932" s="29"/>
      <c r="I4932" s="204" t="str">
        <f t="shared" si="1506"/>
        <v/>
      </c>
      <c r="J4932" s="188"/>
      <c r="K4932" s="29"/>
      <c r="L4932" s="24"/>
      <c r="M4932" s="22"/>
      <c r="N4932" s="22"/>
      <c r="O4932" s="22"/>
      <c r="P4932" s="202" t="str">
        <f t="shared" si="1507"/>
        <v/>
      </c>
      <c r="Q4932" s="22"/>
      <c r="R4932" s="22"/>
      <c r="S4932" s="22"/>
      <c r="T4932" s="22"/>
      <c r="U4932" s="22"/>
      <c r="V4932" s="22"/>
      <c r="W4932" s="22"/>
      <c r="X4932" s="104"/>
      <c r="Y4932" s="195" t="str">
        <f t="shared" si="1504"/>
        <v/>
      </c>
      <c r="Z4932" s="196" t="str">
        <f t="shared" si="1505"/>
        <v/>
      </c>
      <c r="AA4932" s="22"/>
      <c r="AB4932" s="197" t="str">
        <f t="shared" si="1510"/>
        <v/>
      </c>
      <c r="AC4932" s="198" t="str">
        <f t="shared" si="1511"/>
        <v/>
      </c>
      <c r="AD4932" s="162"/>
      <c r="AE4932" s="199" t="str">
        <f t="shared" si="1512"/>
        <v/>
      </c>
      <c r="AF4932" s="199" t="str">
        <f>IF(AND(COUNTIFS($J$18:J4932,J4932)=1,AE4932=1),1,"")</f>
        <v/>
      </c>
      <c r="AG4932" s="199" t="str">
        <f>IF(C4932="","",IF(AND(COUNTIFS($J$18:J4932,J4932)=1,C4932&lt;&gt;""),1,""))</f>
        <v/>
      </c>
      <c r="AH4932" s="199" t="str">
        <f>IF(G4932="","",IF(AND(COUNTIFS($J$18:J4932,J4932)=1,G4932&lt;&gt;""),1,""))</f>
        <v/>
      </c>
      <c r="AI4932" s="200">
        <f t="shared" si="1513"/>
        <v>0</v>
      </c>
      <c r="AJ4932" s="200">
        <f t="shared" si="1514"/>
        <v>0</v>
      </c>
      <c r="AK4932" s="201" t="str">
        <f t="shared" si="1515"/>
        <v/>
      </c>
      <c r="AL4932" s="24"/>
      <c r="AM4932" s="24"/>
      <c r="AN4932" s="24"/>
      <c r="AO4932" s="24"/>
      <c r="AP4932" s="165" t="str">
        <f t="shared" si="1516"/>
        <v/>
      </c>
      <c r="AQ4932" s="203" t="str">
        <f t="shared" si="1517"/>
        <v/>
      </c>
      <c r="AR4932" s="206">
        <f t="shared" si="1518"/>
        <v>0</v>
      </c>
      <c r="AS4932" s="22" t="str">
        <f t="shared" si="1519"/>
        <v/>
      </c>
      <c r="AT4932" s="24" t="str">
        <f t="shared" si="1520"/>
        <v/>
      </c>
      <c r="AU4932" s="22" t="s">
        <v>3240</v>
      </c>
    </row>
    <row r="4933" spans="1:47">
      <c r="A4933" s="246" t="str">
        <f t="shared" si="1508"/>
        <v/>
      </c>
      <c r="B4933" s="23"/>
      <c r="C4933" s="23"/>
      <c r="D4933" s="202" t="str">
        <f t="shared" si="1509"/>
        <v/>
      </c>
      <c r="E4933" s="33" t="str">
        <f t="shared" si="1503"/>
        <v/>
      </c>
      <c r="F4933" s="23"/>
      <c r="G4933" s="23"/>
      <c r="H4933" s="29"/>
      <c r="I4933" s="204" t="str">
        <f t="shared" si="1506"/>
        <v/>
      </c>
      <c r="J4933" s="188"/>
      <c r="K4933" s="29"/>
      <c r="L4933" s="24"/>
      <c r="M4933" s="22"/>
      <c r="N4933" s="22"/>
      <c r="O4933" s="22"/>
      <c r="P4933" s="202" t="str">
        <f t="shared" si="1507"/>
        <v/>
      </c>
      <c r="Q4933" s="22"/>
      <c r="R4933" s="22"/>
      <c r="S4933" s="22"/>
      <c r="T4933" s="22"/>
      <c r="U4933" s="22"/>
      <c r="V4933" s="22"/>
      <c r="W4933" s="22"/>
      <c r="X4933" s="104"/>
      <c r="Y4933" s="195" t="str">
        <f t="shared" si="1504"/>
        <v/>
      </c>
      <c r="Z4933" s="196" t="str">
        <f t="shared" si="1505"/>
        <v/>
      </c>
      <c r="AA4933" s="22"/>
      <c r="AB4933" s="197" t="str">
        <f t="shared" si="1510"/>
        <v/>
      </c>
      <c r="AC4933" s="198" t="str">
        <f t="shared" si="1511"/>
        <v/>
      </c>
      <c r="AD4933" s="162"/>
      <c r="AE4933" s="199" t="str">
        <f t="shared" si="1512"/>
        <v/>
      </c>
      <c r="AF4933" s="199" t="str">
        <f>IF(AND(COUNTIFS($J$18:J4933,J4933)=1,AE4933=1),1,"")</f>
        <v/>
      </c>
      <c r="AG4933" s="199" t="str">
        <f>IF(C4933="","",IF(AND(COUNTIFS($J$18:J4933,J4933)=1,C4933&lt;&gt;""),1,""))</f>
        <v/>
      </c>
      <c r="AH4933" s="199" t="str">
        <f>IF(G4933="","",IF(AND(COUNTIFS($J$18:J4933,J4933)=1,G4933&lt;&gt;""),1,""))</f>
        <v/>
      </c>
      <c r="AI4933" s="200">
        <f t="shared" si="1513"/>
        <v>0</v>
      </c>
      <c r="AJ4933" s="200">
        <f t="shared" si="1514"/>
        <v>0</v>
      </c>
      <c r="AK4933" s="201" t="str">
        <f t="shared" si="1515"/>
        <v/>
      </c>
      <c r="AL4933" s="24"/>
      <c r="AM4933" s="24"/>
      <c r="AN4933" s="24"/>
      <c r="AO4933" s="24"/>
      <c r="AP4933" s="165" t="str">
        <f t="shared" si="1516"/>
        <v/>
      </c>
      <c r="AQ4933" s="203" t="str">
        <f t="shared" si="1517"/>
        <v/>
      </c>
      <c r="AR4933" s="206">
        <f t="shared" si="1518"/>
        <v>0</v>
      </c>
      <c r="AS4933" s="22" t="str">
        <f t="shared" si="1519"/>
        <v/>
      </c>
      <c r="AT4933" s="24" t="str">
        <f t="shared" si="1520"/>
        <v/>
      </c>
      <c r="AU4933" s="22" t="s">
        <v>3240</v>
      </c>
    </row>
    <row r="4934" spans="1:47">
      <c r="A4934" s="246" t="str">
        <f t="shared" si="1508"/>
        <v/>
      </c>
      <c r="B4934" s="23"/>
      <c r="C4934" s="23"/>
      <c r="D4934" s="202" t="str">
        <f t="shared" si="1509"/>
        <v/>
      </c>
      <c r="E4934" s="33" t="str">
        <f t="shared" si="1503"/>
        <v/>
      </c>
      <c r="F4934" s="23"/>
      <c r="G4934" s="23"/>
      <c r="H4934" s="29"/>
      <c r="I4934" s="204" t="str">
        <f t="shared" si="1506"/>
        <v/>
      </c>
      <c r="J4934" s="188"/>
      <c r="K4934" s="29"/>
      <c r="L4934" s="24"/>
      <c r="M4934" s="22"/>
      <c r="N4934" s="22"/>
      <c r="O4934" s="22"/>
      <c r="P4934" s="202" t="str">
        <f t="shared" si="1507"/>
        <v/>
      </c>
      <c r="Q4934" s="22"/>
      <c r="R4934" s="22"/>
      <c r="S4934" s="22"/>
      <c r="T4934" s="22"/>
      <c r="U4934" s="22"/>
      <c r="V4934" s="22"/>
      <c r="W4934" s="22"/>
      <c r="X4934" s="104"/>
      <c r="Y4934" s="195" t="str">
        <f t="shared" si="1504"/>
        <v/>
      </c>
      <c r="Z4934" s="196" t="str">
        <f t="shared" si="1505"/>
        <v/>
      </c>
      <c r="AA4934" s="22"/>
      <c r="AB4934" s="197" t="str">
        <f t="shared" si="1510"/>
        <v/>
      </c>
      <c r="AC4934" s="198" t="str">
        <f t="shared" si="1511"/>
        <v/>
      </c>
      <c r="AD4934" s="162"/>
      <c r="AE4934" s="199" t="str">
        <f t="shared" si="1512"/>
        <v/>
      </c>
      <c r="AF4934" s="199" t="str">
        <f>IF(AND(COUNTIFS($J$18:J4934,J4934)=1,AE4934=1),1,"")</f>
        <v/>
      </c>
      <c r="AG4934" s="199" t="str">
        <f>IF(C4934="","",IF(AND(COUNTIFS($J$18:J4934,J4934)=1,C4934&lt;&gt;""),1,""))</f>
        <v/>
      </c>
      <c r="AH4934" s="199" t="str">
        <f>IF(G4934="","",IF(AND(COUNTIFS($J$18:J4934,J4934)=1,G4934&lt;&gt;""),1,""))</f>
        <v/>
      </c>
      <c r="AI4934" s="200">
        <f t="shared" si="1513"/>
        <v>0</v>
      </c>
      <c r="AJ4934" s="200">
        <f t="shared" si="1514"/>
        <v>0</v>
      </c>
      <c r="AK4934" s="201" t="str">
        <f t="shared" si="1515"/>
        <v/>
      </c>
      <c r="AL4934" s="24"/>
      <c r="AM4934" s="24"/>
      <c r="AN4934" s="24"/>
      <c r="AO4934" s="24"/>
      <c r="AP4934" s="165" t="str">
        <f t="shared" si="1516"/>
        <v/>
      </c>
      <c r="AQ4934" s="203" t="str">
        <f t="shared" si="1517"/>
        <v/>
      </c>
      <c r="AR4934" s="206">
        <f t="shared" si="1518"/>
        <v>0</v>
      </c>
      <c r="AS4934" s="22" t="str">
        <f t="shared" si="1519"/>
        <v/>
      </c>
      <c r="AT4934" s="24" t="str">
        <f t="shared" si="1520"/>
        <v/>
      </c>
      <c r="AU4934" s="22" t="s">
        <v>3240</v>
      </c>
    </row>
    <row r="4935" spans="1:47">
      <c r="A4935" s="246" t="str">
        <f t="shared" si="1508"/>
        <v/>
      </c>
      <c r="B4935" s="23"/>
      <c r="C4935" s="23"/>
      <c r="D4935" s="202" t="str">
        <f t="shared" si="1509"/>
        <v/>
      </c>
      <c r="E4935" s="33" t="str">
        <f t="shared" si="1503"/>
        <v/>
      </c>
      <c r="F4935" s="23"/>
      <c r="G4935" s="23"/>
      <c r="H4935" s="29"/>
      <c r="I4935" s="204" t="str">
        <f t="shared" si="1506"/>
        <v/>
      </c>
      <c r="J4935" s="188"/>
      <c r="K4935" s="29"/>
      <c r="L4935" s="24"/>
      <c r="M4935" s="22"/>
      <c r="N4935" s="22"/>
      <c r="O4935" s="22"/>
      <c r="P4935" s="202" t="str">
        <f t="shared" si="1507"/>
        <v/>
      </c>
      <c r="Q4935" s="22"/>
      <c r="R4935" s="22"/>
      <c r="S4935" s="22"/>
      <c r="T4935" s="22"/>
      <c r="U4935" s="22"/>
      <c r="V4935" s="22"/>
      <c r="W4935" s="22"/>
      <c r="X4935" s="104"/>
      <c r="Y4935" s="195" t="str">
        <f t="shared" si="1504"/>
        <v/>
      </c>
      <c r="Z4935" s="196" t="str">
        <f t="shared" si="1505"/>
        <v/>
      </c>
      <c r="AA4935" s="22"/>
      <c r="AB4935" s="197" t="str">
        <f t="shared" si="1510"/>
        <v/>
      </c>
      <c r="AC4935" s="198" t="str">
        <f t="shared" si="1511"/>
        <v/>
      </c>
      <c r="AD4935" s="162"/>
      <c r="AE4935" s="199" t="str">
        <f t="shared" si="1512"/>
        <v/>
      </c>
      <c r="AF4935" s="199" t="str">
        <f>IF(AND(COUNTIFS($J$18:J4935,J4935)=1,AE4935=1),1,"")</f>
        <v/>
      </c>
      <c r="AG4935" s="199" t="str">
        <f>IF(C4935="","",IF(AND(COUNTIFS($J$18:J4935,J4935)=1,C4935&lt;&gt;""),1,""))</f>
        <v/>
      </c>
      <c r="AH4935" s="199" t="str">
        <f>IF(G4935="","",IF(AND(COUNTIFS($J$18:J4935,J4935)=1,G4935&lt;&gt;""),1,""))</f>
        <v/>
      </c>
      <c r="AI4935" s="200">
        <f t="shared" si="1513"/>
        <v>0</v>
      </c>
      <c r="AJ4935" s="200">
        <f t="shared" si="1514"/>
        <v>0</v>
      </c>
      <c r="AK4935" s="201" t="str">
        <f t="shared" si="1515"/>
        <v/>
      </c>
      <c r="AL4935" s="24"/>
      <c r="AM4935" s="24"/>
      <c r="AN4935" s="24"/>
      <c r="AO4935" s="24"/>
      <c r="AP4935" s="165" t="str">
        <f t="shared" si="1516"/>
        <v/>
      </c>
      <c r="AQ4935" s="203" t="str">
        <f t="shared" si="1517"/>
        <v/>
      </c>
      <c r="AR4935" s="206">
        <f t="shared" si="1518"/>
        <v>0</v>
      </c>
      <c r="AS4935" s="22" t="str">
        <f t="shared" si="1519"/>
        <v/>
      </c>
      <c r="AT4935" s="24" t="str">
        <f t="shared" si="1520"/>
        <v/>
      </c>
      <c r="AU4935" s="22" t="s">
        <v>3240</v>
      </c>
    </row>
    <row r="4936" spans="1:47">
      <c r="A4936" s="246" t="str">
        <f t="shared" si="1508"/>
        <v/>
      </c>
      <c r="B4936" s="23"/>
      <c r="C4936" s="23"/>
      <c r="D4936" s="202" t="str">
        <f t="shared" si="1509"/>
        <v/>
      </c>
      <c r="E4936" s="33" t="str">
        <f t="shared" si="1503"/>
        <v/>
      </c>
      <c r="F4936" s="23"/>
      <c r="G4936" s="23"/>
      <c r="H4936" s="29"/>
      <c r="I4936" s="204" t="str">
        <f t="shared" si="1506"/>
        <v/>
      </c>
      <c r="J4936" s="188"/>
      <c r="K4936" s="29"/>
      <c r="L4936" s="24"/>
      <c r="M4936" s="22"/>
      <c r="N4936" s="22"/>
      <c r="O4936" s="22"/>
      <c r="P4936" s="202" t="str">
        <f t="shared" si="1507"/>
        <v/>
      </c>
      <c r="Q4936" s="22"/>
      <c r="R4936" s="22"/>
      <c r="S4936" s="22"/>
      <c r="T4936" s="22"/>
      <c r="U4936" s="22"/>
      <c r="V4936" s="22"/>
      <c r="W4936" s="22"/>
      <c r="X4936" s="104"/>
      <c r="Y4936" s="195" t="str">
        <f t="shared" si="1504"/>
        <v/>
      </c>
      <c r="Z4936" s="196" t="str">
        <f t="shared" si="1505"/>
        <v/>
      </c>
      <c r="AA4936" s="22"/>
      <c r="AB4936" s="197" t="str">
        <f t="shared" si="1510"/>
        <v/>
      </c>
      <c r="AC4936" s="198" t="str">
        <f t="shared" si="1511"/>
        <v/>
      </c>
      <c r="AD4936" s="162"/>
      <c r="AE4936" s="199" t="str">
        <f t="shared" si="1512"/>
        <v/>
      </c>
      <c r="AF4936" s="199" t="str">
        <f>IF(AND(COUNTIFS($J$18:J4936,J4936)=1,AE4936=1),1,"")</f>
        <v/>
      </c>
      <c r="AG4936" s="199" t="str">
        <f>IF(C4936="","",IF(AND(COUNTIFS($J$18:J4936,J4936)=1,C4936&lt;&gt;""),1,""))</f>
        <v/>
      </c>
      <c r="AH4936" s="199" t="str">
        <f>IF(G4936="","",IF(AND(COUNTIFS($J$18:J4936,J4936)=1,G4936&lt;&gt;""),1,""))</f>
        <v/>
      </c>
      <c r="AI4936" s="200">
        <f t="shared" si="1513"/>
        <v>0</v>
      </c>
      <c r="AJ4936" s="200">
        <f t="shared" si="1514"/>
        <v>0</v>
      </c>
      <c r="AK4936" s="201" t="str">
        <f t="shared" si="1515"/>
        <v/>
      </c>
      <c r="AL4936" s="24"/>
      <c r="AM4936" s="24"/>
      <c r="AN4936" s="24"/>
      <c r="AO4936" s="24"/>
      <c r="AP4936" s="165" t="str">
        <f t="shared" si="1516"/>
        <v/>
      </c>
      <c r="AQ4936" s="203" t="str">
        <f t="shared" si="1517"/>
        <v/>
      </c>
      <c r="AR4936" s="206">
        <f t="shared" si="1518"/>
        <v>0</v>
      </c>
      <c r="AS4936" s="22" t="str">
        <f t="shared" si="1519"/>
        <v/>
      </c>
      <c r="AT4936" s="24" t="str">
        <f t="shared" si="1520"/>
        <v/>
      </c>
      <c r="AU4936" s="22" t="s">
        <v>3240</v>
      </c>
    </row>
    <row r="4937" spans="1:47">
      <c r="A4937" s="246" t="str">
        <f t="shared" si="1508"/>
        <v/>
      </c>
      <c r="B4937" s="23"/>
      <c r="C4937" s="23"/>
      <c r="D4937" s="202" t="str">
        <f t="shared" si="1509"/>
        <v/>
      </c>
      <c r="E4937" s="33" t="str">
        <f t="shared" si="1503"/>
        <v/>
      </c>
      <c r="F4937" s="23"/>
      <c r="G4937" s="23"/>
      <c r="H4937" s="29"/>
      <c r="I4937" s="204" t="str">
        <f t="shared" si="1506"/>
        <v/>
      </c>
      <c r="J4937" s="188"/>
      <c r="K4937" s="29"/>
      <c r="L4937" s="24"/>
      <c r="M4937" s="22"/>
      <c r="N4937" s="22"/>
      <c r="O4937" s="22"/>
      <c r="P4937" s="202" t="str">
        <f t="shared" si="1507"/>
        <v/>
      </c>
      <c r="Q4937" s="22"/>
      <c r="R4937" s="22"/>
      <c r="S4937" s="22"/>
      <c r="T4937" s="22"/>
      <c r="U4937" s="22"/>
      <c r="V4937" s="22"/>
      <c r="W4937" s="22"/>
      <c r="X4937" s="104"/>
      <c r="Y4937" s="195" t="str">
        <f t="shared" si="1504"/>
        <v/>
      </c>
      <c r="Z4937" s="196" t="str">
        <f t="shared" si="1505"/>
        <v/>
      </c>
      <c r="AA4937" s="22"/>
      <c r="AB4937" s="197" t="str">
        <f t="shared" si="1510"/>
        <v/>
      </c>
      <c r="AC4937" s="198" t="str">
        <f t="shared" si="1511"/>
        <v/>
      </c>
      <c r="AD4937" s="162"/>
      <c r="AE4937" s="199" t="str">
        <f t="shared" si="1512"/>
        <v/>
      </c>
      <c r="AF4937" s="199" t="str">
        <f>IF(AND(COUNTIFS($J$18:J4937,J4937)=1,AE4937=1),1,"")</f>
        <v/>
      </c>
      <c r="AG4937" s="199" t="str">
        <f>IF(C4937="","",IF(AND(COUNTIFS($J$18:J4937,J4937)=1,C4937&lt;&gt;""),1,""))</f>
        <v/>
      </c>
      <c r="AH4937" s="199" t="str">
        <f>IF(G4937="","",IF(AND(COUNTIFS($J$18:J4937,J4937)=1,G4937&lt;&gt;""),1,""))</f>
        <v/>
      </c>
      <c r="AI4937" s="200">
        <f t="shared" si="1513"/>
        <v>0</v>
      </c>
      <c r="AJ4937" s="200">
        <f t="shared" si="1514"/>
        <v>0</v>
      </c>
      <c r="AK4937" s="201" t="str">
        <f t="shared" si="1515"/>
        <v/>
      </c>
      <c r="AL4937" s="24"/>
      <c r="AM4937" s="24"/>
      <c r="AN4937" s="24"/>
      <c r="AO4937" s="24"/>
      <c r="AP4937" s="165" t="str">
        <f t="shared" si="1516"/>
        <v/>
      </c>
      <c r="AQ4937" s="203" t="str">
        <f t="shared" si="1517"/>
        <v/>
      </c>
      <c r="AR4937" s="206">
        <f t="shared" si="1518"/>
        <v>0</v>
      </c>
      <c r="AS4937" s="22" t="str">
        <f t="shared" si="1519"/>
        <v/>
      </c>
      <c r="AT4937" s="24" t="str">
        <f t="shared" si="1520"/>
        <v/>
      </c>
      <c r="AU4937" s="22" t="s">
        <v>3240</v>
      </c>
    </row>
    <row r="4938" spans="1:47">
      <c r="A4938" s="246" t="str">
        <f t="shared" si="1508"/>
        <v/>
      </c>
      <c r="B4938" s="23"/>
      <c r="C4938" s="23"/>
      <c r="D4938" s="202" t="str">
        <f t="shared" si="1509"/>
        <v/>
      </c>
      <c r="E4938" s="33" t="str">
        <f t="shared" si="1503"/>
        <v/>
      </c>
      <c r="F4938" s="23"/>
      <c r="G4938" s="23"/>
      <c r="H4938" s="29"/>
      <c r="I4938" s="204" t="str">
        <f t="shared" si="1506"/>
        <v/>
      </c>
      <c r="J4938" s="188"/>
      <c r="K4938" s="29"/>
      <c r="L4938" s="24"/>
      <c r="M4938" s="22"/>
      <c r="N4938" s="22"/>
      <c r="O4938" s="22"/>
      <c r="P4938" s="202" t="str">
        <f t="shared" si="1507"/>
        <v/>
      </c>
      <c r="Q4938" s="22"/>
      <c r="R4938" s="22"/>
      <c r="S4938" s="22"/>
      <c r="T4938" s="22"/>
      <c r="U4938" s="22"/>
      <c r="V4938" s="22"/>
      <c r="W4938" s="22"/>
      <c r="X4938" s="104"/>
      <c r="Y4938" s="195" t="str">
        <f t="shared" si="1504"/>
        <v/>
      </c>
      <c r="Z4938" s="196" t="str">
        <f t="shared" si="1505"/>
        <v/>
      </c>
      <c r="AA4938" s="22"/>
      <c r="AB4938" s="197" t="str">
        <f t="shared" si="1510"/>
        <v/>
      </c>
      <c r="AC4938" s="198" t="str">
        <f t="shared" si="1511"/>
        <v/>
      </c>
      <c r="AD4938" s="162"/>
      <c r="AE4938" s="199" t="str">
        <f t="shared" si="1512"/>
        <v/>
      </c>
      <c r="AF4938" s="199" t="str">
        <f>IF(AND(COUNTIFS($J$18:J4938,J4938)=1,AE4938=1),1,"")</f>
        <v/>
      </c>
      <c r="AG4938" s="199" t="str">
        <f>IF(C4938="","",IF(AND(COUNTIFS($J$18:J4938,J4938)=1,C4938&lt;&gt;""),1,""))</f>
        <v/>
      </c>
      <c r="AH4938" s="199" t="str">
        <f>IF(G4938="","",IF(AND(COUNTIFS($J$18:J4938,J4938)=1,G4938&lt;&gt;""),1,""))</f>
        <v/>
      </c>
      <c r="AI4938" s="200">
        <f t="shared" si="1513"/>
        <v>0</v>
      </c>
      <c r="AJ4938" s="200">
        <f t="shared" si="1514"/>
        <v>0</v>
      </c>
      <c r="AK4938" s="201" t="str">
        <f t="shared" si="1515"/>
        <v/>
      </c>
      <c r="AL4938" s="24"/>
      <c r="AM4938" s="24"/>
      <c r="AN4938" s="24"/>
      <c r="AO4938" s="24"/>
      <c r="AP4938" s="165" t="str">
        <f t="shared" si="1516"/>
        <v/>
      </c>
      <c r="AQ4938" s="203" t="str">
        <f t="shared" si="1517"/>
        <v/>
      </c>
      <c r="AR4938" s="206">
        <f t="shared" si="1518"/>
        <v>0</v>
      </c>
      <c r="AS4938" s="22" t="str">
        <f t="shared" si="1519"/>
        <v/>
      </c>
      <c r="AT4938" s="24" t="str">
        <f t="shared" si="1520"/>
        <v/>
      </c>
      <c r="AU4938" s="22" t="s">
        <v>3240</v>
      </c>
    </row>
    <row r="4939" spans="1:47">
      <c r="A4939" s="246" t="str">
        <f t="shared" si="1508"/>
        <v/>
      </c>
      <c r="B4939" s="23"/>
      <c r="C4939" s="23"/>
      <c r="D4939" s="202" t="str">
        <f t="shared" si="1509"/>
        <v/>
      </c>
      <c r="E4939" s="33" t="str">
        <f t="shared" si="1503"/>
        <v/>
      </c>
      <c r="F4939" s="23"/>
      <c r="G4939" s="23"/>
      <c r="H4939" s="29"/>
      <c r="I4939" s="204" t="str">
        <f t="shared" si="1506"/>
        <v/>
      </c>
      <c r="J4939" s="188"/>
      <c r="K4939" s="29"/>
      <c r="L4939" s="24"/>
      <c r="M4939" s="22"/>
      <c r="N4939" s="22"/>
      <c r="O4939" s="22"/>
      <c r="P4939" s="202" t="str">
        <f t="shared" si="1507"/>
        <v/>
      </c>
      <c r="Q4939" s="22"/>
      <c r="R4939" s="22"/>
      <c r="S4939" s="22"/>
      <c r="T4939" s="22"/>
      <c r="U4939" s="22"/>
      <c r="V4939" s="22"/>
      <c r="W4939" s="22"/>
      <c r="X4939" s="104"/>
      <c r="Y4939" s="195" t="str">
        <f t="shared" si="1504"/>
        <v/>
      </c>
      <c r="Z4939" s="196" t="str">
        <f t="shared" si="1505"/>
        <v/>
      </c>
      <c r="AA4939" s="22"/>
      <c r="AB4939" s="197" t="str">
        <f t="shared" si="1510"/>
        <v/>
      </c>
      <c r="AC4939" s="198" t="str">
        <f t="shared" si="1511"/>
        <v/>
      </c>
      <c r="AD4939" s="162"/>
      <c r="AE4939" s="199" t="str">
        <f t="shared" si="1512"/>
        <v/>
      </c>
      <c r="AF4939" s="199" t="str">
        <f>IF(AND(COUNTIFS($J$18:J4939,J4939)=1,AE4939=1),1,"")</f>
        <v/>
      </c>
      <c r="AG4939" s="199" t="str">
        <f>IF(C4939="","",IF(AND(COUNTIFS($J$18:J4939,J4939)=1,C4939&lt;&gt;""),1,""))</f>
        <v/>
      </c>
      <c r="AH4939" s="199" t="str">
        <f>IF(G4939="","",IF(AND(COUNTIFS($J$18:J4939,J4939)=1,G4939&lt;&gt;""),1,""))</f>
        <v/>
      </c>
      <c r="AI4939" s="200">
        <f t="shared" si="1513"/>
        <v>0</v>
      </c>
      <c r="AJ4939" s="200">
        <f t="shared" si="1514"/>
        <v>0</v>
      </c>
      <c r="AK4939" s="201" t="str">
        <f t="shared" si="1515"/>
        <v/>
      </c>
      <c r="AL4939" s="24"/>
      <c r="AM4939" s="24"/>
      <c r="AN4939" s="24"/>
      <c r="AO4939" s="24"/>
      <c r="AP4939" s="165" t="str">
        <f t="shared" si="1516"/>
        <v/>
      </c>
      <c r="AQ4939" s="203" t="str">
        <f t="shared" si="1517"/>
        <v/>
      </c>
      <c r="AR4939" s="206">
        <f t="shared" si="1518"/>
        <v>0</v>
      </c>
      <c r="AS4939" s="22" t="str">
        <f t="shared" si="1519"/>
        <v/>
      </c>
      <c r="AT4939" s="24" t="str">
        <f t="shared" si="1520"/>
        <v/>
      </c>
      <c r="AU4939" s="22" t="s">
        <v>3240</v>
      </c>
    </row>
    <row r="4940" spans="1:47">
      <c r="A4940" s="246" t="str">
        <f t="shared" si="1508"/>
        <v/>
      </c>
      <c r="B4940" s="23"/>
      <c r="C4940" s="23"/>
      <c r="D4940" s="202" t="str">
        <f t="shared" si="1509"/>
        <v/>
      </c>
      <c r="E4940" s="33" t="str">
        <f t="shared" si="1503"/>
        <v/>
      </c>
      <c r="F4940" s="23"/>
      <c r="G4940" s="23"/>
      <c r="H4940" s="29"/>
      <c r="I4940" s="204" t="str">
        <f t="shared" si="1506"/>
        <v/>
      </c>
      <c r="J4940" s="188"/>
      <c r="K4940" s="29"/>
      <c r="L4940" s="24"/>
      <c r="M4940" s="22"/>
      <c r="N4940" s="22"/>
      <c r="O4940" s="22"/>
      <c r="P4940" s="202" t="str">
        <f t="shared" si="1507"/>
        <v/>
      </c>
      <c r="Q4940" s="22"/>
      <c r="R4940" s="22"/>
      <c r="S4940" s="22"/>
      <c r="T4940" s="22"/>
      <c r="U4940" s="22"/>
      <c r="V4940" s="22"/>
      <c r="W4940" s="22"/>
      <c r="X4940" s="104"/>
      <c r="Y4940" s="195" t="str">
        <f t="shared" si="1504"/>
        <v/>
      </c>
      <c r="Z4940" s="196" t="str">
        <f t="shared" si="1505"/>
        <v/>
      </c>
      <c r="AA4940" s="22"/>
      <c r="AB4940" s="197" t="str">
        <f t="shared" si="1510"/>
        <v/>
      </c>
      <c r="AC4940" s="198" t="str">
        <f t="shared" si="1511"/>
        <v/>
      </c>
      <c r="AD4940" s="162"/>
      <c r="AE4940" s="199" t="str">
        <f t="shared" si="1512"/>
        <v/>
      </c>
      <c r="AF4940" s="199" t="str">
        <f>IF(AND(COUNTIFS($J$18:J4940,J4940)=1,AE4940=1),1,"")</f>
        <v/>
      </c>
      <c r="AG4940" s="199" t="str">
        <f>IF(C4940="","",IF(AND(COUNTIFS($J$18:J4940,J4940)=1,C4940&lt;&gt;""),1,""))</f>
        <v/>
      </c>
      <c r="AH4940" s="199" t="str">
        <f>IF(G4940="","",IF(AND(COUNTIFS($J$18:J4940,J4940)=1,G4940&lt;&gt;""),1,""))</f>
        <v/>
      </c>
      <c r="AI4940" s="200">
        <f t="shared" si="1513"/>
        <v>0</v>
      </c>
      <c r="AJ4940" s="200">
        <f t="shared" si="1514"/>
        <v>0</v>
      </c>
      <c r="AK4940" s="201" t="str">
        <f t="shared" si="1515"/>
        <v/>
      </c>
      <c r="AL4940" s="24"/>
      <c r="AM4940" s="24"/>
      <c r="AN4940" s="24"/>
      <c r="AO4940" s="24"/>
      <c r="AP4940" s="165" t="str">
        <f t="shared" si="1516"/>
        <v/>
      </c>
      <c r="AQ4940" s="203" t="str">
        <f t="shared" si="1517"/>
        <v/>
      </c>
      <c r="AR4940" s="206">
        <f t="shared" si="1518"/>
        <v>0</v>
      </c>
      <c r="AS4940" s="22" t="str">
        <f t="shared" si="1519"/>
        <v/>
      </c>
      <c r="AT4940" s="24" t="str">
        <f t="shared" si="1520"/>
        <v/>
      </c>
      <c r="AU4940" s="22" t="s">
        <v>3240</v>
      </c>
    </row>
    <row r="4941" spans="1:47">
      <c r="A4941" s="246" t="str">
        <f t="shared" si="1508"/>
        <v/>
      </c>
      <c r="B4941" s="23"/>
      <c r="C4941" s="23"/>
      <c r="D4941" s="202" t="str">
        <f t="shared" si="1509"/>
        <v/>
      </c>
      <c r="E4941" s="33" t="str">
        <f t="shared" si="1503"/>
        <v/>
      </c>
      <c r="F4941" s="23"/>
      <c r="G4941" s="23"/>
      <c r="H4941" s="29"/>
      <c r="I4941" s="204" t="str">
        <f t="shared" si="1506"/>
        <v/>
      </c>
      <c r="J4941" s="188"/>
      <c r="K4941" s="29"/>
      <c r="L4941" s="24"/>
      <c r="M4941" s="22"/>
      <c r="N4941" s="22"/>
      <c r="O4941" s="22"/>
      <c r="P4941" s="202" t="str">
        <f t="shared" si="1507"/>
        <v/>
      </c>
      <c r="Q4941" s="22"/>
      <c r="R4941" s="22"/>
      <c r="S4941" s="22"/>
      <c r="T4941" s="22"/>
      <c r="U4941" s="22"/>
      <c r="V4941" s="22"/>
      <c r="W4941" s="22"/>
      <c r="X4941" s="104"/>
      <c r="Y4941" s="195" t="str">
        <f t="shared" si="1504"/>
        <v/>
      </c>
      <c r="Z4941" s="196" t="str">
        <f t="shared" si="1505"/>
        <v/>
      </c>
      <c r="AA4941" s="22"/>
      <c r="AB4941" s="197" t="str">
        <f t="shared" si="1510"/>
        <v/>
      </c>
      <c r="AC4941" s="198" t="str">
        <f t="shared" si="1511"/>
        <v/>
      </c>
      <c r="AD4941" s="162"/>
      <c r="AE4941" s="199" t="str">
        <f t="shared" si="1512"/>
        <v/>
      </c>
      <c r="AF4941" s="199" t="str">
        <f>IF(AND(COUNTIFS($J$18:J4941,J4941)=1,AE4941=1),1,"")</f>
        <v/>
      </c>
      <c r="AG4941" s="199" t="str">
        <f>IF(C4941="","",IF(AND(COUNTIFS($J$18:J4941,J4941)=1,C4941&lt;&gt;""),1,""))</f>
        <v/>
      </c>
      <c r="AH4941" s="199" t="str">
        <f>IF(G4941="","",IF(AND(COUNTIFS($J$18:J4941,J4941)=1,G4941&lt;&gt;""),1,""))</f>
        <v/>
      </c>
      <c r="AI4941" s="200">
        <f t="shared" si="1513"/>
        <v>0</v>
      </c>
      <c r="AJ4941" s="200">
        <f t="shared" si="1514"/>
        <v>0</v>
      </c>
      <c r="AK4941" s="201" t="str">
        <f t="shared" si="1515"/>
        <v/>
      </c>
      <c r="AL4941" s="24"/>
      <c r="AM4941" s="24"/>
      <c r="AN4941" s="24"/>
      <c r="AO4941" s="24"/>
      <c r="AP4941" s="165" t="str">
        <f t="shared" si="1516"/>
        <v/>
      </c>
      <c r="AQ4941" s="203" t="str">
        <f t="shared" si="1517"/>
        <v/>
      </c>
      <c r="AR4941" s="206">
        <f t="shared" si="1518"/>
        <v>0</v>
      </c>
      <c r="AS4941" s="22" t="str">
        <f t="shared" si="1519"/>
        <v/>
      </c>
      <c r="AT4941" s="24" t="str">
        <f t="shared" si="1520"/>
        <v/>
      </c>
      <c r="AU4941" s="22" t="s">
        <v>3240</v>
      </c>
    </row>
    <row r="4942" spans="1:47">
      <c r="A4942" s="246" t="str">
        <f t="shared" si="1508"/>
        <v/>
      </c>
      <c r="B4942" s="23"/>
      <c r="C4942" s="23"/>
      <c r="D4942" s="202" t="str">
        <f t="shared" si="1509"/>
        <v/>
      </c>
      <c r="E4942" s="33" t="str">
        <f t="shared" si="1503"/>
        <v/>
      </c>
      <c r="F4942" s="23"/>
      <c r="G4942" s="23"/>
      <c r="H4942" s="29"/>
      <c r="I4942" s="204" t="str">
        <f t="shared" si="1506"/>
        <v/>
      </c>
      <c r="J4942" s="188"/>
      <c r="K4942" s="29"/>
      <c r="L4942" s="24"/>
      <c r="M4942" s="22"/>
      <c r="N4942" s="22"/>
      <c r="O4942" s="22"/>
      <c r="P4942" s="202" t="str">
        <f t="shared" si="1507"/>
        <v/>
      </c>
      <c r="Q4942" s="22"/>
      <c r="R4942" s="22"/>
      <c r="S4942" s="22"/>
      <c r="T4942" s="22"/>
      <c r="U4942" s="22"/>
      <c r="V4942" s="22"/>
      <c r="W4942" s="22"/>
      <c r="X4942" s="104"/>
      <c r="Y4942" s="195" t="str">
        <f t="shared" si="1504"/>
        <v/>
      </c>
      <c r="Z4942" s="196" t="str">
        <f t="shared" si="1505"/>
        <v/>
      </c>
      <c r="AA4942" s="22"/>
      <c r="AB4942" s="197" t="str">
        <f t="shared" si="1510"/>
        <v/>
      </c>
      <c r="AC4942" s="198" t="str">
        <f t="shared" si="1511"/>
        <v/>
      </c>
      <c r="AD4942" s="162"/>
      <c r="AE4942" s="199" t="str">
        <f t="shared" si="1512"/>
        <v/>
      </c>
      <c r="AF4942" s="199" t="str">
        <f>IF(AND(COUNTIFS($J$18:J4942,J4942)=1,AE4942=1),1,"")</f>
        <v/>
      </c>
      <c r="AG4942" s="199" t="str">
        <f>IF(C4942="","",IF(AND(COUNTIFS($J$18:J4942,J4942)=1,C4942&lt;&gt;""),1,""))</f>
        <v/>
      </c>
      <c r="AH4942" s="199" t="str">
        <f>IF(G4942="","",IF(AND(COUNTIFS($J$18:J4942,J4942)=1,G4942&lt;&gt;""),1,""))</f>
        <v/>
      </c>
      <c r="AI4942" s="200">
        <f t="shared" si="1513"/>
        <v>0</v>
      </c>
      <c r="AJ4942" s="200">
        <f t="shared" si="1514"/>
        <v>0</v>
      </c>
      <c r="AK4942" s="201" t="str">
        <f t="shared" si="1515"/>
        <v/>
      </c>
      <c r="AL4942" s="24"/>
      <c r="AM4942" s="24"/>
      <c r="AN4942" s="24"/>
      <c r="AO4942" s="24"/>
      <c r="AP4942" s="165" t="str">
        <f t="shared" si="1516"/>
        <v/>
      </c>
      <c r="AQ4942" s="203" t="str">
        <f t="shared" si="1517"/>
        <v/>
      </c>
      <c r="AR4942" s="206">
        <f t="shared" si="1518"/>
        <v>0</v>
      </c>
      <c r="AS4942" s="22" t="str">
        <f t="shared" si="1519"/>
        <v/>
      </c>
      <c r="AT4942" s="24" t="str">
        <f t="shared" si="1520"/>
        <v/>
      </c>
      <c r="AU4942" s="22" t="s">
        <v>3240</v>
      </c>
    </row>
    <row r="4943" spans="1:47">
      <c r="A4943" s="246" t="str">
        <f t="shared" si="1508"/>
        <v/>
      </c>
      <c r="B4943" s="23"/>
      <c r="C4943" s="23"/>
      <c r="D4943" s="202" t="str">
        <f t="shared" si="1509"/>
        <v/>
      </c>
      <c r="E4943" s="33" t="str">
        <f t="shared" si="1503"/>
        <v/>
      </c>
      <c r="F4943" s="23"/>
      <c r="G4943" s="23"/>
      <c r="H4943" s="29"/>
      <c r="I4943" s="204" t="str">
        <f t="shared" si="1506"/>
        <v/>
      </c>
      <c r="J4943" s="188"/>
      <c r="K4943" s="29"/>
      <c r="L4943" s="24"/>
      <c r="M4943" s="22"/>
      <c r="N4943" s="22"/>
      <c r="O4943" s="22"/>
      <c r="P4943" s="202" t="str">
        <f t="shared" si="1507"/>
        <v/>
      </c>
      <c r="Q4943" s="22"/>
      <c r="R4943" s="22"/>
      <c r="S4943" s="22"/>
      <c r="T4943" s="22"/>
      <c r="U4943" s="22"/>
      <c r="V4943" s="22"/>
      <c r="W4943" s="22"/>
      <c r="X4943" s="104"/>
      <c r="Y4943" s="195" t="str">
        <f t="shared" si="1504"/>
        <v/>
      </c>
      <c r="Z4943" s="196" t="str">
        <f t="shared" si="1505"/>
        <v/>
      </c>
      <c r="AA4943" s="22"/>
      <c r="AB4943" s="197" t="str">
        <f t="shared" si="1510"/>
        <v/>
      </c>
      <c r="AC4943" s="198" t="str">
        <f t="shared" si="1511"/>
        <v/>
      </c>
      <c r="AD4943" s="162"/>
      <c r="AE4943" s="199" t="str">
        <f t="shared" si="1512"/>
        <v/>
      </c>
      <c r="AF4943" s="199" t="str">
        <f>IF(AND(COUNTIFS($J$18:J4943,J4943)=1,AE4943=1),1,"")</f>
        <v/>
      </c>
      <c r="AG4943" s="199" t="str">
        <f>IF(C4943="","",IF(AND(COUNTIFS($J$18:J4943,J4943)=1,C4943&lt;&gt;""),1,""))</f>
        <v/>
      </c>
      <c r="AH4943" s="199" t="str">
        <f>IF(G4943="","",IF(AND(COUNTIFS($J$18:J4943,J4943)=1,G4943&lt;&gt;""),1,""))</f>
        <v/>
      </c>
      <c r="AI4943" s="200">
        <f t="shared" si="1513"/>
        <v>0</v>
      </c>
      <c r="AJ4943" s="200">
        <f t="shared" si="1514"/>
        <v>0</v>
      </c>
      <c r="AK4943" s="201" t="str">
        <f t="shared" si="1515"/>
        <v/>
      </c>
      <c r="AL4943" s="24"/>
      <c r="AM4943" s="24"/>
      <c r="AN4943" s="24"/>
      <c r="AO4943" s="24"/>
      <c r="AP4943" s="165" t="str">
        <f t="shared" si="1516"/>
        <v/>
      </c>
      <c r="AQ4943" s="203" t="str">
        <f t="shared" si="1517"/>
        <v/>
      </c>
      <c r="AR4943" s="206">
        <f t="shared" si="1518"/>
        <v>0</v>
      </c>
      <c r="AS4943" s="22" t="str">
        <f t="shared" si="1519"/>
        <v/>
      </c>
      <c r="AT4943" s="24" t="str">
        <f t="shared" si="1520"/>
        <v/>
      </c>
      <c r="AU4943" s="22" t="s">
        <v>3240</v>
      </c>
    </row>
    <row r="4944" spans="1:47">
      <c r="A4944" s="246" t="str">
        <f t="shared" si="1508"/>
        <v/>
      </c>
      <c r="B4944" s="23"/>
      <c r="C4944" s="23"/>
      <c r="D4944" s="202" t="str">
        <f t="shared" si="1509"/>
        <v/>
      </c>
      <c r="E4944" s="33" t="str">
        <f t="shared" si="1503"/>
        <v/>
      </c>
      <c r="F4944" s="23"/>
      <c r="G4944" s="23"/>
      <c r="H4944" s="29"/>
      <c r="I4944" s="204" t="str">
        <f t="shared" si="1506"/>
        <v/>
      </c>
      <c r="J4944" s="188"/>
      <c r="K4944" s="29"/>
      <c r="L4944" s="24"/>
      <c r="M4944" s="22"/>
      <c r="N4944" s="22"/>
      <c r="O4944" s="22"/>
      <c r="P4944" s="202" t="str">
        <f t="shared" si="1507"/>
        <v/>
      </c>
      <c r="Q4944" s="22"/>
      <c r="R4944" s="22"/>
      <c r="S4944" s="22"/>
      <c r="T4944" s="22"/>
      <c r="U4944" s="22"/>
      <c r="V4944" s="22"/>
      <c r="W4944" s="22"/>
      <c r="X4944" s="104"/>
      <c r="Y4944" s="195" t="str">
        <f t="shared" si="1504"/>
        <v/>
      </c>
      <c r="Z4944" s="196" t="str">
        <f t="shared" si="1505"/>
        <v/>
      </c>
      <c r="AA4944" s="22"/>
      <c r="AB4944" s="197" t="str">
        <f t="shared" si="1510"/>
        <v/>
      </c>
      <c r="AC4944" s="198" t="str">
        <f t="shared" si="1511"/>
        <v/>
      </c>
      <c r="AD4944" s="162"/>
      <c r="AE4944" s="199" t="str">
        <f t="shared" si="1512"/>
        <v/>
      </c>
      <c r="AF4944" s="199" t="str">
        <f>IF(AND(COUNTIFS($J$18:J4944,J4944)=1,AE4944=1),1,"")</f>
        <v/>
      </c>
      <c r="AG4944" s="199" t="str">
        <f>IF(C4944="","",IF(AND(COUNTIFS($J$18:J4944,J4944)=1,C4944&lt;&gt;""),1,""))</f>
        <v/>
      </c>
      <c r="AH4944" s="199" t="str">
        <f>IF(G4944="","",IF(AND(COUNTIFS($J$18:J4944,J4944)=1,G4944&lt;&gt;""),1,""))</f>
        <v/>
      </c>
      <c r="AI4944" s="200">
        <f t="shared" si="1513"/>
        <v>0</v>
      </c>
      <c r="AJ4944" s="200">
        <f t="shared" si="1514"/>
        <v>0</v>
      </c>
      <c r="AK4944" s="201" t="str">
        <f t="shared" si="1515"/>
        <v/>
      </c>
      <c r="AL4944" s="24"/>
      <c r="AM4944" s="24"/>
      <c r="AN4944" s="24"/>
      <c r="AO4944" s="24"/>
      <c r="AP4944" s="165" t="str">
        <f t="shared" si="1516"/>
        <v/>
      </c>
      <c r="AQ4944" s="203" t="str">
        <f t="shared" si="1517"/>
        <v/>
      </c>
      <c r="AR4944" s="206">
        <f t="shared" si="1518"/>
        <v>0</v>
      </c>
      <c r="AS4944" s="22" t="str">
        <f t="shared" si="1519"/>
        <v/>
      </c>
      <c r="AT4944" s="24" t="str">
        <f t="shared" si="1520"/>
        <v/>
      </c>
      <c r="AU4944" s="22" t="s">
        <v>3240</v>
      </c>
    </row>
    <row r="4945" spans="1:47">
      <c r="A4945" s="246" t="str">
        <f t="shared" si="1508"/>
        <v/>
      </c>
      <c r="B4945" s="23"/>
      <c r="C4945" s="23"/>
      <c r="D4945" s="202" t="str">
        <f t="shared" si="1509"/>
        <v/>
      </c>
      <c r="E4945" s="33" t="str">
        <f t="shared" si="1503"/>
        <v/>
      </c>
      <c r="F4945" s="23"/>
      <c r="G4945" s="23"/>
      <c r="H4945" s="29"/>
      <c r="I4945" s="204" t="str">
        <f t="shared" si="1506"/>
        <v/>
      </c>
      <c r="J4945" s="188"/>
      <c r="K4945" s="29"/>
      <c r="L4945" s="24"/>
      <c r="M4945" s="22"/>
      <c r="N4945" s="22"/>
      <c r="O4945" s="22"/>
      <c r="P4945" s="202" t="str">
        <f t="shared" si="1507"/>
        <v/>
      </c>
      <c r="Q4945" s="22"/>
      <c r="R4945" s="22"/>
      <c r="S4945" s="22"/>
      <c r="T4945" s="22"/>
      <c r="U4945" s="22"/>
      <c r="V4945" s="22"/>
      <c r="W4945" s="22"/>
      <c r="X4945" s="104"/>
      <c r="Y4945" s="195" t="str">
        <f t="shared" si="1504"/>
        <v/>
      </c>
      <c r="Z4945" s="196" t="str">
        <f t="shared" si="1505"/>
        <v/>
      </c>
      <c r="AA4945" s="22"/>
      <c r="AB4945" s="197" t="str">
        <f t="shared" si="1510"/>
        <v/>
      </c>
      <c r="AC4945" s="198" t="str">
        <f t="shared" si="1511"/>
        <v/>
      </c>
      <c r="AD4945" s="162"/>
      <c r="AE4945" s="199" t="str">
        <f t="shared" si="1512"/>
        <v/>
      </c>
      <c r="AF4945" s="199" t="str">
        <f>IF(AND(COUNTIFS($J$18:J4945,J4945)=1,AE4945=1),1,"")</f>
        <v/>
      </c>
      <c r="AG4945" s="199" t="str">
        <f>IF(C4945="","",IF(AND(COUNTIFS($J$18:J4945,J4945)=1,C4945&lt;&gt;""),1,""))</f>
        <v/>
      </c>
      <c r="AH4945" s="199" t="str">
        <f>IF(G4945="","",IF(AND(COUNTIFS($J$18:J4945,J4945)=1,G4945&lt;&gt;""),1,""))</f>
        <v/>
      </c>
      <c r="AI4945" s="200">
        <f t="shared" si="1513"/>
        <v>0</v>
      </c>
      <c r="AJ4945" s="200">
        <f t="shared" si="1514"/>
        <v>0</v>
      </c>
      <c r="AK4945" s="201" t="str">
        <f t="shared" si="1515"/>
        <v/>
      </c>
      <c r="AL4945" s="24"/>
      <c r="AM4945" s="24"/>
      <c r="AN4945" s="24"/>
      <c r="AO4945" s="24"/>
      <c r="AP4945" s="165" t="str">
        <f t="shared" si="1516"/>
        <v/>
      </c>
      <c r="AQ4945" s="203" t="str">
        <f t="shared" si="1517"/>
        <v/>
      </c>
      <c r="AR4945" s="206">
        <f t="shared" si="1518"/>
        <v>0</v>
      </c>
      <c r="AS4945" s="22" t="str">
        <f t="shared" si="1519"/>
        <v/>
      </c>
      <c r="AT4945" s="24" t="str">
        <f t="shared" si="1520"/>
        <v/>
      </c>
      <c r="AU4945" s="22" t="s">
        <v>3240</v>
      </c>
    </row>
    <row r="4946" spans="1:47">
      <c r="A4946" s="246" t="str">
        <f t="shared" si="1508"/>
        <v/>
      </c>
      <c r="B4946" s="23"/>
      <c r="C4946" s="23"/>
      <c r="D4946" s="202" t="str">
        <f t="shared" si="1509"/>
        <v/>
      </c>
      <c r="E4946" s="33" t="str">
        <f t="shared" si="1503"/>
        <v/>
      </c>
      <c r="F4946" s="23"/>
      <c r="G4946" s="23"/>
      <c r="H4946" s="29"/>
      <c r="I4946" s="204" t="str">
        <f t="shared" si="1506"/>
        <v/>
      </c>
      <c r="J4946" s="188"/>
      <c r="K4946" s="29"/>
      <c r="L4946" s="24"/>
      <c r="M4946" s="22"/>
      <c r="N4946" s="22"/>
      <c r="O4946" s="22"/>
      <c r="P4946" s="202" t="str">
        <f t="shared" si="1507"/>
        <v/>
      </c>
      <c r="Q4946" s="22"/>
      <c r="R4946" s="22"/>
      <c r="S4946" s="22"/>
      <c r="T4946" s="22"/>
      <c r="U4946" s="22"/>
      <c r="V4946" s="22"/>
      <c r="W4946" s="22"/>
      <c r="X4946" s="104"/>
      <c r="Y4946" s="195" t="str">
        <f t="shared" si="1504"/>
        <v/>
      </c>
      <c r="Z4946" s="196" t="str">
        <f t="shared" si="1505"/>
        <v/>
      </c>
      <c r="AA4946" s="22"/>
      <c r="AB4946" s="197" t="str">
        <f t="shared" si="1510"/>
        <v/>
      </c>
      <c r="AC4946" s="198" t="str">
        <f t="shared" si="1511"/>
        <v/>
      </c>
      <c r="AD4946" s="162"/>
      <c r="AE4946" s="199" t="str">
        <f t="shared" si="1512"/>
        <v/>
      </c>
      <c r="AF4946" s="199" t="str">
        <f>IF(AND(COUNTIFS($J$18:J4946,J4946)=1,AE4946=1),1,"")</f>
        <v/>
      </c>
      <c r="AG4946" s="199" t="str">
        <f>IF(C4946="","",IF(AND(COUNTIFS($J$18:J4946,J4946)=1,C4946&lt;&gt;""),1,""))</f>
        <v/>
      </c>
      <c r="AH4946" s="199" t="str">
        <f>IF(G4946="","",IF(AND(COUNTIFS($J$18:J4946,J4946)=1,G4946&lt;&gt;""),1,""))</f>
        <v/>
      </c>
      <c r="AI4946" s="200">
        <f t="shared" si="1513"/>
        <v>0</v>
      </c>
      <c r="AJ4946" s="200">
        <f t="shared" si="1514"/>
        <v>0</v>
      </c>
      <c r="AK4946" s="201" t="str">
        <f t="shared" si="1515"/>
        <v/>
      </c>
      <c r="AL4946" s="24"/>
      <c r="AM4946" s="24"/>
      <c r="AN4946" s="24"/>
      <c r="AO4946" s="24"/>
      <c r="AP4946" s="165" t="str">
        <f t="shared" si="1516"/>
        <v/>
      </c>
      <c r="AQ4946" s="203" t="str">
        <f t="shared" si="1517"/>
        <v/>
      </c>
      <c r="AR4946" s="206">
        <f t="shared" si="1518"/>
        <v>0</v>
      </c>
      <c r="AS4946" s="22" t="str">
        <f t="shared" si="1519"/>
        <v/>
      </c>
      <c r="AT4946" s="24" t="str">
        <f t="shared" si="1520"/>
        <v/>
      </c>
      <c r="AU4946" s="22" t="s">
        <v>3240</v>
      </c>
    </row>
    <row r="4947" spans="1:47">
      <c r="A4947" s="246" t="str">
        <f t="shared" si="1508"/>
        <v/>
      </c>
      <c r="B4947" s="23"/>
      <c r="C4947" s="23"/>
      <c r="D4947" s="202" t="str">
        <f t="shared" si="1509"/>
        <v/>
      </c>
      <c r="E4947" s="33" t="str">
        <f t="shared" si="1503"/>
        <v/>
      </c>
      <c r="F4947" s="23"/>
      <c r="G4947" s="23"/>
      <c r="H4947" s="29"/>
      <c r="I4947" s="204" t="str">
        <f t="shared" si="1506"/>
        <v/>
      </c>
      <c r="J4947" s="188"/>
      <c r="K4947" s="29"/>
      <c r="L4947" s="24"/>
      <c r="M4947" s="22"/>
      <c r="N4947" s="22"/>
      <c r="O4947" s="22"/>
      <c r="P4947" s="202" t="str">
        <f t="shared" si="1507"/>
        <v/>
      </c>
      <c r="Q4947" s="22"/>
      <c r="R4947" s="22"/>
      <c r="S4947" s="22"/>
      <c r="T4947" s="22"/>
      <c r="U4947" s="22"/>
      <c r="V4947" s="22"/>
      <c r="W4947" s="22"/>
      <c r="X4947" s="104"/>
      <c r="Y4947" s="195" t="str">
        <f t="shared" si="1504"/>
        <v/>
      </c>
      <c r="Z4947" s="196" t="str">
        <f t="shared" si="1505"/>
        <v/>
      </c>
      <c r="AA4947" s="22"/>
      <c r="AB4947" s="197" t="str">
        <f t="shared" si="1510"/>
        <v/>
      </c>
      <c r="AC4947" s="198" t="str">
        <f t="shared" si="1511"/>
        <v/>
      </c>
      <c r="AD4947" s="162"/>
      <c r="AE4947" s="199" t="str">
        <f t="shared" si="1512"/>
        <v/>
      </c>
      <c r="AF4947" s="199" t="str">
        <f>IF(AND(COUNTIFS($J$18:J4947,J4947)=1,AE4947=1),1,"")</f>
        <v/>
      </c>
      <c r="AG4947" s="199" t="str">
        <f>IF(C4947="","",IF(AND(COUNTIFS($J$18:J4947,J4947)=1,C4947&lt;&gt;""),1,""))</f>
        <v/>
      </c>
      <c r="AH4947" s="199" t="str">
        <f>IF(G4947="","",IF(AND(COUNTIFS($J$18:J4947,J4947)=1,G4947&lt;&gt;""),1,""))</f>
        <v/>
      </c>
      <c r="AI4947" s="200">
        <f t="shared" si="1513"/>
        <v>0</v>
      </c>
      <c r="AJ4947" s="200">
        <f t="shared" si="1514"/>
        <v>0</v>
      </c>
      <c r="AK4947" s="201" t="str">
        <f t="shared" si="1515"/>
        <v/>
      </c>
      <c r="AL4947" s="24"/>
      <c r="AM4947" s="24"/>
      <c r="AN4947" s="24"/>
      <c r="AO4947" s="24"/>
      <c r="AP4947" s="165" t="str">
        <f t="shared" si="1516"/>
        <v/>
      </c>
      <c r="AQ4947" s="203" t="str">
        <f t="shared" si="1517"/>
        <v/>
      </c>
      <c r="AR4947" s="206">
        <f t="shared" si="1518"/>
        <v>0</v>
      </c>
      <c r="AS4947" s="22" t="str">
        <f t="shared" si="1519"/>
        <v/>
      </c>
      <c r="AT4947" s="24" t="str">
        <f t="shared" si="1520"/>
        <v/>
      </c>
      <c r="AU4947" s="22" t="s">
        <v>3240</v>
      </c>
    </row>
    <row r="4948" spans="1:47">
      <c r="A4948" s="246" t="str">
        <f t="shared" si="1508"/>
        <v/>
      </c>
      <c r="B4948" s="23"/>
      <c r="C4948" s="23"/>
      <c r="D4948" s="202" t="str">
        <f t="shared" si="1509"/>
        <v/>
      </c>
      <c r="E4948" s="33" t="str">
        <f t="shared" si="1503"/>
        <v/>
      </c>
      <c r="F4948" s="23"/>
      <c r="G4948" s="23"/>
      <c r="H4948" s="29"/>
      <c r="I4948" s="204" t="str">
        <f t="shared" si="1506"/>
        <v/>
      </c>
      <c r="J4948" s="188"/>
      <c r="K4948" s="29"/>
      <c r="L4948" s="24"/>
      <c r="M4948" s="22"/>
      <c r="N4948" s="22"/>
      <c r="O4948" s="22"/>
      <c r="P4948" s="202" t="str">
        <f t="shared" si="1507"/>
        <v/>
      </c>
      <c r="Q4948" s="22"/>
      <c r="R4948" s="22"/>
      <c r="S4948" s="22"/>
      <c r="T4948" s="22"/>
      <c r="U4948" s="22"/>
      <c r="V4948" s="22"/>
      <c r="W4948" s="22"/>
      <c r="X4948" s="104"/>
      <c r="Y4948" s="195" t="str">
        <f t="shared" si="1504"/>
        <v/>
      </c>
      <c r="Z4948" s="196" t="str">
        <f t="shared" si="1505"/>
        <v/>
      </c>
      <c r="AA4948" s="22"/>
      <c r="AB4948" s="197" t="str">
        <f t="shared" si="1510"/>
        <v/>
      </c>
      <c r="AC4948" s="198" t="str">
        <f t="shared" si="1511"/>
        <v/>
      </c>
      <c r="AD4948" s="162"/>
      <c r="AE4948" s="199" t="str">
        <f t="shared" si="1512"/>
        <v/>
      </c>
      <c r="AF4948" s="199" t="str">
        <f>IF(AND(COUNTIFS($J$18:J4948,J4948)=1,AE4948=1),1,"")</f>
        <v/>
      </c>
      <c r="AG4948" s="199" t="str">
        <f>IF(C4948="","",IF(AND(COUNTIFS($J$18:J4948,J4948)=1,C4948&lt;&gt;""),1,""))</f>
        <v/>
      </c>
      <c r="AH4948" s="199" t="str">
        <f>IF(G4948="","",IF(AND(COUNTIFS($J$18:J4948,J4948)=1,G4948&lt;&gt;""),1,""))</f>
        <v/>
      </c>
      <c r="AI4948" s="200">
        <f t="shared" si="1513"/>
        <v>0</v>
      </c>
      <c r="AJ4948" s="200">
        <f t="shared" si="1514"/>
        <v>0</v>
      </c>
      <c r="AK4948" s="201" t="str">
        <f t="shared" si="1515"/>
        <v/>
      </c>
      <c r="AL4948" s="24"/>
      <c r="AM4948" s="24"/>
      <c r="AN4948" s="24"/>
      <c r="AO4948" s="24"/>
      <c r="AP4948" s="165" t="str">
        <f t="shared" si="1516"/>
        <v/>
      </c>
      <c r="AQ4948" s="203" t="str">
        <f t="shared" si="1517"/>
        <v/>
      </c>
      <c r="AR4948" s="206">
        <f t="shared" si="1518"/>
        <v>0</v>
      </c>
      <c r="AS4948" s="22" t="str">
        <f t="shared" si="1519"/>
        <v/>
      </c>
      <c r="AT4948" s="24" t="str">
        <f t="shared" si="1520"/>
        <v/>
      </c>
      <c r="AU4948" s="22" t="s">
        <v>3240</v>
      </c>
    </row>
    <row r="4949" spans="1:47">
      <c r="A4949" s="246" t="str">
        <f t="shared" si="1508"/>
        <v/>
      </c>
      <c r="B4949" s="23"/>
      <c r="C4949" s="23"/>
      <c r="D4949" s="202" t="str">
        <f t="shared" si="1509"/>
        <v/>
      </c>
      <c r="E4949" s="33" t="str">
        <f t="shared" si="1503"/>
        <v/>
      </c>
      <c r="F4949" s="23"/>
      <c r="G4949" s="23"/>
      <c r="H4949" s="29"/>
      <c r="I4949" s="204" t="str">
        <f t="shared" si="1506"/>
        <v/>
      </c>
      <c r="J4949" s="188"/>
      <c r="K4949" s="29"/>
      <c r="L4949" s="24"/>
      <c r="M4949" s="22"/>
      <c r="N4949" s="22"/>
      <c r="O4949" s="22"/>
      <c r="P4949" s="202" t="str">
        <f t="shared" si="1507"/>
        <v/>
      </c>
      <c r="Q4949" s="22"/>
      <c r="R4949" s="22"/>
      <c r="S4949" s="22"/>
      <c r="T4949" s="22"/>
      <c r="U4949" s="22"/>
      <c r="V4949" s="22"/>
      <c r="W4949" s="22"/>
      <c r="X4949" s="104"/>
      <c r="Y4949" s="195" t="str">
        <f t="shared" si="1504"/>
        <v/>
      </c>
      <c r="Z4949" s="196" t="str">
        <f t="shared" si="1505"/>
        <v/>
      </c>
      <c r="AA4949" s="22"/>
      <c r="AB4949" s="197" t="str">
        <f t="shared" si="1510"/>
        <v/>
      </c>
      <c r="AC4949" s="198" t="str">
        <f t="shared" si="1511"/>
        <v/>
      </c>
      <c r="AD4949" s="162"/>
      <c r="AE4949" s="199" t="str">
        <f t="shared" si="1512"/>
        <v/>
      </c>
      <c r="AF4949" s="199" t="str">
        <f>IF(AND(COUNTIFS($J$18:J4949,J4949)=1,AE4949=1),1,"")</f>
        <v/>
      </c>
      <c r="AG4949" s="199" t="str">
        <f>IF(C4949="","",IF(AND(COUNTIFS($J$18:J4949,J4949)=1,C4949&lt;&gt;""),1,""))</f>
        <v/>
      </c>
      <c r="AH4949" s="199" t="str">
        <f>IF(G4949="","",IF(AND(COUNTIFS($J$18:J4949,J4949)=1,G4949&lt;&gt;""),1,""))</f>
        <v/>
      </c>
      <c r="AI4949" s="200">
        <f t="shared" si="1513"/>
        <v>0</v>
      </c>
      <c r="AJ4949" s="200">
        <f t="shared" si="1514"/>
        <v>0</v>
      </c>
      <c r="AK4949" s="201" t="str">
        <f t="shared" si="1515"/>
        <v/>
      </c>
      <c r="AL4949" s="24"/>
      <c r="AM4949" s="24"/>
      <c r="AN4949" s="24"/>
      <c r="AO4949" s="24"/>
      <c r="AP4949" s="165" t="str">
        <f t="shared" si="1516"/>
        <v/>
      </c>
      <c r="AQ4949" s="203" t="str">
        <f t="shared" si="1517"/>
        <v/>
      </c>
      <c r="AR4949" s="206">
        <f t="shared" si="1518"/>
        <v>0</v>
      </c>
      <c r="AS4949" s="22" t="str">
        <f t="shared" si="1519"/>
        <v/>
      </c>
      <c r="AT4949" s="24" t="str">
        <f t="shared" si="1520"/>
        <v/>
      </c>
      <c r="AU4949" s="22" t="s">
        <v>3240</v>
      </c>
    </row>
    <row r="4950" spans="1:47">
      <c r="A4950" s="246" t="str">
        <f t="shared" si="1508"/>
        <v/>
      </c>
      <c r="B4950" s="23"/>
      <c r="C4950" s="23"/>
      <c r="D4950" s="202" t="str">
        <f t="shared" si="1509"/>
        <v/>
      </c>
      <c r="E4950" s="33" t="str">
        <f t="shared" si="1503"/>
        <v/>
      </c>
      <c r="F4950" s="23"/>
      <c r="G4950" s="23"/>
      <c r="H4950" s="29"/>
      <c r="I4950" s="204" t="str">
        <f t="shared" si="1506"/>
        <v/>
      </c>
      <c r="J4950" s="188"/>
      <c r="K4950" s="29"/>
      <c r="L4950" s="24"/>
      <c r="M4950" s="22"/>
      <c r="N4950" s="22"/>
      <c r="O4950" s="22"/>
      <c r="P4950" s="202" t="str">
        <f t="shared" si="1507"/>
        <v/>
      </c>
      <c r="Q4950" s="22"/>
      <c r="R4950" s="22"/>
      <c r="S4950" s="22"/>
      <c r="T4950" s="22"/>
      <c r="U4950" s="22"/>
      <c r="V4950" s="22"/>
      <c r="W4950" s="22"/>
      <c r="X4950" s="104"/>
      <c r="Y4950" s="195" t="str">
        <f t="shared" si="1504"/>
        <v/>
      </c>
      <c r="Z4950" s="196" t="str">
        <f t="shared" si="1505"/>
        <v/>
      </c>
      <c r="AA4950" s="22"/>
      <c r="AB4950" s="197" t="str">
        <f t="shared" si="1510"/>
        <v/>
      </c>
      <c r="AC4950" s="198" t="str">
        <f t="shared" si="1511"/>
        <v/>
      </c>
      <c r="AD4950" s="162"/>
      <c r="AE4950" s="199" t="str">
        <f t="shared" si="1512"/>
        <v/>
      </c>
      <c r="AF4950" s="199" t="str">
        <f>IF(AND(COUNTIFS($J$18:J4950,J4950)=1,AE4950=1),1,"")</f>
        <v/>
      </c>
      <c r="AG4950" s="199" t="str">
        <f>IF(C4950="","",IF(AND(COUNTIFS($J$18:J4950,J4950)=1,C4950&lt;&gt;""),1,""))</f>
        <v/>
      </c>
      <c r="AH4950" s="199" t="str">
        <f>IF(G4950="","",IF(AND(COUNTIFS($J$18:J4950,J4950)=1,G4950&lt;&gt;""),1,""))</f>
        <v/>
      </c>
      <c r="AI4950" s="200">
        <f t="shared" si="1513"/>
        <v>0</v>
      </c>
      <c r="AJ4950" s="200">
        <f t="shared" si="1514"/>
        <v>0</v>
      </c>
      <c r="AK4950" s="201" t="str">
        <f t="shared" si="1515"/>
        <v/>
      </c>
      <c r="AL4950" s="24"/>
      <c r="AM4950" s="24"/>
      <c r="AN4950" s="24"/>
      <c r="AO4950" s="24"/>
      <c r="AP4950" s="165" t="str">
        <f t="shared" si="1516"/>
        <v/>
      </c>
      <c r="AQ4950" s="203" t="str">
        <f t="shared" si="1517"/>
        <v/>
      </c>
      <c r="AR4950" s="206">
        <f t="shared" si="1518"/>
        <v>0</v>
      </c>
      <c r="AS4950" s="22" t="str">
        <f t="shared" si="1519"/>
        <v/>
      </c>
      <c r="AT4950" s="24" t="str">
        <f t="shared" si="1520"/>
        <v/>
      </c>
      <c r="AU4950" s="22" t="s">
        <v>3240</v>
      </c>
    </row>
    <row r="4951" spans="1:47">
      <c r="A4951" s="246" t="str">
        <f t="shared" si="1508"/>
        <v/>
      </c>
      <c r="B4951" s="23"/>
      <c r="C4951" s="23"/>
      <c r="D4951" s="202" t="str">
        <f t="shared" si="1509"/>
        <v/>
      </c>
      <c r="E4951" s="33" t="str">
        <f t="shared" si="1503"/>
        <v/>
      </c>
      <c r="F4951" s="23"/>
      <c r="G4951" s="23"/>
      <c r="H4951" s="29"/>
      <c r="I4951" s="204" t="str">
        <f t="shared" si="1506"/>
        <v/>
      </c>
      <c r="J4951" s="188"/>
      <c r="K4951" s="29"/>
      <c r="L4951" s="24"/>
      <c r="M4951" s="22"/>
      <c r="N4951" s="22"/>
      <c r="O4951" s="22"/>
      <c r="P4951" s="202" t="str">
        <f t="shared" si="1507"/>
        <v/>
      </c>
      <c r="Q4951" s="22"/>
      <c r="R4951" s="22"/>
      <c r="S4951" s="22"/>
      <c r="T4951" s="22"/>
      <c r="U4951" s="22"/>
      <c r="V4951" s="22"/>
      <c r="W4951" s="22"/>
      <c r="X4951" s="104"/>
      <c r="Y4951" s="195" t="str">
        <f t="shared" si="1504"/>
        <v/>
      </c>
      <c r="Z4951" s="196" t="str">
        <f t="shared" si="1505"/>
        <v/>
      </c>
      <c r="AA4951" s="22"/>
      <c r="AB4951" s="197" t="str">
        <f t="shared" si="1510"/>
        <v/>
      </c>
      <c r="AC4951" s="198" t="str">
        <f t="shared" si="1511"/>
        <v/>
      </c>
      <c r="AD4951" s="162"/>
      <c r="AE4951" s="199" t="str">
        <f t="shared" si="1512"/>
        <v/>
      </c>
      <c r="AF4951" s="199" t="str">
        <f>IF(AND(COUNTIFS($J$18:J4951,J4951)=1,AE4951=1),1,"")</f>
        <v/>
      </c>
      <c r="AG4951" s="199" t="str">
        <f>IF(C4951="","",IF(AND(COUNTIFS($J$18:J4951,J4951)=1,C4951&lt;&gt;""),1,""))</f>
        <v/>
      </c>
      <c r="AH4951" s="199" t="str">
        <f>IF(G4951="","",IF(AND(COUNTIFS($J$18:J4951,J4951)=1,G4951&lt;&gt;""),1,""))</f>
        <v/>
      </c>
      <c r="AI4951" s="200">
        <f t="shared" si="1513"/>
        <v>0</v>
      </c>
      <c r="AJ4951" s="200">
        <f t="shared" si="1514"/>
        <v>0</v>
      </c>
      <c r="AK4951" s="201" t="str">
        <f t="shared" si="1515"/>
        <v/>
      </c>
      <c r="AL4951" s="24"/>
      <c r="AM4951" s="24"/>
      <c r="AN4951" s="24"/>
      <c r="AO4951" s="24"/>
      <c r="AP4951" s="165" t="str">
        <f t="shared" si="1516"/>
        <v/>
      </c>
      <c r="AQ4951" s="203" t="str">
        <f t="shared" si="1517"/>
        <v/>
      </c>
      <c r="AR4951" s="206">
        <f t="shared" si="1518"/>
        <v>0</v>
      </c>
      <c r="AS4951" s="22" t="str">
        <f t="shared" si="1519"/>
        <v/>
      </c>
      <c r="AT4951" s="24" t="str">
        <f t="shared" si="1520"/>
        <v/>
      </c>
      <c r="AU4951" s="22" t="s">
        <v>3240</v>
      </c>
    </row>
    <row r="4952" spans="1:47">
      <c r="A4952" s="246" t="str">
        <f t="shared" si="1508"/>
        <v/>
      </c>
      <c r="B4952" s="23"/>
      <c r="C4952" s="23"/>
      <c r="D4952" s="202" t="str">
        <f t="shared" si="1509"/>
        <v/>
      </c>
      <c r="E4952" s="33" t="str">
        <f t="shared" ref="E4952:E5000" si="1521">IF(G4952="Cancel","Cancel",IF(G4952="TBA","TBA",IFERROR(IF(I4952="Q4","FY "&amp;RIGHT(F4952,2)-1&amp;"/"&amp;RIGHT(F4952,2),"FY "&amp;RIGHT(F4952,2)&amp;"/"&amp;RIGHT(F4952,2)+1),"")))</f>
        <v/>
      </c>
      <c r="F4952" s="23"/>
      <c r="G4952" s="23"/>
      <c r="H4952" s="29"/>
      <c r="I4952" s="204" t="str">
        <f t="shared" si="1506"/>
        <v/>
      </c>
      <c r="J4952" s="188"/>
      <c r="K4952" s="29"/>
      <c r="L4952" s="24"/>
      <c r="M4952" s="22"/>
      <c r="N4952" s="22"/>
      <c r="O4952" s="22"/>
      <c r="P4952" s="202" t="str">
        <f t="shared" si="1507"/>
        <v/>
      </c>
      <c r="Q4952" s="22"/>
      <c r="R4952" s="22"/>
      <c r="S4952" s="22"/>
      <c r="T4952" s="22"/>
      <c r="U4952" s="22"/>
      <c r="V4952" s="22"/>
      <c r="W4952" s="22"/>
      <c r="X4952" s="104"/>
      <c r="Y4952" s="195" t="str">
        <f t="shared" si="1504"/>
        <v/>
      </c>
      <c r="Z4952" s="196" t="str">
        <f t="shared" si="1505"/>
        <v/>
      </c>
      <c r="AA4952" s="22"/>
      <c r="AB4952" s="197" t="str">
        <f t="shared" si="1510"/>
        <v/>
      </c>
      <c r="AC4952" s="198" t="str">
        <f t="shared" si="1511"/>
        <v/>
      </c>
      <c r="AD4952" s="162"/>
      <c r="AE4952" s="199" t="str">
        <f t="shared" si="1512"/>
        <v/>
      </c>
      <c r="AF4952" s="199" t="str">
        <f>IF(AND(COUNTIFS($J$18:J4952,J4952)=1,AE4952=1),1,"")</f>
        <v/>
      </c>
      <c r="AG4952" s="199" t="str">
        <f>IF(C4952="","",IF(AND(COUNTIFS($J$18:J4952,J4952)=1,C4952&lt;&gt;""),1,""))</f>
        <v/>
      </c>
      <c r="AH4952" s="199" t="str">
        <f>IF(G4952="","",IF(AND(COUNTIFS($J$18:J4952,J4952)=1,G4952&lt;&gt;""),1,""))</f>
        <v/>
      </c>
      <c r="AI4952" s="200">
        <f t="shared" si="1513"/>
        <v>0</v>
      </c>
      <c r="AJ4952" s="200">
        <f t="shared" si="1514"/>
        <v>0</v>
      </c>
      <c r="AK4952" s="201" t="str">
        <f t="shared" si="1515"/>
        <v/>
      </c>
      <c r="AL4952" s="24"/>
      <c r="AM4952" s="24"/>
      <c r="AN4952" s="24"/>
      <c r="AO4952" s="24"/>
      <c r="AP4952" s="165" t="str">
        <f t="shared" si="1516"/>
        <v/>
      </c>
      <c r="AQ4952" s="203" t="str">
        <f t="shared" si="1517"/>
        <v/>
      </c>
      <c r="AR4952" s="206">
        <f t="shared" si="1518"/>
        <v>0</v>
      </c>
      <c r="AS4952" s="22" t="str">
        <f t="shared" si="1519"/>
        <v/>
      </c>
      <c r="AT4952" s="24" t="str">
        <f t="shared" si="1520"/>
        <v/>
      </c>
      <c r="AU4952" s="22" t="s">
        <v>3240</v>
      </c>
    </row>
    <row r="4953" spans="1:47">
      <c r="A4953" s="246" t="str">
        <f t="shared" si="1508"/>
        <v/>
      </c>
      <c r="B4953" s="23"/>
      <c r="C4953" s="23"/>
      <c r="D4953" s="202" t="str">
        <f t="shared" si="1509"/>
        <v/>
      </c>
      <c r="E4953" s="33" t="str">
        <f t="shared" si="1521"/>
        <v/>
      </c>
      <c r="F4953" s="23"/>
      <c r="G4953" s="23"/>
      <c r="H4953" s="29"/>
      <c r="I4953" s="204" t="str">
        <f t="shared" si="1506"/>
        <v/>
      </c>
      <c r="J4953" s="188"/>
      <c r="K4953" s="29"/>
      <c r="L4953" s="24"/>
      <c r="M4953" s="22"/>
      <c r="N4953" s="22"/>
      <c r="O4953" s="22"/>
      <c r="P4953" s="202" t="str">
        <f t="shared" si="1507"/>
        <v/>
      </c>
      <c r="Q4953" s="22"/>
      <c r="R4953" s="22"/>
      <c r="S4953" s="22"/>
      <c r="T4953" s="22"/>
      <c r="U4953" s="22"/>
      <c r="V4953" s="22"/>
      <c r="W4953" s="22"/>
      <c r="X4953" s="104"/>
      <c r="Y4953" s="195" t="str">
        <f t="shared" si="1504"/>
        <v/>
      </c>
      <c r="Z4953" s="196" t="str">
        <f t="shared" si="1505"/>
        <v/>
      </c>
      <c r="AA4953" s="22"/>
      <c r="AB4953" s="197" t="str">
        <f t="shared" si="1510"/>
        <v/>
      </c>
      <c r="AC4953" s="198" t="str">
        <f t="shared" si="1511"/>
        <v/>
      </c>
      <c r="AD4953" s="162"/>
      <c r="AE4953" s="199" t="str">
        <f t="shared" si="1512"/>
        <v/>
      </c>
      <c r="AF4953" s="199" t="str">
        <f>IF(AND(COUNTIFS($J$18:J4953,J4953)=1,AE4953=1),1,"")</f>
        <v/>
      </c>
      <c r="AG4953" s="199" t="str">
        <f>IF(C4953="","",IF(AND(COUNTIFS($J$18:J4953,J4953)=1,C4953&lt;&gt;""),1,""))</f>
        <v/>
      </c>
      <c r="AH4953" s="199" t="str">
        <f>IF(G4953="","",IF(AND(COUNTIFS($J$18:J4953,J4953)=1,G4953&lt;&gt;""),1,""))</f>
        <v/>
      </c>
      <c r="AI4953" s="200">
        <f t="shared" si="1513"/>
        <v>0</v>
      </c>
      <c r="AJ4953" s="200">
        <f t="shared" si="1514"/>
        <v>0</v>
      </c>
      <c r="AK4953" s="201" t="str">
        <f t="shared" si="1515"/>
        <v/>
      </c>
      <c r="AL4953" s="24"/>
      <c r="AM4953" s="24"/>
      <c r="AN4953" s="24"/>
      <c r="AO4953" s="24"/>
      <c r="AP4953" s="165" t="str">
        <f t="shared" si="1516"/>
        <v/>
      </c>
      <c r="AQ4953" s="203" t="str">
        <f t="shared" si="1517"/>
        <v/>
      </c>
      <c r="AR4953" s="206">
        <f t="shared" si="1518"/>
        <v>0</v>
      </c>
      <c r="AS4953" s="22" t="str">
        <f t="shared" si="1519"/>
        <v/>
      </c>
      <c r="AT4953" s="24" t="str">
        <f t="shared" si="1520"/>
        <v/>
      </c>
      <c r="AU4953" s="22" t="s">
        <v>3240</v>
      </c>
    </row>
    <row r="4954" spans="1:47">
      <c r="A4954" s="246" t="str">
        <f t="shared" si="1508"/>
        <v/>
      </c>
      <c r="B4954" s="23"/>
      <c r="C4954" s="23"/>
      <c r="D4954" s="202" t="str">
        <f t="shared" si="1509"/>
        <v/>
      </c>
      <c r="E4954" s="33" t="str">
        <f t="shared" si="1521"/>
        <v/>
      </c>
      <c r="F4954" s="23"/>
      <c r="G4954" s="23"/>
      <c r="H4954" s="29"/>
      <c r="I4954" s="204" t="str">
        <f t="shared" si="1506"/>
        <v/>
      </c>
      <c r="J4954" s="188"/>
      <c r="K4954" s="29"/>
      <c r="L4954" s="24"/>
      <c r="M4954" s="22"/>
      <c r="N4954" s="22"/>
      <c r="O4954" s="22"/>
      <c r="P4954" s="202" t="str">
        <f t="shared" si="1507"/>
        <v/>
      </c>
      <c r="Q4954" s="22"/>
      <c r="R4954" s="22"/>
      <c r="S4954" s="22"/>
      <c r="T4954" s="22"/>
      <c r="U4954" s="22"/>
      <c r="V4954" s="22"/>
      <c r="W4954" s="22"/>
      <c r="X4954" s="104"/>
      <c r="Y4954" s="195" t="str">
        <f t="shared" si="1504"/>
        <v/>
      </c>
      <c r="Z4954" s="196" t="str">
        <f t="shared" si="1505"/>
        <v/>
      </c>
      <c r="AA4954" s="22"/>
      <c r="AB4954" s="197" t="str">
        <f t="shared" si="1510"/>
        <v/>
      </c>
      <c r="AC4954" s="198" t="str">
        <f t="shared" si="1511"/>
        <v/>
      </c>
      <c r="AD4954" s="162"/>
      <c r="AE4954" s="199" t="str">
        <f t="shared" si="1512"/>
        <v/>
      </c>
      <c r="AF4954" s="199" t="str">
        <f>IF(AND(COUNTIFS($J$18:J4954,J4954)=1,AE4954=1),1,"")</f>
        <v/>
      </c>
      <c r="AG4954" s="199" t="str">
        <f>IF(C4954="","",IF(AND(COUNTIFS($J$18:J4954,J4954)=1,C4954&lt;&gt;""),1,""))</f>
        <v/>
      </c>
      <c r="AH4954" s="199" t="str">
        <f>IF(G4954="","",IF(AND(COUNTIFS($J$18:J4954,J4954)=1,G4954&lt;&gt;""),1,""))</f>
        <v/>
      </c>
      <c r="AI4954" s="200">
        <f t="shared" si="1513"/>
        <v>0</v>
      </c>
      <c r="AJ4954" s="200">
        <f t="shared" si="1514"/>
        <v>0</v>
      </c>
      <c r="AK4954" s="201" t="str">
        <f t="shared" si="1515"/>
        <v/>
      </c>
      <c r="AL4954" s="24"/>
      <c r="AM4954" s="24"/>
      <c r="AN4954" s="24"/>
      <c r="AO4954" s="24"/>
      <c r="AP4954" s="165" t="str">
        <f t="shared" si="1516"/>
        <v/>
      </c>
      <c r="AQ4954" s="203" t="str">
        <f t="shared" si="1517"/>
        <v/>
      </c>
      <c r="AR4954" s="206">
        <f t="shared" si="1518"/>
        <v>0</v>
      </c>
      <c r="AS4954" s="22" t="str">
        <f t="shared" si="1519"/>
        <v/>
      </c>
      <c r="AT4954" s="24" t="str">
        <f t="shared" si="1520"/>
        <v/>
      </c>
      <c r="AU4954" s="22" t="s">
        <v>3240</v>
      </c>
    </row>
    <row r="4955" spans="1:47">
      <c r="A4955" s="246" t="str">
        <f t="shared" si="1508"/>
        <v/>
      </c>
      <c r="B4955" s="23"/>
      <c r="C4955" s="23"/>
      <c r="D4955" s="202" t="str">
        <f t="shared" si="1509"/>
        <v/>
      </c>
      <c r="E4955" s="33" t="str">
        <f t="shared" si="1521"/>
        <v/>
      </c>
      <c r="F4955" s="23"/>
      <c r="G4955" s="23"/>
      <c r="H4955" s="29"/>
      <c r="I4955" s="204" t="str">
        <f t="shared" si="1506"/>
        <v/>
      </c>
      <c r="J4955" s="188"/>
      <c r="K4955" s="29"/>
      <c r="L4955" s="24"/>
      <c r="M4955" s="22"/>
      <c r="N4955" s="22"/>
      <c r="O4955" s="22"/>
      <c r="P4955" s="202" t="str">
        <f t="shared" si="1507"/>
        <v/>
      </c>
      <c r="Q4955" s="22"/>
      <c r="R4955" s="22"/>
      <c r="S4955" s="22"/>
      <c r="T4955" s="22"/>
      <c r="U4955" s="22"/>
      <c r="V4955" s="22"/>
      <c r="W4955" s="22"/>
      <c r="X4955" s="104"/>
      <c r="Y4955" s="195" t="str">
        <f t="shared" ref="Y4955:Y5000" si="1522">IF(W4955="","",IF(W4955="RMB","1.13", "1"))</f>
        <v/>
      </c>
      <c r="Z4955" s="196" t="str">
        <f t="shared" ref="Z4955:Z5000" si="1523">IF(X4955="","",X4955*MAX(O4955,N4955))</f>
        <v/>
      </c>
      <c r="AA4955" s="22"/>
      <c r="AB4955" s="197" t="str">
        <f t="shared" si="1510"/>
        <v/>
      </c>
      <c r="AC4955" s="198" t="str">
        <f t="shared" si="1511"/>
        <v/>
      </c>
      <c r="AD4955" s="162"/>
      <c r="AE4955" s="199" t="str">
        <f t="shared" si="1512"/>
        <v/>
      </c>
      <c r="AF4955" s="199" t="str">
        <f>IF(AND(COUNTIFS($J$18:J4955,J4955)=1,AE4955=1),1,"")</f>
        <v/>
      </c>
      <c r="AG4955" s="199" t="str">
        <f>IF(C4955="","",IF(AND(COUNTIFS($J$18:J4955,J4955)=1,C4955&lt;&gt;""),1,""))</f>
        <v/>
      </c>
      <c r="AH4955" s="199" t="str">
        <f>IF(G4955="","",IF(AND(COUNTIFS($J$18:J4955,J4955)=1,G4955&lt;&gt;""),1,""))</f>
        <v/>
      </c>
      <c r="AI4955" s="200">
        <f t="shared" si="1513"/>
        <v>0</v>
      </c>
      <c r="AJ4955" s="200">
        <f t="shared" si="1514"/>
        <v>0</v>
      </c>
      <c r="AK4955" s="201" t="str">
        <f t="shared" si="1515"/>
        <v/>
      </c>
      <c r="AL4955" s="24"/>
      <c r="AM4955" s="24"/>
      <c r="AN4955" s="24"/>
      <c r="AO4955" s="24"/>
      <c r="AP4955" s="165" t="str">
        <f t="shared" si="1516"/>
        <v/>
      </c>
      <c r="AQ4955" s="203" t="str">
        <f t="shared" si="1517"/>
        <v/>
      </c>
      <c r="AR4955" s="206">
        <f t="shared" si="1518"/>
        <v>0</v>
      </c>
      <c r="AS4955" s="22" t="str">
        <f t="shared" si="1519"/>
        <v/>
      </c>
      <c r="AT4955" s="24" t="str">
        <f t="shared" si="1520"/>
        <v/>
      </c>
      <c r="AU4955" s="22" t="s">
        <v>3240</v>
      </c>
    </row>
    <row r="4956" spans="1:47">
      <c r="A4956" s="246" t="str">
        <f t="shared" si="1508"/>
        <v/>
      </c>
      <c r="B4956" s="23"/>
      <c r="C4956" s="23"/>
      <c r="D4956" s="202" t="str">
        <f t="shared" si="1509"/>
        <v/>
      </c>
      <c r="E4956" s="33" t="str">
        <f t="shared" si="1521"/>
        <v/>
      </c>
      <c r="F4956" s="23"/>
      <c r="G4956" s="23"/>
      <c r="H4956" s="29"/>
      <c r="I4956" s="204" t="str">
        <f t="shared" si="1506"/>
        <v/>
      </c>
      <c r="J4956" s="188"/>
      <c r="K4956" s="29"/>
      <c r="L4956" s="24"/>
      <c r="M4956" s="22"/>
      <c r="N4956" s="22"/>
      <c r="O4956" s="22"/>
      <c r="P4956" s="202" t="str">
        <f t="shared" si="1507"/>
        <v/>
      </c>
      <c r="Q4956" s="22"/>
      <c r="R4956" s="22"/>
      <c r="S4956" s="22"/>
      <c r="T4956" s="22"/>
      <c r="U4956" s="22"/>
      <c r="V4956" s="22"/>
      <c r="W4956" s="22"/>
      <c r="X4956" s="104"/>
      <c r="Y4956" s="195" t="str">
        <f t="shared" si="1522"/>
        <v/>
      </c>
      <c r="Z4956" s="196" t="str">
        <f t="shared" si="1523"/>
        <v/>
      </c>
      <c r="AA4956" s="22"/>
      <c r="AB4956" s="197" t="str">
        <f t="shared" si="1510"/>
        <v/>
      </c>
      <c r="AC4956" s="198" t="str">
        <f t="shared" si="1511"/>
        <v/>
      </c>
      <c r="AD4956" s="162"/>
      <c r="AE4956" s="199" t="str">
        <f t="shared" si="1512"/>
        <v/>
      </c>
      <c r="AF4956" s="199" t="str">
        <f>IF(AND(COUNTIFS($J$18:J4956,J4956)=1,AE4956=1),1,"")</f>
        <v/>
      </c>
      <c r="AG4956" s="199" t="str">
        <f>IF(C4956="","",IF(AND(COUNTIFS($J$18:J4956,J4956)=1,C4956&lt;&gt;""),1,""))</f>
        <v/>
      </c>
      <c r="AH4956" s="199" t="str">
        <f>IF(G4956="","",IF(AND(COUNTIFS($J$18:J4956,J4956)=1,G4956&lt;&gt;""),1,""))</f>
        <v/>
      </c>
      <c r="AI4956" s="200">
        <f t="shared" si="1513"/>
        <v>0</v>
      </c>
      <c r="AJ4956" s="200">
        <f t="shared" si="1514"/>
        <v>0</v>
      </c>
      <c r="AK4956" s="201" t="str">
        <f t="shared" si="1515"/>
        <v/>
      </c>
      <c r="AL4956" s="24"/>
      <c r="AM4956" s="24"/>
      <c r="AN4956" s="24"/>
      <c r="AO4956" s="24"/>
      <c r="AP4956" s="165" t="str">
        <f t="shared" si="1516"/>
        <v/>
      </c>
      <c r="AQ4956" s="203" t="str">
        <f t="shared" si="1517"/>
        <v/>
      </c>
      <c r="AR4956" s="206">
        <f t="shared" si="1518"/>
        <v>0</v>
      </c>
      <c r="AS4956" s="22" t="str">
        <f t="shared" si="1519"/>
        <v/>
      </c>
      <c r="AT4956" s="24" t="str">
        <f t="shared" si="1520"/>
        <v/>
      </c>
      <c r="AU4956" s="22" t="s">
        <v>3240</v>
      </c>
    </row>
    <row r="4957" spans="1:47">
      <c r="A4957" s="246" t="str">
        <f t="shared" si="1508"/>
        <v/>
      </c>
      <c r="B4957" s="23"/>
      <c r="C4957" s="23"/>
      <c r="D4957" s="202" t="str">
        <f t="shared" si="1509"/>
        <v/>
      </c>
      <c r="E4957" s="33" t="str">
        <f t="shared" si="1521"/>
        <v/>
      </c>
      <c r="F4957" s="23"/>
      <c r="G4957" s="23"/>
      <c r="H4957" s="29"/>
      <c r="I4957" s="204" t="str">
        <f t="shared" si="1506"/>
        <v/>
      </c>
      <c r="J4957" s="188"/>
      <c r="K4957" s="29"/>
      <c r="L4957" s="24"/>
      <c r="M4957" s="22"/>
      <c r="N4957" s="22"/>
      <c r="O4957" s="22"/>
      <c r="P4957" s="202" t="str">
        <f t="shared" si="1507"/>
        <v/>
      </c>
      <c r="Q4957" s="22"/>
      <c r="R4957" s="22"/>
      <c r="S4957" s="22"/>
      <c r="T4957" s="22"/>
      <c r="U4957" s="22"/>
      <c r="V4957" s="22"/>
      <c r="W4957" s="22"/>
      <c r="X4957" s="104"/>
      <c r="Y4957" s="195" t="str">
        <f t="shared" si="1522"/>
        <v/>
      </c>
      <c r="Z4957" s="196" t="str">
        <f t="shared" si="1523"/>
        <v/>
      </c>
      <c r="AA4957" s="22"/>
      <c r="AB4957" s="197" t="str">
        <f t="shared" si="1510"/>
        <v/>
      </c>
      <c r="AC4957" s="198" t="str">
        <f t="shared" si="1511"/>
        <v/>
      </c>
      <c r="AD4957" s="162"/>
      <c r="AE4957" s="199" t="str">
        <f t="shared" si="1512"/>
        <v/>
      </c>
      <c r="AF4957" s="199" t="str">
        <f>IF(AND(COUNTIFS($J$18:J4957,J4957)=1,AE4957=1),1,"")</f>
        <v/>
      </c>
      <c r="AG4957" s="199" t="str">
        <f>IF(C4957="","",IF(AND(COUNTIFS($J$18:J4957,J4957)=1,C4957&lt;&gt;""),1,""))</f>
        <v/>
      </c>
      <c r="AH4957" s="199" t="str">
        <f>IF(G4957="","",IF(AND(COUNTIFS($J$18:J4957,J4957)=1,G4957&lt;&gt;""),1,""))</f>
        <v/>
      </c>
      <c r="AI4957" s="200">
        <f t="shared" si="1513"/>
        <v>0</v>
      </c>
      <c r="AJ4957" s="200">
        <f t="shared" si="1514"/>
        <v>0</v>
      </c>
      <c r="AK4957" s="201" t="str">
        <f t="shared" si="1515"/>
        <v/>
      </c>
      <c r="AL4957" s="24"/>
      <c r="AM4957" s="24"/>
      <c r="AN4957" s="24"/>
      <c r="AO4957" s="24"/>
      <c r="AP4957" s="165" t="str">
        <f t="shared" si="1516"/>
        <v/>
      </c>
      <c r="AQ4957" s="203" t="str">
        <f t="shared" si="1517"/>
        <v/>
      </c>
      <c r="AR4957" s="206">
        <f t="shared" si="1518"/>
        <v>0</v>
      </c>
      <c r="AS4957" s="22" t="str">
        <f t="shared" si="1519"/>
        <v/>
      </c>
      <c r="AT4957" s="24" t="str">
        <f t="shared" si="1520"/>
        <v/>
      </c>
      <c r="AU4957" s="22" t="s">
        <v>3240</v>
      </c>
    </row>
    <row r="4958" spans="1:47">
      <c r="A4958" s="246" t="str">
        <f t="shared" si="1508"/>
        <v/>
      </c>
      <c r="B4958" s="23"/>
      <c r="C4958" s="23"/>
      <c r="D4958" s="202" t="str">
        <f t="shared" si="1509"/>
        <v/>
      </c>
      <c r="E4958" s="33" t="str">
        <f t="shared" si="1521"/>
        <v/>
      </c>
      <c r="F4958" s="23"/>
      <c r="G4958" s="23"/>
      <c r="H4958" s="29"/>
      <c r="I4958" s="204" t="str">
        <f t="shared" si="1506"/>
        <v/>
      </c>
      <c r="J4958" s="188"/>
      <c r="K4958" s="29"/>
      <c r="L4958" s="24"/>
      <c r="M4958" s="22"/>
      <c r="N4958" s="22"/>
      <c r="O4958" s="22"/>
      <c r="P4958" s="202" t="str">
        <f t="shared" si="1507"/>
        <v/>
      </c>
      <c r="Q4958" s="22"/>
      <c r="R4958" s="22"/>
      <c r="S4958" s="22"/>
      <c r="T4958" s="22"/>
      <c r="U4958" s="22"/>
      <c r="V4958" s="22"/>
      <c r="W4958" s="22"/>
      <c r="X4958" s="104"/>
      <c r="Y4958" s="195" t="str">
        <f t="shared" si="1522"/>
        <v/>
      </c>
      <c r="Z4958" s="196" t="str">
        <f t="shared" si="1523"/>
        <v/>
      </c>
      <c r="AA4958" s="22"/>
      <c r="AB4958" s="197" t="str">
        <f t="shared" si="1510"/>
        <v/>
      </c>
      <c r="AC4958" s="198" t="str">
        <f t="shared" si="1511"/>
        <v/>
      </c>
      <c r="AD4958" s="162"/>
      <c r="AE4958" s="199" t="str">
        <f t="shared" si="1512"/>
        <v/>
      </c>
      <c r="AF4958" s="199" t="str">
        <f>IF(AND(COUNTIFS($J$18:J4958,J4958)=1,AE4958=1),1,"")</f>
        <v/>
      </c>
      <c r="AG4958" s="199" t="str">
        <f>IF(C4958="","",IF(AND(COUNTIFS($J$18:J4958,J4958)=1,C4958&lt;&gt;""),1,""))</f>
        <v/>
      </c>
      <c r="AH4958" s="199" t="str">
        <f>IF(G4958="","",IF(AND(COUNTIFS($J$18:J4958,J4958)=1,G4958&lt;&gt;""),1,""))</f>
        <v/>
      </c>
      <c r="AI4958" s="200">
        <f t="shared" si="1513"/>
        <v>0</v>
      </c>
      <c r="AJ4958" s="200">
        <f t="shared" si="1514"/>
        <v>0</v>
      </c>
      <c r="AK4958" s="201" t="str">
        <f t="shared" si="1515"/>
        <v/>
      </c>
      <c r="AL4958" s="24"/>
      <c r="AM4958" s="24"/>
      <c r="AN4958" s="24"/>
      <c r="AO4958" s="24"/>
      <c r="AP4958" s="165" t="str">
        <f t="shared" si="1516"/>
        <v/>
      </c>
      <c r="AQ4958" s="203" t="str">
        <f t="shared" si="1517"/>
        <v/>
      </c>
      <c r="AR4958" s="206">
        <f t="shared" si="1518"/>
        <v>0</v>
      </c>
      <c r="AS4958" s="22" t="str">
        <f t="shared" si="1519"/>
        <v/>
      </c>
      <c r="AT4958" s="24" t="str">
        <f t="shared" si="1520"/>
        <v/>
      </c>
      <c r="AU4958" s="22" t="s">
        <v>3240</v>
      </c>
    </row>
    <row r="4959" spans="1:47">
      <c r="A4959" s="246" t="str">
        <f t="shared" si="1508"/>
        <v/>
      </c>
      <c r="B4959" s="23"/>
      <c r="C4959" s="23"/>
      <c r="D4959" s="202" t="str">
        <f t="shared" si="1509"/>
        <v/>
      </c>
      <c r="E4959" s="33" t="str">
        <f t="shared" si="1521"/>
        <v/>
      </c>
      <c r="F4959" s="23"/>
      <c r="G4959" s="23"/>
      <c r="H4959" s="29"/>
      <c r="I4959" s="204" t="str">
        <f t="shared" si="1506"/>
        <v/>
      </c>
      <c r="J4959" s="188"/>
      <c r="K4959" s="29"/>
      <c r="L4959" s="24"/>
      <c r="M4959" s="22"/>
      <c r="N4959" s="22"/>
      <c r="O4959" s="22"/>
      <c r="P4959" s="202" t="str">
        <f t="shared" si="1507"/>
        <v/>
      </c>
      <c r="Q4959" s="22"/>
      <c r="R4959" s="22"/>
      <c r="S4959" s="22"/>
      <c r="T4959" s="22"/>
      <c r="U4959" s="22"/>
      <c r="V4959" s="22"/>
      <c r="W4959" s="22"/>
      <c r="X4959" s="104"/>
      <c r="Y4959" s="195" t="str">
        <f t="shared" si="1522"/>
        <v/>
      </c>
      <c r="Z4959" s="196" t="str">
        <f t="shared" si="1523"/>
        <v/>
      </c>
      <c r="AA4959" s="22"/>
      <c r="AB4959" s="197" t="str">
        <f t="shared" si="1510"/>
        <v/>
      </c>
      <c r="AC4959" s="198" t="str">
        <f t="shared" si="1511"/>
        <v/>
      </c>
      <c r="AD4959" s="162"/>
      <c r="AE4959" s="199" t="str">
        <f t="shared" si="1512"/>
        <v/>
      </c>
      <c r="AF4959" s="199" t="str">
        <f>IF(AND(COUNTIFS($J$18:J4959,J4959)=1,AE4959=1),1,"")</f>
        <v/>
      </c>
      <c r="AG4959" s="199" t="str">
        <f>IF(C4959="","",IF(AND(COUNTIFS($J$18:J4959,J4959)=1,C4959&lt;&gt;""),1,""))</f>
        <v/>
      </c>
      <c r="AH4959" s="199" t="str">
        <f>IF(G4959="","",IF(AND(COUNTIFS($J$18:J4959,J4959)=1,G4959&lt;&gt;""),1,""))</f>
        <v/>
      </c>
      <c r="AI4959" s="200">
        <f t="shared" si="1513"/>
        <v>0</v>
      </c>
      <c r="AJ4959" s="200">
        <f t="shared" si="1514"/>
        <v>0</v>
      </c>
      <c r="AK4959" s="201" t="str">
        <f t="shared" si="1515"/>
        <v/>
      </c>
      <c r="AL4959" s="24"/>
      <c r="AM4959" s="24"/>
      <c r="AN4959" s="24"/>
      <c r="AO4959" s="24"/>
      <c r="AP4959" s="165" t="str">
        <f t="shared" si="1516"/>
        <v/>
      </c>
      <c r="AQ4959" s="203" t="str">
        <f t="shared" si="1517"/>
        <v/>
      </c>
      <c r="AR4959" s="206">
        <f t="shared" si="1518"/>
        <v>0</v>
      </c>
      <c r="AS4959" s="22" t="str">
        <f t="shared" si="1519"/>
        <v/>
      </c>
      <c r="AT4959" s="24" t="str">
        <f t="shared" si="1520"/>
        <v/>
      </c>
      <c r="AU4959" s="22" t="s">
        <v>3240</v>
      </c>
    </row>
    <row r="4960" spans="1:47">
      <c r="A4960" s="246" t="str">
        <f t="shared" si="1508"/>
        <v/>
      </c>
      <c r="B4960" s="23"/>
      <c r="C4960" s="23"/>
      <c r="D4960" s="202" t="str">
        <f t="shared" si="1509"/>
        <v/>
      </c>
      <c r="E4960" s="33" t="str">
        <f t="shared" si="1521"/>
        <v/>
      </c>
      <c r="F4960" s="23"/>
      <c r="G4960" s="23"/>
      <c r="H4960" s="29"/>
      <c r="I4960" s="204" t="str">
        <f t="shared" ref="I4960:I5000" si="1524">IFERROR(IF(F4960="","",IF(F4960="TBA","TBA",IF(F4960="Cancel","Cancel",IF(AND(G4960&gt;=10,G4960&lt;=12),"Q3",IF(AND(G4960&gt;=1,G4960&lt;=3),"Q4",IF(AND(G4960&gt;=7,G4960&lt;=9),"Q2",IF(AND(G4960&gt;=4,G4960&lt;=6),"Q1"))))))),"")</f>
        <v/>
      </c>
      <c r="J4960" s="188"/>
      <c r="K4960" s="29"/>
      <c r="L4960" s="24"/>
      <c r="M4960" s="22"/>
      <c r="N4960" s="22"/>
      <c r="O4960" s="22"/>
      <c r="P4960" s="202" t="str">
        <f t="shared" si="1507"/>
        <v/>
      </c>
      <c r="Q4960" s="22"/>
      <c r="R4960" s="22"/>
      <c r="S4960" s="22"/>
      <c r="T4960" s="22"/>
      <c r="U4960" s="22"/>
      <c r="V4960" s="22"/>
      <c r="W4960" s="22"/>
      <c r="X4960" s="104"/>
      <c r="Y4960" s="195" t="str">
        <f t="shared" si="1522"/>
        <v/>
      </c>
      <c r="Z4960" s="196" t="str">
        <f t="shared" si="1523"/>
        <v/>
      </c>
      <c r="AA4960" s="22"/>
      <c r="AB4960" s="197" t="str">
        <f t="shared" si="1510"/>
        <v/>
      </c>
      <c r="AC4960" s="198" t="str">
        <f t="shared" si="1511"/>
        <v/>
      </c>
      <c r="AD4960" s="162"/>
      <c r="AE4960" s="199" t="str">
        <f t="shared" si="1512"/>
        <v/>
      </c>
      <c r="AF4960" s="199" t="str">
        <f>IF(AND(COUNTIFS($J$18:J4960,J4960)=1,AE4960=1),1,"")</f>
        <v/>
      </c>
      <c r="AG4960" s="199" t="str">
        <f>IF(C4960="","",IF(AND(COUNTIFS($J$18:J4960,J4960)=1,C4960&lt;&gt;""),1,""))</f>
        <v/>
      </c>
      <c r="AH4960" s="199" t="str">
        <f>IF(G4960="","",IF(AND(COUNTIFS($J$18:J4960,J4960)=1,G4960&lt;&gt;""),1,""))</f>
        <v/>
      </c>
      <c r="AI4960" s="200">
        <f t="shared" si="1513"/>
        <v>0</v>
      </c>
      <c r="AJ4960" s="200">
        <f t="shared" si="1514"/>
        <v>0</v>
      </c>
      <c r="AK4960" s="201" t="str">
        <f t="shared" si="1515"/>
        <v/>
      </c>
      <c r="AL4960" s="24"/>
      <c r="AM4960" s="24"/>
      <c r="AN4960" s="24"/>
      <c r="AO4960" s="24"/>
      <c r="AP4960" s="165" t="str">
        <f t="shared" si="1516"/>
        <v/>
      </c>
      <c r="AQ4960" s="203" t="str">
        <f t="shared" si="1517"/>
        <v/>
      </c>
      <c r="AR4960" s="206">
        <f t="shared" si="1518"/>
        <v>0</v>
      </c>
      <c r="AS4960" s="22" t="str">
        <f t="shared" si="1519"/>
        <v/>
      </c>
      <c r="AT4960" s="24" t="str">
        <f t="shared" si="1520"/>
        <v/>
      </c>
      <c r="AU4960" s="22" t="s">
        <v>3240</v>
      </c>
    </row>
    <row r="4961" spans="1:47">
      <c r="A4961" s="246" t="str">
        <f t="shared" si="1508"/>
        <v/>
      </c>
      <c r="B4961" s="23"/>
      <c r="C4961" s="23"/>
      <c r="D4961" s="202" t="str">
        <f t="shared" si="1509"/>
        <v/>
      </c>
      <c r="E4961" s="33" t="str">
        <f t="shared" si="1521"/>
        <v/>
      </c>
      <c r="F4961" s="23"/>
      <c r="G4961" s="23"/>
      <c r="H4961" s="29"/>
      <c r="I4961" s="204" t="str">
        <f t="shared" si="1524"/>
        <v/>
      </c>
      <c r="J4961" s="188"/>
      <c r="K4961" s="29"/>
      <c r="L4961" s="24"/>
      <c r="M4961" s="22"/>
      <c r="N4961" s="22"/>
      <c r="O4961" s="22"/>
      <c r="P4961" s="202" t="str">
        <f t="shared" ref="P4961:P5000" si="1525">IF(M4961="","",IF(AND(N4961&gt;0,L4961&lt;&gt;""),"MAIN UNIT",IF(AND(O4961&gt;0,L4961&lt;&gt;""),"SERVICE/ PARTS","C66 SERVICE/OTHERS")))</f>
        <v/>
      </c>
      <c r="Q4961" s="22"/>
      <c r="R4961" s="22"/>
      <c r="S4961" s="22"/>
      <c r="T4961" s="22"/>
      <c r="U4961" s="22"/>
      <c r="V4961" s="22"/>
      <c r="W4961" s="22"/>
      <c r="X4961" s="104"/>
      <c r="Y4961" s="195" t="str">
        <f t="shared" si="1522"/>
        <v/>
      </c>
      <c r="Z4961" s="196" t="str">
        <f t="shared" si="1523"/>
        <v/>
      </c>
      <c r="AA4961" s="22"/>
      <c r="AB4961" s="197" t="str">
        <f t="shared" si="1510"/>
        <v/>
      </c>
      <c r="AC4961" s="198" t="str">
        <f t="shared" si="1511"/>
        <v/>
      </c>
      <c r="AD4961" s="162"/>
      <c r="AE4961" s="199" t="str">
        <f t="shared" si="1512"/>
        <v/>
      </c>
      <c r="AF4961" s="199" t="str">
        <f>IF(AND(COUNTIFS($J$18:J4961,J4961)=1,AE4961=1),1,"")</f>
        <v/>
      </c>
      <c r="AG4961" s="199" t="str">
        <f>IF(C4961="","",IF(AND(COUNTIFS($J$18:J4961,J4961)=1,C4961&lt;&gt;""),1,""))</f>
        <v/>
      </c>
      <c r="AH4961" s="199" t="str">
        <f>IF(G4961="","",IF(AND(COUNTIFS($J$18:J4961,J4961)=1,G4961&lt;&gt;""),1,""))</f>
        <v/>
      </c>
      <c r="AI4961" s="200">
        <f t="shared" si="1513"/>
        <v>0</v>
      </c>
      <c r="AJ4961" s="200">
        <f t="shared" si="1514"/>
        <v>0</v>
      </c>
      <c r="AK4961" s="201" t="str">
        <f t="shared" si="1515"/>
        <v/>
      </c>
      <c r="AL4961" s="24"/>
      <c r="AM4961" s="24"/>
      <c r="AN4961" s="24"/>
      <c r="AO4961" s="24"/>
      <c r="AP4961" s="165" t="str">
        <f t="shared" si="1516"/>
        <v/>
      </c>
      <c r="AQ4961" s="203" t="str">
        <f t="shared" si="1517"/>
        <v/>
      </c>
      <c r="AR4961" s="206">
        <f t="shared" si="1518"/>
        <v>0</v>
      </c>
      <c r="AS4961" s="22" t="str">
        <f t="shared" si="1519"/>
        <v/>
      </c>
      <c r="AT4961" s="24" t="str">
        <f t="shared" si="1520"/>
        <v/>
      </c>
      <c r="AU4961" s="22" t="s">
        <v>3240</v>
      </c>
    </row>
    <row r="4962" spans="1:47">
      <c r="A4962" s="246" t="str">
        <f t="shared" ref="A4962:A5000" si="1526">IF(C4962="cancel","cancel",IFERROR(IF(D4962="Q4","FY "&amp;RIGHT(B4962,2)-1&amp;"/"&amp;RIGHT(B4962,2),"FY "&amp;RIGHT(B4962,2)&amp;"/"&amp;RIGHT(B4962,2)+1),""))</f>
        <v/>
      </c>
      <c r="B4962" s="23"/>
      <c r="C4962" s="23"/>
      <c r="D4962" s="202" t="str">
        <f t="shared" ref="D4962:D5000" si="1527">IF(B4962="","",IF(AND(C4962&gt;=10,C4962&lt;=12),"Q3",IF(AND(C4962&gt;=1,C4962&lt;=3),"Q4",IF(AND(C4962&gt;=7,C4962&lt;=9),"Q2",IF(AND(C4962&gt;=4,C4962&lt;=6),"Q1")))))</f>
        <v/>
      </c>
      <c r="E4962" s="33" t="str">
        <f t="shared" si="1521"/>
        <v/>
      </c>
      <c r="F4962" s="23"/>
      <c r="G4962" s="23"/>
      <c r="H4962" s="29"/>
      <c r="I4962" s="204" t="str">
        <f t="shared" si="1524"/>
        <v/>
      </c>
      <c r="J4962" s="188"/>
      <c r="K4962" s="29"/>
      <c r="L4962" s="24"/>
      <c r="M4962" s="22"/>
      <c r="N4962" s="22"/>
      <c r="O4962" s="22"/>
      <c r="P4962" s="202" t="str">
        <f t="shared" si="1525"/>
        <v/>
      </c>
      <c r="Q4962" s="22"/>
      <c r="R4962" s="22"/>
      <c r="S4962" s="22"/>
      <c r="T4962" s="22"/>
      <c r="U4962" s="22"/>
      <c r="V4962" s="22"/>
      <c r="W4962" s="22"/>
      <c r="X4962" s="104"/>
      <c r="Y4962" s="195" t="str">
        <f t="shared" si="1522"/>
        <v/>
      </c>
      <c r="Z4962" s="196" t="str">
        <f t="shared" si="1523"/>
        <v/>
      </c>
      <c r="AA4962" s="22"/>
      <c r="AB4962" s="197" t="str">
        <f t="shared" ref="AB4962:AB5000" si="1528">IF(AND(R4962&lt;&gt;"C66",R4962&lt;&gt;""),Z4962/Y4962*AA4962,"")</f>
        <v/>
      </c>
      <c r="AC4962" s="198" t="str">
        <f t="shared" ref="AC4962:AC5000" si="1529">IF(R4962&lt;&gt;"",AB4962*AD4962,"")</f>
        <v/>
      </c>
      <c r="AD4962" s="162"/>
      <c r="AE4962" s="199" t="str">
        <f t="shared" ref="AE4962:AE5000" si="1530">IF(Q4962="","",IF(Q4962="Yes",1,0))</f>
        <v/>
      </c>
      <c r="AF4962" s="199" t="str">
        <f>IF(AND(COUNTIFS($J$18:J4962,J4962)=1,AE4962=1),1,"")</f>
        <v/>
      </c>
      <c r="AG4962" s="199" t="str">
        <f>IF(C4962="","",IF(AND(COUNTIFS($J$18:J4962,J4962)=1,C4962&lt;&gt;""),1,""))</f>
        <v/>
      </c>
      <c r="AH4962" s="199" t="str">
        <f>IF(G4962="","",IF(AND(COUNTIFS($J$18:J4962,J4962)=1,G4962&lt;&gt;""),1,""))</f>
        <v/>
      </c>
      <c r="AI4962" s="200">
        <f t="shared" ref="AI4962:AI5000" si="1531">IF(P4962="C66 SERVICE","",SUMIFS(AB:AB,F:F,F4962,G:G,G4962,E:E,E4962))</f>
        <v>0</v>
      </c>
      <c r="AJ4962" s="200">
        <f t="shared" ref="AJ4962:AJ5000" si="1532">IF(P4962="C66 SERVICE","",SUMIFS(AC:AC,F:F,F4962,G:G,G4962,E:E,E4962))</f>
        <v>0</v>
      </c>
      <c r="AK4962" s="201" t="str">
        <f t="shared" ref="AK4962:AK5000" si="1533">IF(AJ4962&gt;0,AJ4962/AI4962,"")</f>
        <v/>
      </c>
      <c r="AL4962" s="24"/>
      <c r="AM4962" s="24"/>
      <c r="AN4962" s="24"/>
      <c r="AO4962" s="24"/>
      <c r="AP4962" s="165" t="str">
        <f t="shared" ref="AP4962:AP5000" si="1534">IF(F4962="","",F4962&amp;G4962)</f>
        <v/>
      </c>
      <c r="AQ4962" s="203" t="str">
        <f t="shared" ref="AQ4962:AQ5000" si="1535">IF(W4962="","",F4962&amp;G4962&amp;W4962)</f>
        <v/>
      </c>
      <c r="AR4962" s="206">
        <f t="shared" ref="AR4962:AR5000" si="1536">IFERROR(IF(AND(M4962="YAMAHA", R4962="C28"), "YAMAHA_Non_Mounter", IF(AND(M4962="YAMAHA", R4962="C49"), "YAMAHA_Mounter", M4962)),"")</f>
        <v>0</v>
      </c>
      <c r="AS4962" s="22" t="str">
        <f t="shared" ref="AS4962:AS5000" si="1537">IFERROR(IF(OR(G4962="TBA", G4962=""), "", DATEDIF(DATE(B4962, C4962, 1), DATE(F4962, G4962, 1), "M")),"")</f>
        <v/>
      </c>
      <c r="AT4962" s="24" t="str">
        <f t="shared" ref="AT4962:AT5000" si="1538">IF(ISNUMBER(AS4962), IF(AS4962&gt;=0, IF(AS4962&lt;=3, "0-3 months", IF(AS4962&lt;=6, "4-6 months", "&gt; 6 months"))), "")</f>
        <v/>
      </c>
      <c r="AU4962" s="22" t="s">
        <v>3240</v>
      </c>
    </row>
    <row r="4963" spans="1:47">
      <c r="A4963" s="246" t="str">
        <f t="shared" si="1526"/>
        <v/>
      </c>
      <c r="B4963" s="23"/>
      <c r="C4963" s="23"/>
      <c r="D4963" s="202" t="str">
        <f t="shared" si="1527"/>
        <v/>
      </c>
      <c r="E4963" s="33" t="str">
        <f t="shared" si="1521"/>
        <v/>
      </c>
      <c r="F4963" s="23"/>
      <c r="G4963" s="23"/>
      <c r="H4963" s="29"/>
      <c r="I4963" s="204" t="str">
        <f t="shared" si="1524"/>
        <v/>
      </c>
      <c r="J4963" s="188"/>
      <c r="K4963" s="29"/>
      <c r="L4963" s="24"/>
      <c r="M4963" s="22"/>
      <c r="N4963" s="22"/>
      <c r="O4963" s="22"/>
      <c r="P4963" s="202" t="str">
        <f t="shared" si="1525"/>
        <v/>
      </c>
      <c r="Q4963" s="22"/>
      <c r="R4963" s="22"/>
      <c r="S4963" s="22"/>
      <c r="T4963" s="22"/>
      <c r="U4963" s="22"/>
      <c r="V4963" s="22"/>
      <c r="W4963" s="22"/>
      <c r="X4963" s="104"/>
      <c r="Y4963" s="195" t="str">
        <f t="shared" si="1522"/>
        <v/>
      </c>
      <c r="Z4963" s="196" t="str">
        <f t="shared" si="1523"/>
        <v/>
      </c>
      <c r="AA4963" s="22"/>
      <c r="AB4963" s="197" t="str">
        <f t="shared" si="1528"/>
        <v/>
      </c>
      <c r="AC4963" s="198" t="str">
        <f t="shared" si="1529"/>
        <v/>
      </c>
      <c r="AD4963" s="162"/>
      <c r="AE4963" s="199" t="str">
        <f t="shared" si="1530"/>
        <v/>
      </c>
      <c r="AF4963" s="199" t="str">
        <f>IF(AND(COUNTIFS($J$18:J4963,J4963)=1,AE4963=1),1,"")</f>
        <v/>
      </c>
      <c r="AG4963" s="199" t="str">
        <f>IF(C4963="","",IF(AND(COUNTIFS($J$18:J4963,J4963)=1,C4963&lt;&gt;""),1,""))</f>
        <v/>
      </c>
      <c r="AH4963" s="199" t="str">
        <f>IF(G4963="","",IF(AND(COUNTIFS($J$18:J4963,J4963)=1,G4963&lt;&gt;""),1,""))</f>
        <v/>
      </c>
      <c r="AI4963" s="200">
        <f t="shared" si="1531"/>
        <v>0</v>
      </c>
      <c r="AJ4963" s="200">
        <f t="shared" si="1532"/>
        <v>0</v>
      </c>
      <c r="AK4963" s="201" t="str">
        <f t="shared" si="1533"/>
        <v/>
      </c>
      <c r="AL4963" s="24"/>
      <c r="AM4963" s="24"/>
      <c r="AN4963" s="24"/>
      <c r="AO4963" s="24"/>
      <c r="AP4963" s="165" t="str">
        <f t="shared" si="1534"/>
        <v/>
      </c>
      <c r="AQ4963" s="203" t="str">
        <f t="shared" si="1535"/>
        <v/>
      </c>
      <c r="AR4963" s="206">
        <f t="shared" si="1536"/>
        <v>0</v>
      </c>
      <c r="AS4963" s="22" t="str">
        <f t="shared" si="1537"/>
        <v/>
      </c>
      <c r="AT4963" s="24" t="str">
        <f t="shared" si="1538"/>
        <v/>
      </c>
      <c r="AU4963" s="22" t="s">
        <v>3240</v>
      </c>
    </row>
    <row r="4964" spans="1:47">
      <c r="A4964" s="246" t="str">
        <f t="shared" si="1526"/>
        <v/>
      </c>
      <c r="B4964" s="23"/>
      <c r="C4964" s="23"/>
      <c r="D4964" s="202" t="str">
        <f t="shared" si="1527"/>
        <v/>
      </c>
      <c r="E4964" s="33" t="str">
        <f t="shared" si="1521"/>
        <v/>
      </c>
      <c r="F4964" s="23"/>
      <c r="G4964" s="23"/>
      <c r="H4964" s="29"/>
      <c r="I4964" s="204" t="str">
        <f t="shared" si="1524"/>
        <v/>
      </c>
      <c r="J4964" s="188"/>
      <c r="K4964" s="29"/>
      <c r="L4964" s="24"/>
      <c r="M4964" s="22"/>
      <c r="N4964" s="22"/>
      <c r="O4964" s="22"/>
      <c r="P4964" s="202" t="str">
        <f t="shared" si="1525"/>
        <v/>
      </c>
      <c r="Q4964" s="22"/>
      <c r="R4964" s="22"/>
      <c r="S4964" s="22"/>
      <c r="T4964" s="22"/>
      <c r="U4964" s="22"/>
      <c r="V4964" s="22"/>
      <c r="W4964" s="22"/>
      <c r="X4964" s="104"/>
      <c r="Y4964" s="195" t="str">
        <f t="shared" si="1522"/>
        <v/>
      </c>
      <c r="Z4964" s="196" t="str">
        <f t="shared" si="1523"/>
        <v/>
      </c>
      <c r="AA4964" s="22"/>
      <c r="AB4964" s="197" t="str">
        <f t="shared" si="1528"/>
        <v/>
      </c>
      <c r="AC4964" s="198" t="str">
        <f t="shared" si="1529"/>
        <v/>
      </c>
      <c r="AD4964" s="162"/>
      <c r="AE4964" s="199" t="str">
        <f t="shared" si="1530"/>
        <v/>
      </c>
      <c r="AF4964" s="199" t="str">
        <f>IF(AND(COUNTIFS($J$18:J4964,J4964)=1,AE4964=1),1,"")</f>
        <v/>
      </c>
      <c r="AG4964" s="199" t="str">
        <f>IF(C4964="","",IF(AND(COUNTIFS($J$18:J4964,J4964)=1,C4964&lt;&gt;""),1,""))</f>
        <v/>
      </c>
      <c r="AH4964" s="199" t="str">
        <f>IF(G4964="","",IF(AND(COUNTIFS($J$18:J4964,J4964)=1,G4964&lt;&gt;""),1,""))</f>
        <v/>
      </c>
      <c r="AI4964" s="200">
        <f t="shared" si="1531"/>
        <v>0</v>
      </c>
      <c r="AJ4964" s="200">
        <f t="shared" si="1532"/>
        <v>0</v>
      </c>
      <c r="AK4964" s="201" t="str">
        <f t="shared" si="1533"/>
        <v/>
      </c>
      <c r="AL4964" s="24"/>
      <c r="AM4964" s="24"/>
      <c r="AN4964" s="24"/>
      <c r="AO4964" s="24"/>
      <c r="AP4964" s="165" t="str">
        <f t="shared" si="1534"/>
        <v/>
      </c>
      <c r="AQ4964" s="203" t="str">
        <f t="shared" si="1535"/>
        <v/>
      </c>
      <c r="AR4964" s="206">
        <f t="shared" si="1536"/>
        <v>0</v>
      </c>
      <c r="AS4964" s="22" t="str">
        <f t="shared" si="1537"/>
        <v/>
      </c>
      <c r="AT4964" s="24" t="str">
        <f t="shared" si="1538"/>
        <v/>
      </c>
      <c r="AU4964" s="22" t="s">
        <v>3240</v>
      </c>
    </row>
    <row r="4965" spans="1:47">
      <c r="A4965" s="246" t="str">
        <f t="shared" si="1526"/>
        <v/>
      </c>
      <c r="B4965" s="23"/>
      <c r="C4965" s="23"/>
      <c r="D4965" s="202" t="str">
        <f t="shared" si="1527"/>
        <v/>
      </c>
      <c r="E4965" s="33" t="str">
        <f t="shared" si="1521"/>
        <v/>
      </c>
      <c r="F4965" s="23"/>
      <c r="G4965" s="23"/>
      <c r="H4965" s="29"/>
      <c r="I4965" s="204" t="str">
        <f t="shared" si="1524"/>
        <v/>
      </c>
      <c r="J4965" s="188"/>
      <c r="K4965" s="29"/>
      <c r="L4965" s="24"/>
      <c r="M4965" s="22"/>
      <c r="N4965" s="22"/>
      <c r="O4965" s="22"/>
      <c r="P4965" s="202" t="str">
        <f t="shared" si="1525"/>
        <v/>
      </c>
      <c r="Q4965" s="22"/>
      <c r="R4965" s="22"/>
      <c r="S4965" s="22"/>
      <c r="T4965" s="22"/>
      <c r="U4965" s="22"/>
      <c r="V4965" s="22"/>
      <c r="W4965" s="22"/>
      <c r="X4965" s="104"/>
      <c r="Y4965" s="195" t="str">
        <f t="shared" si="1522"/>
        <v/>
      </c>
      <c r="Z4965" s="196" t="str">
        <f t="shared" si="1523"/>
        <v/>
      </c>
      <c r="AA4965" s="22"/>
      <c r="AB4965" s="197" t="str">
        <f t="shared" si="1528"/>
        <v/>
      </c>
      <c r="AC4965" s="198" t="str">
        <f t="shared" si="1529"/>
        <v/>
      </c>
      <c r="AD4965" s="162"/>
      <c r="AE4965" s="199" t="str">
        <f t="shared" si="1530"/>
        <v/>
      </c>
      <c r="AF4965" s="199" t="str">
        <f>IF(AND(COUNTIFS($J$18:J4965,J4965)=1,AE4965=1),1,"")</f>
        <v/>
      </c>
      <c r="AG4965" s="199" t="str">
        <f>IF(C4965="","",IF(AND(COUNTIFS($J$18:J4965,J4965)=1,C4965&lt;&gt;""),1,""))</f>
        <v/>
      </c>
      <c r="AH4965" s="199" t="str">
        <f>IF(G4965="","",IF(AND(COUNTIFS($J$18:J4965,J4965)=1,G4965&lt;&gt;""),1,""))</f>
        <v/>
      </c>
      <c r="AI4965" s="200">
        <f t="shared" si="1531"/>
        <v>0</v>
      </c>
      <c r="AJ4965" s="200">
        <f t="shared" si="1532"/>
        <v>0</v>
      </c>
      <c r="AK4965" s="201" t="str">
        <f t="shared" si="1533"/>
        <v/>
      </c>
      <c r="AL4965" s="24"/>
      <c r="AM4965" s="24"/>
      <c r="AN4965" s="24"/>
      <c r="AO4965" s="24"/>
      <c r="AP4965" s="165" t="str">
        <f t="shared" si="1534"/>
        <v/>
      </c>
      <c r="AQ4965" s="203" t="str">
        <f t="shared" si="1535"/>
        <v/>
      </c>
      <c r="AR4965" s="206">
        <f t="shared" si="1536"/>
        <v>0</v>
      </c>
      <c r="AS4965" s="22" t="str">
        <f t="shared" si="1537"/>
        <v/>
      </c>
      <c r="AT4965" s="24" t="str">
        <f t="shared" si="1538"/>
        <v/>
      </c>
      <c r="AU4965" s="22" t="s">
        <v>3240</v>
      </c>
    </row>
    <row r="4966" spans="1:47">
      <c r="A4966" s="246" t="str">
        <f t="shared" si="1526"/>
        <v/>
      </c>
      <c r="B4966" s="23"/>
      <c r="C4966" s="23"/>
      <c r="D4966" s="202" t="str">
        <f t="shared" si="1527"/>
        <v/>
      </c>
      <c r="E4966" s="33" t="str">
        <f t="shared" si="1521"/>
        <v/>
      </c>
      <c r="F4966" s="23"/>
      <c r="G4966" s="23"/>
      <c r="H4966" s="29"/>
      <c r="I4966" s="204" t="str">
        <f t="shared" si="1524"/>
        <v/>
      </c>
      <c r="J4966" s="188"/>
      <c r="K4966" s="29"/>
      <c r="L4966" s="24"/>
      <c r="M4966" s="22"/>
      <c r="N4966" s="22"/>
      <c r="O4966" s="22"/>
      <c r="P4966" s="202" t="str">
        <f t="shared" si="1525"/>
        <v/>
      </c>
      <c r="Q4966" s="22"/>
      <c r="R4966" s="22"/>
      <c r="S4966" s="22"/>
      <c r="T4966" s="22"/>
      <c r="U4966" s="22"/>
      <c r="V4966" s="22"/>
      <c r="W4966" s="22"/>
      <c r="X4966" s="104"/>
      <c r="Y4966" s="195" t="str">
        <f t="shared" si="1522"/>
        <v/>
      </c>
      <c r="Z4966" s="196" t="str">
        <f t="shared" si="1523"/>
        <v/>
      </c>
      <c r="AA4966" s="22"/>
      <c r="AB4966" s="197" t="str">
        <f t="shared" si="1528"/>
        <v/>
      </c>
      <c r="AC4966" s="198" t="str">
        <f t="shared" si="1529"/>
        <v/>
      </c>
      <c r="AD4966" s="162"/>
      <c r="AE4966" s="199" t="str">
        <f t="shared" si="1530"/>
        <v/>
      </c>
      <c r="AF4966" s="199" t="str">
        <f>IF(AND(COUNTIFS($J$18:J4966,J4966)=1,AE4966=1),1,"")</f>
        <v/>
      </c>
      <c r="AG4966" s="199" t="str">
        <f>IF(C4966="","",IF(AND(COUNTIFS($J$18:J4966,J4966)=1,C4966&lt;&gt;""),1,""))</f>
        <v/>
      </c>
      <c r="AH4966" s="199" t="str">
        <f>IF(G4966="","",IF(AND(COUNTIFS($J$18:J4966,J4966)=1,G4966&lt;&gt;""),1,""))</f>
        <v/>
      </c>
      <c r="AI4966" s="200">
        <f t="shared" si="1531"/>
        <v>0</v>
      </c>
      <c r="AJ4966" s="200">
        <f t="shared" si="1532"/>
        <v>0</v>
      </c>
      <c r="AK4966" s="201" t="str">
        <f t="shared" si="1533"/>
        <v/>
      </c>
      <c r="AL4966" s="24"/>
      <c r="AM4966" s="24"/>
      <c r="AN4966" s="24"/>
      <c r="AO4966" s="24"/>
      <c r="AP4966" s="165" t="str">
        <f t="shared" si="1534"/>
        <v/>
      </c>
      <c r="AQ4966" s="203" t="str">
        <f t="shared" si="1535"/>
        <v/>
      </c>
      <c r="AR4966" s="206">
        <f t="shared" si="1536"/>
        <v>0</v>
      </c>
      <c r="AS4966" s="22" t="str">
        <f t="shared" si="1537"/>
        <v/>
      </c>
      <c r="AT4966" s="24" t="str">
        <f t="shared" si="1538"/>
        <v/>
      </c>
      <c r="AU4966" s="22" t="s">
        <v>3240</v>
      </c>
    </row>
    <row r="4967" spans="1:47">
      <c r="A4967" s="246" t="str">
        <f t="shared" si="1526"/>
        <v/>
      </c>
      <c r="B4967" s="23"/>
      <c r="C4967" s="23"/>
      <c r="D4967" s="202" t="str">
        <f t="shared" si="1527"/>
        <v/>
      </c>
      <c r="E4967" s="33" t="str">
        <f t="shared" si="1521"/>
        <v/>
      </c>
      <c r="F4967" s="23"/>
      <c r="G4967" s="23"/>
      <c r="H4967" s="29"/>
      <c r="I4967" s="204" t="str">
        <f t="shared" si="1524"/>
        <v/>
      </c>
      <c r="J4967" s="188"/>
      <c r="K4967" s="29"/>
      <c r="L4967" s="24"/>
      <c r="M4967" s="22"/>
      <c r="N4967" s="22"/>
      <c r="O4967" s="22"/>
      <c r="P4967" s="202" t="str">
        <f t="shared" si="1525"/>
        <v/>
      </c>
      <c r="Q4967" s="22"/>
      <c r="R4967" s="22"/>
      <c r="S4967" s="22"/>
      <c r="T4967" s="22"/>
      <c r="U4967" s="22"/>
      <c r="V4967" s="22"/>
      <c r="W4967" s="22"/>
      <c r="X4967" s="104"/>
      <c r="Y4967" s="195" t="str">
        <f t="shared" si="1522"/>
        <v/>
      </c>
      <c r="Z4967" s="196" t="str">
        <f t="shared" si="1523"/>
        <v/>
      </c>
      <c r="AA4967" s="22"/>
      <c r="AB4967" s="197" t="str">
        <f t="shared" si="1528"/>
        <v/>
      </c>
      <c r="AC4967" s="198" t="str">
        <f t="shared" si="1529"/>
        <v/>
      </c>
      <c r="AD4967" s="162"/>
      <c r="AE4967" s="199" t="str">
        <f t="shared" si="1530"/>
        <v/>
      </c>
      <c r="AF4967" s="199" t="str">
        <f>IF(AND(COUNTIFS($J$18:J4967,J4967)=1,AE4967=1),1,"")</f>
        <v/>
      </c>
      <c r="AG4967" s="199" t="str">
        <f>IF(C4967="","",IF(AND(COUNTIFS($J$18:J4967,J4967)=1,C4967&lt;&gt;""),1,""))</f>
        <v/>
      </c>
      <c r="AH4967" s="199" t="str">
        <f>IF(G4967="","",IF(AND(COUNTIFS($J$18:J4967,J4967)=1,G4967&lt;&gt;""),1,""))</f>
        <v/>
      </c>
      <c r="AI4967" s="200">
        <f t="shared" si="1531"/>
        <v>0</v>
      </c>
      <c r="AJ4967" s="200">
        <f t="shared" si="1532"/>
        <v>0</v>
      </c>
      <c r="AK4967" s="201" t="str">
        <f t="shared" si="1533"/>
        <v/>
      </c>
      <c r="AL4967" s="24"/>
      <c r="AM4967" s="24"/>
      <c r="AN4967" s="24"/>
      <c r="AO4967" s="24"/>
      <c r="AP4967" s="165" t="str">
        <f t="shared" si="1534"/>
        <v/>
      </c>
      <c r="AQ4967" s="203" t="str">
        <f t="shared" si="1535"/>
        <v/>
      </c>
      <c r="AR4967" s="206">
        <f t="shared" si="1536"/>
        <v>0</v>
      </c>
      <c r="AS4967" s="22" t="str">
        <f t="shared" si="1537"/>
        <v/>
      </c>
      <c r="AT4967" s="24" t="str">
        <f t="shared" si="1538"/>
        <v/>
      </c>
      <c r="AU4967" s="22" t="s">
        <v>3240</v>
      </c>
    </row>
    <row r="4968" spans="1:47">
      <c r="A4968" s="246" t="str">
        <f t="shared" si="1526"/>
        <v/>
      </c>
      <c r="B4968" s="23"/>
      <c r="C4968" s="23"/>
      <c r="D4968" s="202" t="str">
        <f t="shared" si="1527"/>
        <v/>
      </c>
      <c r="E4968" s="33" t="str">
        <f t="shared" si="1521"/>
        <v/>
      </c>
      <c r="F4968" s="23"/>
      <c r="G4968" s="23"/>
      <c r="H4968" s="29"/>
      <c r="I4968" s="204" t="str">
        <f t="shared" si="1524"/>
        <v/>
      </c>
      <c r="J4968" s="188"/>
      <c r="K4968" s="29"/>
      <c r="L4968" s="24"/>
      <c r="M4968" s="22"/>
      <c r="N4968" s="22"/>
      <c r="O4968" s="22"/>
      <c r="P4968" s="202" t="str">
        <f t="shared" si="1525"/>
        <v/>
      </c>
      <c r="Q4968" s="22"/>
      <c r="R4968" s="22"/>
      <c r="S4968" s="22"/>
      <c r="T4968" s="22"/>
      <c r="U4968" s="22"/>
      <c r="V4968" s="22"/>
      <c r="W4968" s="22"/>
      <c r="X4968" s="104"/>
      <c r="Y4968" s="195" t="str">
        <f t="shared" si="1522"/>
        <v/>
      </c>
      <c r="Z4968" s="196" t="str">
        <f t="shared" si="1523"/>
        <v/>
      </c>
      <c r="AA4968" s="22"/>
      <c r="AB4968" s="197" t="str">
        <f t="shared" si="1528"/>
        <v/>
      </c>
      <c r="AC4968" s="198" t="str">
        <f t="shared" si="1529"/>
        <v/>
      </c>
      <c r="AD4968" s="162"/>
      <c r="AE4968" s="199" t="str">
        <f t="shared" si="1530"/>
        <v/>
      </c>
      <c r="AF4968" s="199" t="str">
        <f>IF(AND(COUNTIFS($J$18:J4968,J4968)=1,AE4968=1),1,"")</f>
        <v/>
      </c>
      <c r="AG4968" s="199" t="str">
        <f>IF(C4968="","",IF(AND(COUNTIFS($J$18:J4968,J4968)=1,C4968&lt;&gt;""),1,""))</f>
        <v/>
      </c>
      <c r="AH4968" s="199" t="str">
        <f>IF(G4968="","",IF(AND(COUNTIFS($J$18:J4968,J4968)=1,G4968&lt;&gt;""),1,""))</f>
        <v/>
      </c>
      <c r="AI4968" s="200">
        <f t="shared" si="1531"/>
        <v>0</v>
      </c>
      <c r="AJ4968" s="200">
        <f t="shared" si="1532"/>
        <v>0</v>
      </c>
      <c r="AK4968" s="201" t="str">
        <f t="shared" si="1533"/>
        <v/>
      </c>
      <c r="AL4968" s="24"/>
      <c r="AM4968" s="24"/>
      <c r="AN4968" s="24"/>
      <c r="AO4968" s="24"/>
      <c r="AP4968" s="165" t="str">
        <f t="shared" si="1534"/>
        <v/>
      </c>
      <c r="AQ4968" s="203" t="str">
        <f t="shared" si="1535"/>
        <v/>
      </c>
      <c r="AR4968" s="206">
        <f t="shared" si="1536"/>
        <v>0</v>
      </c>
      <c r="AS4968" s="22" t="str">
        <f t="shared" si="1537"/>
        <v/>
      </c>
      <c r="AT4968" s="24" t="str">
        <f t="shared" si="1538"/>
        <v/>
      </c>
      <c r="AU4968" s="22" t="s">
        <v>3240</v>
      </c>
    </row>
    <row r="4969" spans="1:47">
      <c r="A4969" s="246" t="str">
        <f t="shared" si="1526"/>
        <v/>
      </c>
      <c r="B4969" s="23"/>
      <c r="C4969" s="23"/>
      <c r="D4969" s="202" t="str">
        <f t="shared" si="1527"/>
        <v/>
      </c>
      <c r="E4969" s="33" t="str">
        <f t="shared" si="1521"/>
        <v/>
      </c>
      <c r="F4969" s="23"/>
      <c r="G4969" s="23"/>
      <c r="H4969" s="29"/>
      <c r="I4969" s="204" t="str">
        <f t="shared" si="1524"/>
        <v/>
      </c>
      <c r="J4969" s="188"/>
      <c r="K4969" s="29"/>
      <c r="L4969" s="24"/>
      <c r="M4969" s="22"/>
      <c r="N4969" s="22"/>
      <c r="O4969" s="22"/>
      <c r="P4969" s="202" t="str">
        <f t="shared" si="1525"/>
        <v/>
      </c>
      <c r="Q4969" s="22"/>
      <c r="R4969" s="22"/>
      <c r="S4969" s="22"/>
      <c r="T4969" s="22"/>
      <c r="U4969" s="22"/>
      <c r="V4969" s="22"/>
      <c r="W4969" s="22"/>
      <c r="X4969" s="104"/>
      <c r="Y4969" s="195" t="str">
        <f t="shared" si="1522"/>
        <v/>
      </c>
      <c r="Z4969" s="196" t="str">
        <f t="shared" si="1523"/>
        <v/>
      </c>
      <c r="AA4969" s="22"/>
      <c r="AB4969" s="197" t="str">
        <f t="shared" si="1528"/>
        <v/>
      </c>
      <c r="AC4969" s="198" t="str">
        <f t="shared" si="1529"/>
        <v/>
      </c>
      <c r="AD4969" s="162"/>
      <c r="AE4969" s="199" t="str">
        <f t="shared" si="1530"/>
        <v/>
      </c>
      <c r="AF4969" s="199" t="str">
        <f>IF(AND(COUNTIFS($J$18:J4969,J4969)=1,AE4969=1),1,"")</f>
        <v/>
      </c>
      <c r="AG4969" s="199" t="str">
        <f>IF(C4969="","",IF(AND(COUNTIFS($J$18:J4969,J4969)=1,C4969&lt;&gt;""),1,""))</f>
        <v/>
      </c>
      <c r="AH4969" s="199" t="str">
        <f>IF(G4969="","",IF(AND(COUNTIFS($J$18:J4969,J4969)=1,G4969&lt;&gt;""),1,""))</f>
        <v/>
      </c>
      <c r="AI4969" s="200">
        <f t="shared" si="1531"/>
        <v>0</v>
      </c>
      <c r="AJ4969" s="200">
        <f t="shared" si="1532"/>
        <v>0</v>
      </c>
      <c r="AK4969" s="201" t="str">
        <f t="shared" si="1533"/>
        <v/>
      </c>
      <c r="AL4969" s="24"/>
      <c r="AM4969" s="24"/>
      <c r="AN4969" s="24"/>
      <c r="AO4969" s="24"/>
      <c r="AP4969" s="165" t="str">
        <f t="shared" si="1534"/>
        <v/>
      </c>
      <c r="AQ4969" s="203" t="str">
        <f t="shared" si="1535"/>
        <v/>
      </c>
      <c r="AR4969" s="206">
        <f t="shared" si="1536"/>
        <v>0</v>
      </c>
      <c r="AS4969" s="22" t="str">
        <f t="shared" si="1537"/>
        <v/>
      </c>
      <c r="AT4969" s="24" t="str">
        <f t="shared" si="1538"/>
        <v/>
      </c>
      <c r="AU4969" s="22" t="s">
        <v>3240</v>
      </c>
    </row>
    <row r="4970" spans="1:47">
      <c r="A4970" s="246" t="str">
        <f t="shared" si="1526"/>
        <v/>
      </c>
      <c r="B4970" s="23"/>
      <c r="C4970" s="23"/>
      <c r="D4970" s="202" t="str">
        <f t="shared" si="1527"/>
        <v/>
      </c>
      <c r="E4970" s="33" t="str">
        <f t="shared" si="1521"/>
        <v/>
      </c>
      <c r="F4970" s="23"/>
      <c r="G4970" s="23"/>
      <c r="H4970" s="29"/>
      <c r="I4970" s="204" t="str">
        <f t="shared" si="1524"/>
        <v/>
      </c>
      <c r="J4970" s="188"/>
      <c r="K4970" s="29"/>
      <c r="L4970" s="24"/>
      <c r="M4970" s="22"/>
      <c r="N4970" s="22"/>
      <c r="O4970" s="22"/>
      <c r="P4970" s="202" t="str">
        <f t="shared" si="1525"/>
        <v/>
      </c>
      <c r="Q4970" s="22"/>
      <c r="R4970" s="22"/>
      <c r="S4970" s="22"/>
      <c r="T4970" s="22"/>
      <c r="U4970" s="22"/>
      <c r="V4970" s="22"/>
      <c r="W4970" s="22"/>
      <c r="X4970" s="104"/>
      <c r="Y4970" s="195" t="str">
        <f t="shared" si="1522"/>
        <v/>
      </c>
      <c r="Z4970" s="196" t="str">
        <f t="shared" si="1523"/>
        <v/>
      </c>
      <c r="AA4970" s="22"/>
      <c r="AB4970" s="197" t="str">
        <f t="shared" si="1528"/>
        <v/>
      </c>
      <c r="AC4970" s="198" t="str">
        <f t="shared" si="1529"/>
        <v/>
      </c>
      <c r="AD4970" s="162"/>
      <c r="AE4970" s="199" t="str">
        <f t="shared" si="1530"/>
        <v/>
      </c>
      <c r="AF4970" s="199" t="str">
        <f>IF(AND(COUNTIFS($J$18:J4970,J4970)=1,AE4970=1),1,"")</f>
        <v/>
      </c>
      <c r="AG4970" s="199" t="str">
        <f>IF(C4970="","",IF(AND(COUNTIFS($J$18:J4970,J4970)=1,C4970&lt;&gt;""),1,""))</f>
        <v/>
      </c>
      <c r="AH4970" s="199" t="str">
        <f>IF(G4970="","",IF(AND(COUNTIFS($J$18:J4970,J4970)=1,G4970&lt;&gt;""),1,""))</f>
        <v/>
      </c>
      <c r="AI4970" s="200">
        <f t="shared" si="1531"/>
        <v>0</v>
      </c>
      <c r="AJ4970" s="200">
        <f t="shared" si="1532"/>
        <v>0</v>
      </c>
      <c r="AK4970" s="201" t="str">
        <f t="shared" si="1533"/>
        <v/>
      </c>
      <c r="AL4970" s="24"/>
      <c r="AM4970" s="24"/>
      <c r="AN4970" s="24"/>
      <c r="AO4970" s="24"/>
      <c r="AP4970" s="165" t="str">
        <f t="shared" si="1534"/>
        <v/>
      </c>
      <c r="AQ4970" s="203" t="str">
        <f t="shared" si="1535"/>
        <v/>
      </c>
      <c r="AR4970" s="206">
        <f t="shared" si="1536"/>
        <v>0</v>
      </c>
      <c r="AS4970" s="22" t="str">
        <f t="shared" si="1537"/>
        <v/>
      </c>
      <c r="AT4970" s="24" t="str">
        <f t="shared" si="1538"/>
        <v/>
      </c>
      <c r="AU4970" s="22" t="s">
        <v>3240</v>
      </c>
    </row>
    <row r="4971" spans="1:47">
      <c r="A4971" s="246" t="str">
        <f t="shared" si="1526"/>
        <v/>
      </c>
      <c r="B4971" s="23"/>
      <c r="C4971" s="23"/>
      <c r="D4971" s="202" t="str">
        <f t="shared" si="1527"/>
        <v/>
      </c>
      <c r="E4971" s="33" t="str">
        <f t="shared" si="1521"/>
        <v/>
      </c>
      <c r="F4971" s="23"/>
      <c r="G4971" s="23"/>
      <c r="H4971" s="29"/>
      <c r="I4971" s="204" t="str">
        <f t="shared" si="1524"/>
        <v/>
      </c>
      <c r="J4971" s="188"/>
      <c r="K4971" s="29"/>
      <c r="L4971" s="24"/>
      <c r="M4971" s="22"/>
      <c r="N4971" s="22"/>
      <c r="O4971" s="22"/>
      <c r="P4971" s="202" t="str">
        <f t="shared" si="1525"/>
        <v/>
      </c>
      <c r="Q4971" s="22"/>
      <c r="R4971" s="22"/>
      <c r="S4971" s="22"/>
      <c r="T4971" s="22"/>
      <c r="U4971" s="22"/>
      <c r="V4971" s="22"/>
      <c r="W4971" s="22"/>
      <c r="X4971" s="104"/>
      <c r="Y4971" s="195" t="str">
        <f t="shared" si="1522"/>
        <v/>
      </c>
      <c r="Z4971" s="196" t="str">
        <f t="shared" si="1523"/>
        <v/>
      </c>
      <c r="AA4971" s="22"/>
      <c r="AB4971" s="197" t="str">
        <f t="shared" si="1528"/>
        <v/>
      </c>
      <c r="AC4971" s="198" t="str">
        <f t="shared" si="1529"/>
        <v/>
      </c>
      <c r="AD4971" s="162"/>
      <c r="AE4971" s="199" t="str">
        <f t="shared" si="1530"/>
        <v/>
      </c>
      <c r="AF4971" s="199" t="str">
        <f>IF(AND(COUNTIFS($J$18:J4971,J4971)=1,AE4971=1),1,"")</f>
        <v/>
      </c>
      <c r="AG4971" s="199" t="str">
        <f>IF(C4971="","",IF(AND(COUNTIFS($J$18:J4971,J4971)=1,C4971&lt;&gt;""),1,""))</f>
        <v/>
      </c>
      <c r="AH4971" s="199" t="str">
        <f>IF(G4971="","",IF(AND(COUNTIFS($J$18:J4971,J4971)=1,G4971&lt;&gt;""),1,""))</f>
        <v/>
      </c>
      <c r="AI4971" s="200">
        <f t="shared" si="1531"/>
        <v>0</v>
      </c>
      <c r="AJ4971" s="200">
        <f t="shared" si="1532"/>
        <v>0</v>
      </c>
      <c r="AK4971" s="201" t="str">
        <f t="shared" si="1533"/>
        <v/>
      </c>
      <c r="AL4971" s="24"/>
      <c r="AM4971" s="24"/>
      <c r="AN4971" s="24"/>
      <c r="AO4971" s="24"/>
      <c r="AP4971" s="165" t="str">
        <f t="shared" si="1534"/>
        <v/>
      </c>
      <c r="AQ4971" s="203" t="str">
        <f t="shared" si="1535"/>
        <v/>
      </c>
      <c r="AR4971" s="206">
        <f t="shared" si="1536"/>
        <v>0</v>
      </c>
      <c r="AS4971" s="22" t="str">
        <f t="shared" si="1537"/>
        <v/>
      </c>
      <c r="AT4971" s="24" t="str">
        <f t="shared" si="1538"/>
        <v/>
      </c>
      <c r="AU4971" s="22" t="s">
        <v>3240</v>
      </c>
    </row>
    <row r="4972" spans="1:47">
      <c r="A4972" s="246" t="str">
        <f t="shared" si="1526"/>
        <v/>
      </c>
      <c r="B4972" s="23"/>
      <c r="C4972" s="23"/>
      <c r="D4972" s="202" t="str">
        <f t="shared" si="1527"/>
        <v/>
      </c>
      <c r="E4972" s="33" t="str">
        <f t="shared" si="1521"/>
        <v/>
      </c>
      <c r="F4972" s="23"/>
      <c r="G4972" s="23"/>
      <c r="H4972" s="29"/>
      <c r="I4972" s="204" t="str">
        <f t="shared" si="1524"/>
        <v/>
      </c>
      <c r="J4972" s="188"/>
      <c r="K4972" s="29"/>
      <c r="L4972" s="24"/>
      <c r="M4972" s="22"/>
      <c r="N4972" s="22"/>
      <c r="O4972" s="22"/>
      <c r="P4972" s="202" t="str">
        <f t="shared" si="1525"/>
        <v/>
      </c>
      <c r="Q4972" s="22"/>
      <c r="R4972" s="22"/>
      <c r="S4972" s="22"/>
      <c r="T4972" s="22"/>
      <c r="U4972" s="22"/>
      <c r="V4972" s="22"/>
      <c r="W4972" s="22"/>
      <c r="X4972" s="104"/>
      <c r="Y4972" s="195" t="str">
        <f t="shared" si="1522"/>
        <v/>
      </c>
      <c r="Z4972" s="196" t="str">
        <f t="shared" si="1523"/>
        <v/>
      </c>
      <c r="AA4972" s="22"/>
      <c r="AB4972" s="197" t="str">
        <f t="shared" si="1528"/>
        <v/>
      </c>
      <c r="AC4972" s="198" t="str">
        <f t="shared" si="1529"/>
        <v/>
      </c>
      <c r="AD4972" s="162"/>
      <c r="AE4972" s="199" t="str">
        <f t="shared" si="1530"/>
        <v/>
      </c>
      <c r="AF4972" s="199" t="str">
        <f>IF(AND(COUNTIFS($J$18:J4972,J4972)=1,AE4972=1),1,"")</f>
        <v/>
      </c>
      <c r="AG4972" s="199" t="str">
        <f>IF(C4972="","",IF(AND(COUNTIFS($J$18:J4972,J4972)=1,C4972&lt;&gt;""),1,""))</f>
        <v/>
      </c>
      <c r="AH4972" s="199" t="str">
        <f>IF(G4972="","",IF(AND(COUNTIFS($J$18:J4972,J4972)=1,G4972&lt;&gt;""),1,""))</f>
        <v/>
      </c>
      <c r="AI4972" s="200">
        <f t="shared" si="1531"/>
        <v>0</v>
      </c>
      <c r="AJ4972" s="200">
        <f t="shared" si="1532"/>
        <v>0</v>
      </c>
      <c r="AK4972" s="201" t="str">
        <f t="shared" si="1533"/>
        <v/>
      </c>
      <c r="AL4972" s="24"/>
      <c r="AM4972" s="24"/>
      <c r="AN4972" s="24"/>
      <c r="AO4972" s="24"/>
      <c r="AP4972" s="165" t="str">
        <f t="shared" si="1534"/>
        <v/>
      </c>
      <c r="AQ4972" s="203" t="str">
        <f t="shared" si="1535"/>
        <v/>
      </c>
      <c r="AR4972" s="206">
        <f t="shared" si="1536"/>
        <v>0</v>
      </c>
      <c r="AS4972" s="22" t="str">
        <f t="shared" si="1537"/>
        <v/>
      </c>
      <c r="AT4972" s="24" t="str">
        <f t="shared" si="1538"/>
        <v/>
      </c>
      <c r="AU4972" s="22" t="s">
        <v>3240</v>
      </c>
    </row>
    <row r="4973" spans="1:47">
      <c r="A4973" s="246" t="str">
        <f t="shared" si="1526"/>
        <v/>
      </c>
      <c r="B4973" s="23"/>
      <c r="C4973" s="23"/>
      <c r="D4973" s="202" t="str">
        <f t="shared" si="1527"/>
        <v/>
      </c>
      <c r="E4973" s="33" t="str">
        <f t="shared" si="1521"/>
        <v/>
      </c>
      <c r="F4973" s="23"/>
      <c r="G4973" s="23"/>
      <c r="H4973" s="29"/>
      <c r="I4973" s="204" t="str">
        <f t="shared" si="1524"/>
        <v/>
      </c>
      <c r="J4973" s="188"/>
      <c r="K4973" s="29"/>
      <c r="L4973" s="24"/>
      <c r="M4973" s="22"/>
      <c r="N4973" s="22"/>
      <c r="O4973" s="22"/>
      <c r="P4973" s="202" t="str">
        <f t="shared" si="1525"/>
        <v/>
      </c>
      <c r="Q4973" s="22"/>
      <c r="R4973" s="22"/>
      <c r="S4973" s="22"/>
      <c r="T4973" s="22"/>
      <c r="U4973" s="22"/>
      <c r="V4973" s="22"/>
      <c r="W4973" s="22"/>
      <c r="X4973" s="104"/>
      <c r="Y4973" s="195" t="str">
        <f t="shared" si="1522"/>
        <v/>
      </c>
      <c r="Z4973" s="196" t="str">
        <f t="shared" si="1523"/>
        <v/>
      </c>
      <c r="AA4973" s="22"/>
      <c r="AB4973" s="197" t="str">
        <f t="shared" si="1528"/>
        <v/>
      </c>
      <c r="AC4973" s="198" t="str">
        <f t="shared" si="1529"/>
        <v/>
      </c>
      <c r="AD4973" s="162"/>
      <c r="AE4973" s="199" t="str">
        <f t="shared" si="1530"/>
        <v/>
      </c>
      <c r="AF4973" s="199" t="str">
        <f>IF(AND(COUNTIFS($J$18:J4973,J4973)=1,AE4973=1),1,"")</f>
        <v/>
      </c>
      <c r="AG4973" s="199" t="str">
        <f>IF(C4973="","",IF(AND(COUNTIFS($J$18:J4973,J4973)=1,C4973&lt;&gt;""),1,""))</f>
        <v/>
      </c>
      <c r="AH4973" s="199" t="str">
        <f>IF(G4973="","",IF(AND(COUNTIFS($J$18:J4973,J4973)=1,G4973&lt;&gt;""),1,""))</f>
        <v/>
      </c>
      <c r="AI4973" s="200">
        <f t="shared" si="1531"/>
        <v>0</v>
      </c>
      <c r="AJ4973" s="200">
        <f t="shared" si="1532"/>
        <v>0</v>
      </c>
      <c r="AK4973" s="201" t="str">
        <f t="shared" si="1533"/>
        <v/>
      </c>
      <c r="AL4973" s="24"/>
      <c r="AM4973" s="24"/>
      <c r="AN4973" s="24"/>
      <c r="AO4973" s="24"/>
      <c r="AP4973" s="165" t="str">
        <f t="shared" si="1534"/>
        <v/>
      </c>
      <c r="AQ4973" s="203" t="str">
        <f t="shared" si="1535"/>
        <v/>
      </c>
      <c r="AR4973" s="206">
        <f t="shared" si="1536"/>
        <v>0</v>
      </c>
      <c r="AS4973" s="22" t="str">
        <f t="shared" si="1537"/>
        <v/>
      </c>
      <c r="AT4973" s="24" t="str">
        <f t="shared" si="1538"/>
        <v/>
      </c>
      <c r="AU4973" s="22" t="s">
        <v>3240</v>
      </c>
    </row>
    <row r="4974" spans="1:47">
      <c r="A4974" s="246" t="str">
        <f t="shared" si="1526"/>
        <v/>
      </c>
      <c r="B4974" s="23"/>
      <c r="C4974" s="23"/>
      <c r="D4974" s="202" t="str">
        <f t="shared" si="1527"/>
        <v/>
      </c>
      <c r="E4974" s="33" t="str">
        <f t="shared" si="1521"/>
        <v/>
      </c>
      <c r="F4974" s="23"/>
      <c r="G4974" s="23"/>
      <c r="H4974" s="29"/>
      <c r="I4974" s="204" t="str">
        <f t="shared" si="1524"/>
        <v/>
      </c>
      <c r="J4974" s="188"/>
      <c r="K4974" s="29"/>
      <c r="L4974" s="24"/>
      <c r="M4974" s="22"/>
      <c r="N4974" s="22"/>
      <c r="O4974" s="22"/>
      <c r="P4974" s="202" t="str">
        <f t="shared" si="1525"/>
        <v/>
      </c>
      <c r="Q4974" s="22"/>
      <c r="R4974" s="22"/>
      <c r="S4974" s="22"/>
      <c r="T4974" s="22"/>
      <c r="U4974" s="22"/>
      <c r="V4974" s="22"/>
      <c r="W4974" s="22"/>
      <c r="X4974" s="104"/>
      <c r="Y4974" s="195" t="str">
        <f t="shared" si="1522"/>
        <v/>
      </c>
      <c r="Z4974" s="196" t="str">
        <f t="shared" si="1523"/>
        <v/>
      </c>
      <c r="AA4974" s="22"/>
      <c r="AB4974" s="197" t="str">
        <f t="shared" si="1528"/>
        <v/>
      </c>
      <c r="AC4974" s="198" t="str">
        <f t="shared" si="1529"/>
        <v/>
      </c>
      <c r="AD4974" s="162"/>
      <c r="AE4974" s="199" t="str">
        <f t="shared" si="1530"/>
        <v/>
      </c>
      <c r="AF4974" s="199" t="str">
        <f>IF(AND(COUNTIFS($J$18:J4974,J4974)=1,AE4974=1),1,"")</f>
        <v/>
      </c>
      <c r="AG4974" s="199" t="str">
        <f>IF(C4974="","",IF(AND(COUNTIFS($J$18:J4974,J4974)=1,C4974&lt;&gt;""),1,""))</f>
        <v/>
      </c>
      <c r="AH4974" s="199" t="str">
        <f>IF(G4974="","",IF(AND(COUNTIFS($J$18:J4974,J4974)=1,G4974&lt;&gt;""),1,""))</f>
        <v/>
      </c>
      <c r="AI4974" s="200">
        <f t="shared" si="1531"/>
        <v>0</v>
      </c>
      <c r="AJ4974" s="200">
        <f t="shared" si="1532"/>
        <v>0</v>
      </c>
      <c r="AK4974" s="201" t="str">
        <f t="shared" si="1533"/>
        <v/>
      </c>
      <c r="AL4974" s="24"/>
      <c r="AM4974" s="24"/>
      <c r="AN4974" s="24"/>
      <c r="AO4974" s="24"/>
      <c r="AP4974" s="165" t="str">
        <f t="shared" si="1534"/>
        <v/>
      </c>
      <c r="AQ4974" s="203" t="str">
        <f t="shared" si="1535"/>
        <v/>
      </c>
      <c r="AR4974" s="206">
        <f t="shared" si="1536"/>
        <v>0</v>
      </c>
      <c r="AS4974" s="22" t="str">
        <f t="shared" si="1537"/>
        <v/>
      </c>
      <c r="AT4974" s="24" t="str">
        <f t="shared" si="1538"/>
        <v/>
      </c>
      <c r="AU4974" s="22" t="s">
        <v>3240</v>
      </c>
    </row>
    <row r="4975" spans="1:47">
      <c r="A4975" s="246" t="str">
        <f t="shared" si="1526"/>
        <v/>
      </c>
      <c r="B4975" s="23"/>
      <c r="C4975" s="23"/>
      <c r="D4975" s="202" t="str">
        <f t="shared" si="1527"/>
        <v/>
      </c>
      <c r="E4975" s="33" t="str">
        <f t="shared" si="1521"/>
        <v/>
      </c>
      <c r="F4975" s="23"/>
      <c r="G4975" s="23"/>
      <c r="H4975" s="29"/>
      <c r="I4975" s="204" t="str">
        <f t="shared" si="1524"/>
        <v/>
      </c>
      <c r="J4975" s="188"/>
      <c r="K4975" s="29"/>
      <c r="L4975" s="24"/>
      <c r="M4975" s="22"/>
      <c r="N4975" s="22"/>
      <c r="O4975" s="22"/>
      <c r="P4975" s="202" t="str">
        <f t="shared" si="1525"/>
        <v/>
      </c>
      <c r="Q4975" s="22"/>
      <c r="R4975" s="22"/>
      <c r="S4975" s="22"/>
      <c r="T4975" s="22"/>
      <c r="U4975" s="22"/>
      <c r="V4975" s="22"/>
      <c r="W4975" s="22"/>
      <c r="X4975" s="104"/>
      <c r="Y4975" s="195" t="str">
        <f t="shared" si="1522"/>
        <v/>
      </c>
      <c r="Z4975" s="196" t="str">
        <f t="shared" si="1523"/>
        <v/>
      </c>
      <c r="AA4975" s="22"/>
      <c r="AB4975" s="197" t="str">
        <f t="shared" si="1528"/>
        <v/>
      </c>
      <c r="AC4975" s="198" t="str">
        <f t="shared" si="1529"/>
        <v/>
      </c>
      <c r="AD4975" s="162"/>
      <c r="AE4975" s="199" t="str">
        <f t="shared" si="1530"/>
        <v/>
      </c>
      <c r="AF4975" s="199" t="str">
        <f>IF(AND(COUNTIFS($J$18:J4975,J4975)=1,AE4975=1),1,"")</f>
        <v/>
      </c>
      <c r="AG4975" s="199" t="str">
        <f>IF(C4975="","",IF(AND(COUNTIFS($J$18:J4975,J4975)=1,C4975&lt;&gt;""),1,""))</f>
        <v/>
      </c>
      <c r="AH4975" s="199" t="str">
        <f>IF(G4975="","",IF(AND(COUNTIFS($J$18:J4975,J4975)=1,G4975&lt;&gt;""),1,""))</f>
        <v/>
      </c>
      <c r="AI4975" s="200">
        <f t="shared" si="1531"/>
        <v>0</v>
      </c>
      <c r="AJ4975" s="200">
        <f t="shared" si="1532"/>
        <v>0</v>
      </c>
      <c r="AK4975" s="201" t="str">
        <f t="shared" si="1533"/>
        <v/>
      </c>
      <c r="AL4975" s="24"/>
      <c r="AM4975" s="24"/>
      <c r="AN4975" s="24"/>
      <c r="AO4975" s="24"/>
      <c r="AP4975" s="165" t="str">
        <f t="shared" si="1534"/>
        <v/>
      </c>
      <c r="AQ4975" s="203" t="str">
        <f t="shared" si="1535"/>
        <v/>
      </c>
      <c r="AR4975" s="206">
        <f t="shared" si="1536"/>
        <v>0</v>
      </c>
      <c r="AS4975" s="22" t="str">
        <f t="shared" si="1537"/>
        <v/>
      </c>
      <c r="AT4975" s="24" t="str">
        <f t="shared" si="1538"/>
        <v/>
      </c>
      <c r="AU4975" s="22" t="s">
        <v>3240</v>
      </c>
    </row>
    <row r="4976" spans="1:47">
      <c r="A4976" s="246" t="str">
        <f t="shared" si="1526"/>
        <v/>
      </c>
      <c r="B4976" s="23"/>
      <c r="C4976" s="23"/>
      <c r="D4976" s="202" t="str">
        <f t="shared" si="1527"/>
        <v/>
      </c>
      <c r="E4976" s="33" t="str">
        <f t="shared" si="1521"/>
        <v/>
      </c>
      <c r="F4976" s="23"/>
      <c r="G4976" s="23"/>
      <c r="H4976" s="29"/>
      <c r="I4976" s="204" t="str">
        <f t="shared" si="1524"/>
        <v/>
      </c>
      <c r="J4976" s="188"/>
      <c r="K4976" s="29"/>
      <c r="L4976" s="24"/>
      <c r="M4976" s="22"/>
      <c r="N4976" s="22"/>
      <c r="O4976" s="22"/>
      <c r="P4976" s="202" t="str">
        <f t="shared" si="1525"/>
        <v/>
      </c>
      <c r="Q4976" s="22"/>
      <c r="R4976" s="22"/>
      <c r="S4976" s="22"/>
      <c r="T4976" s="22"/>
      <c r="U4976" s="22"/>
      <c r="V4976" s="22"/>
      <c r="W4976" s="22"/>
      <c r="X4976" s="104"/>
      <c r="Y4976" s="195" t="str">
        <f t="shared" si="1522"/>
        <v/>
      </c>
      <c r="Z4976" s="196" t="str">
        <f t="shared" si="1523"/>
        <v/>
      </c>
      <c r="AA4976" s="22"/>
      <c r="AB4976" s="197" t="str">
        <f t="shared" si="1528"/>
        <v/>
      </c>
      <c r="AC4976" s="198" t="str">
        <f t="shared" si="1529"/>
        <v/>
      </c>
      <c r="AD4976" s="162"/>
      <c r="AE4976" s="199" t="str">
        <f t="shared" si="1530"/>
        <v/>
      </c>
      <c r="AF4976" s="199" t="str">
        <f>IF(AND(COUNTIFS($J$18:J4976,J4976)=1,AE4976=1),1,"")</f>
        <v/>
      </c>
      <c r="AG4976" s="199" t="str">
        <f>IF(C4976="","",IF(AND(COUNTIFS($J$18:J4976,J4976)=1,C4976&lt;&gt;""),1,""))</f>
        <v/>
      </c>
      <c r="AH4976" s="199" t="str">
        <f>IF(G4976="","",IF(AND(COUNTIFS($J$18:J4976,J4976)=1,G4976&lt;&gt;""),1,""))</f>
        <v/>
      </c>
      <c r="AI4976" s="200">
        <f t="shared" si="1531"/>
        <v>0</v>
      </c>
      <c r="AJ4976" s="200">
        <f t="shared" si="1532"/>
        <v>0</v>
      </c>
      <c r="AK4976" s="201" t="str">
        <f t="shared" si="1533"/>
        <v/>
      </c>
      <c r="AL4976" s="24"/>
      <c r="AM4976" s="24"/>
      <c r="AN4976" s="24"/>
      <c r="AO4976" s="24"/>
      <c r="AP4976" s="165" t="str">
        <f t="shared" si="1534"/>
        <v/>
      </c>
      <c r="AQ4976" s="203" t="str">
        <f t="shared" si="1535"/>
        <v/>
      </c>
      <c r="AR4976" s="206">
        <f t="shared" si="1536"/>
        <v>0</v>
      </c>
      <c r="AS4976" s="22" t="str">
        <f t="shared" si="1537"/>
        <v/>
      </c>
      <c r="AT4976" s="24" t="str">
        <f t="shared" si="1538"/>
        <v/>
      </c>
      <c r="AU4976" s="22" t="s">
        <v>3240</v>
      </c>
    </row>
    <row r="4977" spans="1:47">
      <c r="A4977" s="246" t="str">
        <f t="shared" si="1526"/>
        <v/>
      </c>
      <c r="B4977" s="23"/>
      <c r="C4977" s="23"/>
      <c r="D4977" s="202" t="str">
        <f t="shared" si="1527"/>
        <v/>
      </c>
      <c r="E4977" s="33" t="str">
        <f t="shared" si="1521"/>
        <v/>
      </c>
      <c r="F4977" s="23"/>
      <c r="G4977" s="23"/>
      <c r="H4977" s="29"/>
      <c r="I4977" s="204" t="str">
        <f t="shared" si="1524"/>
        <v/>
      </c>
      <c r="J4977" s="188"/>
      <c r="K4977" s="29"/>
      <c r="L4977" s="24"/>
      <c r="M4977" s="22"/>
      <c r="N4977" s="22"/>
      <c r="O4977" s="22"/>
      <c r="P4977" s="202" t="str">
        <f t="shared" si="1525"/>
        <v/>
      </c>
      <c r="Q4977" s="22"/>
      <c r="R4977" s="22"/>
      <c r="S4977" s="22"/>
      <c r="T4977" s="22"/>
      <c r="U4977" s="22"/>
      <c r="V4977" s="22"/>
      <c r="W4977" s="22"/>
      <c r="X4977" s="104"/>
      <c r="Y4977" s="195" t="str">
        <f t="shared" si="1522"/>
        <v/>
      </c>
      <c r="Z4977" s="196" t="str">
        <f t="shared" si="1523"/>
        <v/>
      </c>
      <c r="AA4977" s="22"/>
      <c r="AB4977" s="197" t="str">
        <f t="shared" si="1528"/>
        <v/>
      </c>
      <c r="AC4977" s="198" t="str">
        <f t="shared" si="1529"/>
        <v/>
      </c>
      <c r="AD4977" s="162"/>
      <c r="AE4977" s="199" t="str">
        <f t="shared" si="1530"/>
        <v/>
      </c>
      <c r="AF4977" s="199" t="str">
        <f>IF(AND(COUNTIFS($J$18:J4977,J4977)=1,AE4977=1),1,"")</f>
        <v/>
      </c>
      <c r="AG4977" s="199" t="str">
        <f>IF(C4977="","",IF(AND(COUNTIFS($J$18:J4977,J4977)=1,C4977&lt;&gt;""),1,""))</f>
        <v/>
      </c>
      <c r="AH4977" s="199" t="str">
        <f>IF(G4977="","",IF(AND(COUNTIFS($J$18:J4977,J4977)=1,G4977&lt;&gt;""),1,""))</f>
        <v/>
      </c>
      <c r="AI4977" s="200">
        <f t="shared" si="1531"/>
        <v>0</v>
      </c>
      <c r="AJ4977" s="200">
        <f t="shared" si="1532"/>
        <v>0</v>
      </c>
      <c r="AK4977" s="201" t="str">
        <f t="shared" si="1533"/>
        <v/>
      </c>
      <c r="AL4977" s="24"/>
      <c r="AM4977" s="24"/>
      <c r="AN4977" s="24"/>
      <c r="AO4977" s="24"/>
      <c r="AP4977" s="165" t="str">
        <f t="shared" si="1534"/>
        <v/>
      </c>
      <c r="AQ4977" s="203" t="str">
        <f t="shared" si="1535"/>
        <v/>
      </c>
      <c r="AR4977" s="206">
        <f t="shared" si="1536"/>
        <v>0</v>
      </c>
      <c r="AS4977" s="22" t="str">
        <f t="shared" si="1537"/>
        <v/>
      </c>
      <c r="AT4977" s="24" t="str">
        <f t="shared" si="1538"/>
        <v/>
      </c>
      <c r="AU4977" s="22" t="s">
        <v>3240</v>
      </c>
    </row>
    <row r="4978" spans="1:47">
      <c r="A4978" s="246" t="str">
        <f t="shared" si="1526"/>
        <v/>
      </c>
      <c r="B4978" s="23"/>
      <c r="C4978" s="23"/>
      <c r="D4978" s="202" t="str">
        <f t="shared" si="1527"/>
        <v/>
      </c>
      <c r="E4978" s="33" t="str">
        <f t="shared" si="1521"/>
        <v/>
      </c>
      <c r="F4978" s="23"/>
      <c r="G4978" s="23"/>
      <c r="H4978" s="29"/>
      <c r="I4978" s="204" t="str">
        <f t="shared" si="1524"/>
        <v/>
      </c>
      <c r="J4978" s="188"/>
      <c r="K4978" s="29"/>
      <c r="L4978" s="24"/>
      <c r="M4978" s="22"/>
      <c r="N4978" s="22"/>
      <c r="O4978" s="22"/>
      <c r="P4978" s="202" t="str">
        <f t="shared" si="1525"/>
        <v/>
      </c>
      <c r="Q4978" s="22"/>
      <c r="R4978" s="22"/>
      <c r="S4978" s="22"/>
      <c r="T4978" s="22"/>
      <c r="U4978" s="22"/>
      <c r="V4978" s="22"/>
      <c r="W4978" s="22"/>
      <c r="X4978" s="104"/>
      <c r="Y4978" s="195" t="str">
        <f t="shared" si="1522"/>
        <v/>
      </c>
      <c r="Z4978" s="196" t="str">
        <f t="shared" si="1523"/>
        <v/>
      </c>
      <c r="AA4978" s="22"/>
      <c r="AB4978" s="197" t="str">
        <f t="shared" si="1528"/>
        <v/>
      </c>
      <c r="AC4978" s="198" t="str">
        <f t="shared" si="1529"/>
        <v/>
      </c>
      <c r="AD4978" s="162"/>
      <c r="AE4978" s="199" t="str">
        <f t="shared" si="1530"/>
        <v/>
      </c>
      <c r="AF4978" s="199" t="str">
        <f>IF(AND(COUNTIFS($J$18:J4978,J4978)=1,AE4978=1),1,"")</f>
        <v/>
      </c>
      <c r="AG4978" s="199" t="str">
        <f>IF(C4978="","",IF(AND(COUNTIFS($J$18:J4978,J4978)=1,C4978&lt;&gt;""),1,""))</f>
        <v/>
      </c>
      <c r="AH4978" s="199" t="str">
        <f>IF(G4978="","",IF(AND(COUNTIFS($J$18:J4978,J4978)=1,G4978&lt;&gt;""),1,""))</f>
        <v/>
      </c>
      <c r="AI4978" s="200">
        <f t="shared" si="1531"/>
        <v>0</v>
      </c>
      <c r="AJ4978" s="200">
        <f t="shared" si="1532"/>
        <v>0</v>
      </c>
      <c r="AK4978" s="201" t="str">
        <f t="shared" si="1533"/>
        <v/>
      </c>
      <c r="AL4978" s="24"/>
      <c r="AM4978" s="24"/>
      <c r="AN4978" s="24"/>
      <c r="AO4978" s="24"/>
      <c r="AP4978" s="165" t="str">
        <f t="shared" si="1534"/>
        <v/>
      </c>
      <c r="AQ4978" s="203" t="str">
        <f t="shared" si="1535"/>
        <v/>
      </c>
      <c r="AR4978" s="206">
        <f t="shared" si="1536"/>
        <v>0</v>
      </c>
      <c r="AS4978" s="22" t="str">
        <f t="shared" si="1537"/>
        <v/>
      </c>
      <c r="AT4978" s="24" t="str">
        <f t="shared" si="1538"/>
        <v/>
      </c>
      <c r="AU4978" s="22" t="s">
        <v>3240</v>
      </c>
    </row>
    <row r="4979" spans="1:47">
      <c r="A4979" s="246" t="str">
        <f t="shared" si="1526"/>
        <v/>
      </c>
      <c r="B4979" s="23"/>
      <c r="C4979" s="23"/>
      <c r="D4979" s="202" t="str">
        <f t="shared" si="1527"/>
        <v/>
      </c>
      <c r="E4979" s="33" t="str">
        <f t="shared" si="1521"/>
        <v/>
      </c>
      <c r="F4979" s="23"/>
      <c r="G4979" s="23"/>
      <c r="H4979" s="29"/>
      <c r="I4979" s="204" t="str">
        <f t="shared" si="1524"/>
        <v/>
      </c>
      <c r="J4979" s="188"/>
      <c r="K4979" s="29"/>
      <c r="L4979" s="24"/>
      <c r="M4979" s="22"/>
      <c r="N4979" s="22"/>
      <c r="O4979" s="22"/>
      <c r="P4979" s="202" t="str">
        <f t="shared" si="1525"/>
        <v/>
      </c>
      <c r="Q4979" s="22"/>
      <c r="R4979" s="22"/>
      <c r="S4979" s="22"/>
      <c r="T4979" s="22"/>
      <c r="U4979" s="22"/>
      <c r="V4979" s="22"/>
      <c r="W4979" s="22"/>
      <c r="X4979" s="104"/>
      <c r="Y4979" s="195" t="str">
        <f t="shared" si="1522"/>
        <v/>
      </c>
      <c r="Z4979" s="196" t="str">
        <f t="shared" si="1523"/>
        <v/>
      </c>
      <c r="AA4979" s="22"/>
      <c r="AB4979" s="197" t="str">
        <f t="shared" si="1528"/>
        <v/>
      </c>
      <c r="AC4979" s="198" t="str">
        <f t="shared" si="1529"/>
        <v/>
      </c>
      <c r="AD4979" s="162"/>
      <c r="AE4979" s="199" t="str">
        <f t="shared" si="1530"/>
        <v/>
      </c>
      <c r="AF4979" s="199" t="str">
        <f>IF(AND(COUNTIFS($J$18:J4979,J4979)=1,AE4979=1),1,"")</f>
        <v/>
      </c>
      <c r="AG4979" s="199" t="str">
        <f>IF(C4979="","",IF(AND(COUNTIFS($J$18:J4979,J4979)=1,C4979&lt;&gt;""),1,""))</f>
        <v/>
      </c>
      <c r="AH4979" s="199" t="str">
        <f>IF(G4979="","",IF(AND(COUNTIFS($J$18:J4979,J4979)=1,G4979&lt;&gt;""),1,""))</f>
        <v/>
      </c>
      <c r="AI4979" s="200">
        <f t="shared" si="1531"/>
        <v>0</v>
      </c>
      <c r="AJ4979" s="200">
        <f t="shared" si="1532"/>
        <v>0</v>
      </c>
      <c r="AK4979" s="201" t="str">
        <f t="shared" si="1533"/>
        <v/>
      </c>
      <c r="AL4979" s="24"/>
      <c r="AM4979" s="24"/>
      <c r="AN4979" s="24"/>
      <c r="AO4979" s="24"/>
      <c r="AP4979" s="165" t="str">
        <f t="shared" si="1534"/>
        <v/>
      </c>
      <c r="AQ4979" s="203" t="str">
        <f t="shared" si="1535"/>
        <v/>
      </c>
      <c r="AR4979" s="206">
        <f t="shared" si="1536"/>
        <v>0</v>
      </c>
      <c r="AS4979" s="22" t="str">
        <f t="shared" si="1537"/>
        <v/>
      </c>
      <c r="AT4979" s="24" t="str">
        <f t="shared" si="1538"/>
        <v/>
      </c>
      <c r="AU4979" s="22" t="s">
        <v>3240</v>
      </c>
    </row>
    <row r="4980" spans="1:47">
      <c r="A4980" s="246" t="str">
        <f t="shared" si="1526"/>
        <v/>
      </c>
      <c r="B4980" s="23"/>
      <c r="C4980" s="23"/>
      <c r="D4980" s="202" t="str">
        <f t="shared" si="1527"/>
        <v/>
      </c>
      <c r="E4980" s="33" t="str">
        <f t="shared" si="1521"/>
        <v/>
      </c>
      <c r="F4980" s="23"/>
      <c r="G4980" s="23"/>
      <c r="H4980" s="29"/>
      <c r="I4980" s="204" t="str">
        <f t="shared" si="1524"/>
        <v/>
      </c>
      <c r="J4980" s="188"/>
      <c r="K4980" s="29"/>
      <c r="L4980" s="24"/>
      <c r="M4980" s="22"/>
      <c r="N4980" s="22"/>
      <c r="O4980" s="22"/>
      <c r="P4980" s="202" t="str">
        <f t="shared" si="1525"/>
        <v/>
      </c>
      <c r="Q4980" s="22"/>
      <c r="R4980" s="22"/>
      <c r="S4980" s="22"/>
      <c r="T4980" s="22"/>
      <c r="U4980" s="22"/>
      <c r="V4980" s="22"/>
      <c r="W4980" s="22"/>
      <c r="X4980" s="104"/>
      <c r="Y4980" s="195" t="str">
        <f t="shared" si="1522"/>
        <v/>
      </c>
      <c r="Z4980" s="196" t="str">
        <f t="shared" si="1523"/>
        <v/>
      </c>
      <c r="AA4980" s="22"/>
      <c r="AB4980" s="197" t="str">
        <f t="shared" si="1528"/>
        <v/>
      </c>
      <c r="AC4980" s="198" t="str">
        <f t="shared" si="1529"/>
        <v/>
      </c>
      <c r="AD4980" s="162"/>
      <c r="AE4980" s="199" t="str">
        <f t="shared" si="1530"/>
        <v/>
      </c>
      <c r="AF4980" s="199" t="str">
        <f>IF(AND(COUNTIFS($J$18:J4980,J4980)=1,AE4980=1),1,"")</f>
        <v/>
      </c>
      <c r="AG4980" s="199" t="str">
        <f>IF(C4980="","",IF(AND(COUNTIFS($J$18:J4980,J4980)=1,C4980&lt;&gt;""),1,""))</f>
        <v/>
      </c>
      <c r="AH4980" s="199" t="str">
        <f>IF(G4980="","",IF(AND(COUNTIFS($J$18:J4980,J4980)=1,G4980&lt;&gt;""),1,""))</f>
        <v/>
      </c>
      <c r="AI4980" s="200">
        <f t="shared" si="1531"/>
        <v>0</v>
      </c>
      <c r="AJ4980" s="200">
        <f t="shared" si="1532"/>
        <v>0</v>
      </c>
      <c r="AK4980" s="201" t="str">
        <f t="shared" si="1533"/>
        <v/>
      </c>
      <c r="AL4980" s="24"/>
      <c r="AM4980" s="24"/>
      <c r="AN4980" s="24"/>
      <c r="AO4980" s="24"/>
      <c r="AP4980" s="165" t="str">
        <f t="shared" si="1534"/>
        <v/>
      </c>
      <c r="AQ4980" s="203" t="str">
        <f t="shared" si="1535"/>
        <v/>
      </c>
      <c r="AR4980" s="206">
        <f t="shared" si="1536"/>
        <v>0</v>
      </c>
      <c r="AS4980" s="22" t="str">
        <f t="shared" si="1537"/>
        <v/>
      </c>
      <c r="AT4980" s="24" t="str">
        <f t="shared" si="1538"/>
        <v/>
      </c>
      <c r="AU4980" s="22" t="s">
        <v>3240</v>
      </c>
    </row>
    <row r="4981" spans="1:47">
      <c r="A4981" s="246" t="str">
        <f t="shared" si="1526"/>
        <v/>
      </c>
      <c r="B4981" s="23"/>
      <c r="C4981" s="23"/>
      <c r="D4981" s="202" t="str">
        <f t="shared" si="1527"/>
        <v/>
      </c>
      <c r="E4981" s="33" t="str">
        <f t="shared" si="1521"/>
        <v/>
      </c>
      <c r="F4981" s="23"/>
      <c r="G4981" s="23"/>
      <c r="H4981" s="29"/>
      <c r="I4981" s="204" t="str">
        <f t="shared" si="1524"/>
        <v/>
      </c>
      <c r="J4981" s="188"/>
      <c r="K4981" s="29"/>
      <c r="L4981" s="24"/>
      <c r="M4981" s="22"/>
      <c r="N4981" s="22"/>
      <c r="O4981" s="22"/>
      <c r="P4981" s="202" t="str">
        <f t="shared" si="1525"/>
        <v/>
      </c>
      <c r="Q4981" s="22"/>
      <c r="R4981" s="22"/>
      <c r="S4981" s="22"/>
      <c r="T4981" s="22"/>
      <c r="U4981" s="22"/>
      <c r="V4981" s="22"/>
      <c r="W4981" s="22"/>
      <c r="X4981" s="104"/>
      <c r="Y4981" s="195" t="str">
        <f t="shared" si="1522"/>
        <v/>
      </c>
      <c r="Z4981" s="196" t="str">
        <f t="shared" si="1523"/>
        <v/>
      </c>
      <c r="AA4981" s="22"/>
      <c r="AB4981" s="197" t="str">
        <f t="shared" si="1528"/>
        <v/>
      </c>
      <c r="AC4981" s="198" t="str">
        <f t="shared" si="1529"/>
        <v/>
      </c>
      <c r="AD4981" s="162"/>
      <c r="AE4981" s="199" t="str">
        <f t="shared" si="1530"/>
        <v/>
      </c>
      <c r="AF4981" s="199" t="str">
        <f>IF(AND(COUNTIFS($J$18:J4981,J4981)=1,AE4981=1),1,"")</f>
        <v/>
      </c>
      <c r="AG4981" s="199" t="str">
        <f>IF(C4981="","",IF(AND(COUNTIFS($J$18:J4981,J4981)=1,C4981&lt;&gt;""),1,""))</f>
        <v/>
      </c>
      <c r="AH4981" s="199" t="str">
        <f>IF(G4981="","",IF(AND(COUNTIFS($J$18:J4981,J4981)=1,G4981&lt;&gt;""),1,""))</f>
        <v/>
      </c>
      <c r="AI4981" s="200">
        <f t="shared" si="1531"/>
        <v>0</v>
      </c>
      <c r="AJ4981" s="200">
        <f t="shared" si="1532"/>
        <v>0</v>
      </c>
      <c r="AK4981" s="201" t="str">
        <f t="shared" si="1533"/>
        <v/>
      </c>
      <c r="AL4981" s="24"/>
      <c r="AM4981" s="24"/>
      <c r="AN4981" s="24"/>
      <c r="AO4981" s="24"/>
      <c r="AP4981" s="165" t="str">
        <f t="shared" si="1534"/>
        <v/>
      </c>
      <c r="AQ4981" s="203" t="str">
        <f t="shared" si="1535"/>
        <v/>
      </c>
      <c r="AR4981" s="206">
        <f t="shared" si="1536"/>
        <v>0</v>
      </c>
      <c r="AS4981" s="22" t="str">
        <f t="shared" si="1537"/>
        <v/>
      </c>
      <c r="AT4981" s="24" t="str">
        <f t="shared" si="1538"/>
        <v/>
      </c>
      <c r="AU4981" s="22" t="s">
        <v>3240</v>
      </c>
    </row>
    <row r="4982" spans="1:47">
      <c r="A4982" s="246" t="str">
        <f t="shared" si="1526"/>
        <v/>
      </c>
      <c r="B4982" s="23"/>
      <c r="C4982" s="23"/>
      <c r="D4982" s="202" t="str">
        <f t="shared" si="1527"/>
        <v/>
      </c>
      <c r="E4982" s="33" t="str">
        <f t="shared" si="1521"/>
        <v/>
      </c>
      <c r="F4982" s="23"/>
      <c r="G4982" s="23"/>
      <c r="H4982" s="29"/>
      <c r="I4982" s="204" t="str">
        <f t="shared" si="1524"/>
        <v/>
      </c>
      <c r="J4982" s="188"/>
      <c r="K4982" s="29"/>
      <c r="L4982" s="24"/>
      <c r="M4982" s="22"/>
      <c r="N4982" s="22"/>
      <c r="O4982" s="22"/>
      <c r="P4982" s="202" t="str">
        <f t="shared" si="1525"/>
        <v/>
      </c>
      <c r="Q4982" s="22"/>
      <c r="R4982" s="22"/>
      <c r="S4982" s="22"/>
      <c r="T4982" s="22"/>
      <c r="U4982" s="22"/>
      <c r="V4982" s="22"/>
      <c r="W4982" s="22"/>
      <c r="X4982" s="104"/>
      <c r="Y4982" s="195" t="str">
        <f t="shared" si="1522"/>
        <v/>
      </c>
      <c r="Z4982" s="196" t="str">
        <f t="shared" si="1523"/>
        <v/>
      </c>
      <c r="AA4982" s="22"/>
      <c r="AB4982" s="197" t="str">
        <f t="shared" si="1528"/>
        <v/>
      </c>
      <c r="AC4982" s="198" t="str">
        <f t="shared" si="1529"/>
        <v/>
      </c>
      <c r="AD4982" s="162"/>
      <c r="AE4982" s="199" t="str">
        <f t="shared" si="1530"/>
        <v/>
      </c>
      <c r="AF4982" s="199" t="str">
        <f>IF(AND(COUNTIFS($J$18:J4982,J4982)=1,AE4982=1),1,"")</f>
        <v/>
      </c>
      <c r="AG4982" s="199" t="str">
        <f>IF(C4982="","",IF(AND(COUNTIFS($J$18:J4982,J4982)=1,C4982&lt;&gt;""),1,""))</f>
        <v/>
      </c>
      <c r="AH4982" s="199" t="str">
        <f>IF(G4982="","",IF(AND(COUNTIFS($J$18:J4982,J4982)=1,G4982&lt;&gt;""),1,""))</f>
        <v/>
      </c>
      <c r="AI4982" s="200">
        <f t="shared" si="1531"/>
        <v>0</v>
      </c>
      <c r="AJ4982" s="200">
        <f t="shared" si="1532"/>
        <v>0</v>
      </c>
      <c r="AK4982" s="201" t="str">
        <f t="shared" si="1533"/>
        <v/>
      </c>
      <c r="AL4982" s="24"/>
      <c r="AM4982" s="24"/>
      <c r="AN4982" s="24"/>
      <c r="AO4982" s="24"/>
      <c r="AP4982" s="165" t="str">
        <f t="shared" si="1534"/>
        <v/>
      </c>
      <c r="AQ4982" s="203" t="str">
        <f t="shared" si="1535"/>
        <v/>
      </c>
      <c r="AR4982" s="206">
        <f t="shared" si="1536"/>
        <v>0</v>
      </c>
      <c r="AS4982" s="22" t="str">
        <f t="shared" si="1537"/>
        <v/>
      </c>
      <c r="AT4982" s="24" t="str">
        <f t="shared" si="1538"/>
        <v/>
      </c>
      <c r="AU4982" s="22" t="s">
        <v>3240</v>
      </c>
    </row>
    <row r="4983" spans="1:47">
      <c r="A4983" s="246" t="str">
        <f t="shared" si="1526"/>
        <v/>
      </c>
      <c r="B4983" s="23"/>
      <c r="C4983" s="23"/>
      <c r="D4983" s="202" t="str">
        <f t="shared" si="1527"/>
        <v/>
      </c>
      <c r="E4983" s="33" t="str">
        <f t="shared" si="1521"/>
        <v/>
      </c>
      <c r="F4983" s="23"/>
      <c r="G4983" s="23"/>
      <c r="H4983" s="29"/>
      <c r="I4983" s="204" t="str">
        <f t="shared" si="1524"/>
        <v/>
      </c>
      <c r="J4983" s="188"/>
      <c r="K4983" s="29"/>
      <c r="L4983" s="24"/>
      <c r="M4983" s="22"/>
      <c r="N4983" s="22"/>
      <c r="O4983" s="22"/>
      <c r="P4983" s="202" t="str">
        <f t="shared" si="1525"/>
        <v/>
      </c>
      <c r="Q4983" s="22"/>
      <c r="R4983" s="22"/>
      <c r="S4983" s="22"/>
      <c r="T4983" s="22"/>
      <c r="U4983" s="22"/>
      <c r="V4983" s="22"/>
      <c r="W4983" s="22"/>
      <c r="X4983" s="104"/>
      <c r="Y4983" s="195" t="str">
        <f t="shared" si="1522"/>
        <v/>
      </c>
      <c r="Z4983" s="196" t="str">
        <f t="shared" si="1523"/>
        <v/>
      </c>
      <c r="AA4983" s="22"/>
      <c r="AB4983" s="197" t="str">
        <f t="shared" si="1528"/>
        <v/>
      </c>
      <c r="AC4983" s="198" t="str">
        <f t="shared" si="1529"/>
        <v/>
      </c>
      <c r="AD4983" s="162"/>
      <c r="AE4983" s="199" t="str">
        <f t="shared" si="1530"/>
        <v/>
      </c>
      <c r="AF4983" s="199" t="str">
        <f>IF(AND(COUNTIFS($J$18:J4983,J4983)=1,AE4983=1),1,"")</f>
        <v/>
      </c>
      <c r="AG4983" s="199" t="str">
        <f>IF(C4983="","",IF(AND(COUNTIFS($J$18:J4983,J4983)=1,C4983&lt;&gt;""),1,""))</f>
        <v/>
      </c>
      <c r="AH4983" s="199" t="str">
        <f>IF(G4983="","",IF(AND(COUNTIFS($J$18:J4983,J4983)=1,G4983&lt;&gt;""),1,""))</f>
        <v/>
      </c>
      <c r="AI4983" s="200">
        <f t="shared" si="1531"/>
        <v>0</v>
      </c>
      <c r="AJ4983" s="200">
        <f t="shared" si="1532"/>
        <v>0</v>
      </c>
      <c r="AK4983" s="201" t="str">
        <f t="shared" si="1533"/>
        <v/>
      </c>
      <c r="AL4983" s="24"/>
      <c r="AM4983" s="24"/>
      <c r="AN4983" s="24"/>
      <c r="AO4983" s="24"/>
      <c r="AP4983" s="165" t="str">
        <f t="shared" si="1534"/>
        <v/>
      </c>
      <c r="AQ4983" s="203" t="str">
        <f t="shared" si="1535"/>
        <v/>
      </c>
      <c r="AR4983" s="206">
        <f t="shared" si="1536"/>
        <v>0</v>
      </c>
      <c r="AS4983" s="22" t="str">
        <f t="shared" si="1537"/>
        <v/>
      </c>
      <c r="AT4983" s="24" t="str">
        <f t="shared" si="1538"/>
        <v/>
      </c>
      <c r="AU4983" s="22" t="s">
        <v>3240</v>
      </c>
    </row>
    <row r="4984" spans="1:47">
      <c r="A4984" s="246" t="str">
        <f t="shared" si="1526"/>
        <v/>
      </c>
      <c r="B4984" s="23"/>
      <c r="C4984" s="23"/>
      <c r="D4984" s="202" t="str">
        <f t="shared" si="1527"/>
        <v/>
      </c>
      <c r="E4984" s="33" t="str">
        <f t="shared" si="1521"/>
        <v/>
      </c>
      <c r="F4984" s="23"/>
      <c r="G4984" s="23"/>
      <c r="H4984" s="29"/>
      <c r="I4984" s="204" t="str">
        <f t="shared" si="1524"/>
        <v/>
      </c>
      <c r="J4984" s="188"/>
      <c r="K4984" s="29"/>
      <c r="L4984" s="24"/>
      <c r="M4984" s="22"/>
      <c r="N4984" s="22"/>
      <c r="O4984" s="22"/>
      <c r="P4984" s="202" t="str">
        <f t="shared" si="1525"/>
        <v/>
      </c>
      <c r="Q4984" s="22"/>
      <c r="R4984" s="22"/>
      <c r="S4984" s="22"/>
      <c r="T4984" s="22"/>
      <c r="U4984" s="22"/>
      <c r="V4984" s="22"/>
      <c r="W4984" s="22"/>
      <c r="X4984" s="104"/>
      <c r="Y4984" s="195" t="str">
        <f t="shared" si="1522"/>
        <v/>
      </c>
      <c r="Z4984" s="196" t="str">
        <f t="shared" si="1523"/>
        <v/>
      </c>
      <c r="AA4984" s="22"/>
      <c r="AB4984" s="197" t="str">
        <f t="shared" si="1528"/>
        <v/>
      </c>
      <c r="AC4984" s="198" t="str">
        <f t="shared" si="1529"/>
        <v/>
      </c>
      <c r="AD4984" s="162"/>
      <c r="AE4984" s="199" t="str">
        <f t="shared" si="1530"/>
        <v/>
      </c>
      <c r="AF4984" s="199" t="str">
        <f>IF(AND(COUNTIFS($J$18:J4984,J4984)=1,AE4984=1),1,"")</f>
        <v/>
      </c>
      <c r="AG4984" s="199" t="str">
        <f>IF(C4984="","",IF(AND(COUNTIFS($J$18:J4984,J4984)=1,C4984&lt;&gt;""),1,""))</f>
        <v/>
      </c>
      <c r="AH4984" s="199" t="str">
        <f>IF(G4984="","",IF(AND(COUNTIFS($J$18:J4984,J4984)=1,G4984&lt;&gt;""),1,""))</f>
        <v/>
      </c>
      <c r="AI4984" s="200">
        <f t="shared" si="1531"/>
        <v>0</v>
      </c>
      <c r="AJ4984" s="200">
        <f t="shared" si="1532"/>
        <v>0</v>
      </c>
      <c r="AK4984" s="201" t="str">
        <f t="shared" si="1533"/>
        <v/>
      </c>
      <c r="AL4984" s="24"/>
      <c r="AM4984" s="24"/>
      <c r="AN4984" s="24"/>
      <c r="AO4984" s="24"/>
      <c r="AP4984" s="165" t="str">
        <f t="shared" si="1534"/>
        <v/>
      </c>
      <c r="AQ4984" s="203" t="str">
        <f t="shared" si="1535"/>
        <v/>
      </c>
      <c r="AR4984" s="206">
        <f t="shared" si="1536"/>
        <v>0</v>
      </c>
      <c r="AS4984" s="22" t="str">
        <f t="shared" si="1537"/>
        <v/>
      </c>
      <c r="AT4984" s="24" t="str">
        <f t="shared" si="1538"/>
        <v/>
      </c>
      <c r="AU4984" s="22" t="s">
        <v>3240</v>
      </c>
    </row>
    <row r="4985" spans="1:47">
      <c r="A4985" s="246" t="str">
        <f t="shared" si="1526"/>
        <v/>
      </c>
      <c r="B4985" s="23"/>
      <c r="C4985" s="23"/>
      <c r="D4985" s="202" t="str">
        <f t="shared" si="1527"/>
        <v/>
      </c>
      <c r="E4985" s="33" t="str">
        <f t="shared" si="1521"/>
        <v/>
      </c>
      <c r="F4985" s="23"/>
      <c r="G4985" s="23"/>
      <c r="H4985" s="29"/>
      <c r="I4985" s="204" t="str">
        <f t="shared" si="1524"/>
        <v/>
      </c>
      <c r="J4985" s="188"/>
      <c r="K4985" s="29"/>
      <c r="L4985" s="24"/>
      <c r="M4985" s="22"/>
      <c r="N4985" s="22"/>
      <c r="O4985" s="22"/>
      <c r="P4985" s="202" t="str">
        <f t="shared" si="1525"/>
        <v/>
      </c>
      <c r="Q4985" s="22"/>
      <c r="R4985" s="22"/>
      <c r="S4985" s="22"/>
      <c r="T4985" s="22"/>
      <c r="U4985" s="22"/>
      <c r="V4985" s="22"/>
      <c r="W4985" s="22"/>
      <c r="X4985" s="104"/>
      <c r="Y4985" s="195" t="str">
        <f t="shared" si="1522"/>
        <v/>
      </c>
      <c r="Z4985" s="196" t="str">
        <f t="shared" si="1523"/>
        <v/>
      </c>
      <c r="AA4985" s="22"/>
      <c r="AB4985" s="197" t="str">
        <f t="shared" si="1528"/>
        <v/>
      </c>
      <c r="AC4985" s="198" t="str">
        <f t="shared" si="1529"/>
        <v/>
      </c>
      <c r="AD4985" s="162"/>
      <c r="AE4985" s="199" t="str">
        <f t="shared" si="1530"/>
        <v/>
      </c>
      <c r="AF4985" s="199" t="str">
        <f>IF(AND(COUNTIFS($J$18:J4985,J4985)=1,AE4985=1),1,"")</f>
        <v/>
      </c>
      <c r="AG4985" s="199" t="str">
        <f>IF(C4985="","",IF(AND(COUNTIFS($J$18:J4985,J4985)=1,C4985&lt;&gt;""),1,""))</f>
        <v/>
      </c>
      <c r="AH4985" s="199" t="str">
        <f>IF(G4985="","",IF(AND(COUNTIFS($J$18:J4985,J4985)=1,G4985&lt;&gt;""),1,""))</f>
        <v/>
      </c>
      <c r="AI4985" s="200">
        <f t="shared" si="1531"/>
        <v>0</v>
      </c>
      <c r="AJ4985" s="200">
        <f t="shared" si="1532"/>
        <v>0</v>
      </c>
      <c r="AK4985" s="201" t="str">
        <f t="shared" si="1533"/>
        <v/>
      </c>
      <c r="AL4985" s="24"/>
      <c r="AM4985" s="24"/>
      <c r="AN4985" s="24"/>
      <c r="AO4985" s="24"/>
      <c r="AP4985" s="165" t="str">
        <f t="shared" si="1534"/>
        <v/>
      </c>
      <c r="AQ4985" s="203" t="str">
        <f t="shared" si="1535"/>
        <v/>
      </c>
      <c r="AR4985" s="206">
        <f t="shared" si="1536"/>
        <v>0</v>
      </c>
      <c r="AS4985" s="22" t="str">
        <f t="shared" si="1537"/>
        <v/>
      </c>
      <c r="AT4985" s="24" t="str">
        <f t="shared" si="1538"/>
        <v/>
      </c>
      <c r="AU4985" s="22" t="s">
        <v>3240</v>
      </c>
    </row>
    <row r="4986" spans="1:47">
      <c r="A4986" s="246" t="str">
        <f t="shared" si="1526"/>
        <v/>
      </c>
      <c r="B4986" s="23"/>
      <c r="C4986" s="23"/>
      <c r="D4986" s="202" t="str">
        <f t="shared" si="1527"/>
        <v/>
      </c>
      <c r="E4986" s="33" t="str">
        <f t="shared" si="1521"/>
        <v/>
      </c>
      <c r="F4986" s="23"/>
      <c r="G4986" s="23"/>
      <c r="H4986" s="29"/>
      <c r="I4986" s="204" t="str">
        <f t="shared" si="1524"/>
        <v/>
      </c>
      <c r="J4986" s="188"/>
      <c r="K4986" s="29"/>
      <c r="L4986" s="24"/>
      <c r="M4986" s="22"/>
      <c r="N4986" s="22"/>
      <c r="O4986" s="22"/>
      <c r="P4986" s="202" t="str">
        <f t="shared" si="1525"/>
        <v/>
      </c>
      <c r="Q4986" s="22"/>
      <c r="R4986" s="22"/>
      <c r="S4986" s="22"/>
      <c r="T4986" s="22"/>
      <c r="U4986" s="22"/>
      <c r="V4986" s="22"/>
      <c r="W4986" s="22"/>
      <c r="X4986" s="104"/>
      <c r="Y4986" s="195" t="str">
        <f t="shared" si="1522"/>
        <v/>
      </c>
      <c r="Z4986" s="196" t="str">
        <f t="shared" si="1523"/>
        <v/>
      </c>
      <c r="AA4986" s="22"/>
      <c r="AB4986" s="197" t="str">
        <f t="shared" si="1528"/>
        <v/>
      </c>
      <c r="AC4986" s="198" t="str">
        <f t="shared" si="1529"/>
        <v/>
      </c>
      <c r="AD4986" s="162"/>
      <c r="AE4986" s="199" t="str">
        <f t="shared" si="1530"/>
        <v/>
      </c>
      <c r="AF4986" s="199" t="str">
        <f>IF(AND(COUNTIFS($J$18:J4986,J4986)=1,AE4986=1),1,"")</f>
        <v/>
      </c>
      <c r="AG4986" s="199" t="str">
        <f>IF(C4986="","",IF(AND(COUNTIFS($J$18:J4986,J4986)=1,C4986&lt;&gt;""),1,""))</f>
        <v/>
      </c>
      <c r="AH4986" s="199" t="str">
        <f>IF(G4986="","",IF(AND(COUNTIFS($J$18:J4986,J4986)=1,G4986&lt;&gt;""),1,""))</f>
        <v/>
      </c>
      <c r="AI4986" s="200">
        <f t="shared" si="1531"/>
        <v>0</v>
      </c>
      <c r="AJ4986" s="200">
        <f t="shared" si="1532"/>
        <v>0</v>
      </c>
      <c r="AK4986" s="201" t="str">
        <f t="shared" si="1533"/>
        <v/>
      </c>
      <c r="AL4986" s="24"/>
      <c r="AM4986" s="24"/>
      <c r="AN4986" s="24"/>
      <c r="AO4986" s="24"/>
      <c r="AP4986" s="165" t="str">
        <f t="shared" si="1534"/>
        <v/>
      </c>
      <c r="AQ4986" s="203" t="str">
        <f t="shared" si="1535"/>
        <v/>
      </c>
      <c r="AR4986" s="206">
        <f t="shared" si="1536"/>
        <v>0</v>
      </c>
      <c r="AS4986" s="22" t="str">
        <f t="shared" si="1537"/>
        <v/>
      </c>
      <c r="AT4986" s="24" t="str">
        <f t="shared" si="1538"/>
        <v/>
      </c>
      <c r="AU4986" s="22" t="s">
        <v>3240</v>
      </c>
    </row>
    <row r="4987" spans="1:47">
      <c r="A4987" s="246" t="str">
        <f t="shared" si="1526"/>
        <v/>
      </c>
      <c r="B4987" s="23"/>
      <c r="C4987" s="23"/>
      <c r="D4987" s="202" t="str">
        <f t="shared" si="1527"/>
        <v/>
      </c>
      <c r="E4987" s="33" t="str">
        <f t="shared" si="1521"/>
        <v/>
      </c>
      <c r="F4987" s="23"/>
      <c r="G4987" s="23"/>
      <c r="H4987" s="29"/>
      <c r="I4987" s="204" t="str">
        <f t="shared" si="1524"/>
        <v/>
      </c>
      <c r="J4987" s="188"/>
      <c r="K4987" s="29"/>
      <c r="L4987" s="24"/>
      <c r="M4987" s="22"/>
      <c r="N4987" s="22"/>
      <c r="O4987" s="22"/>
      <c r="P4987" s="202" t="str">
        <f t="shared" si="1525"/>
        <v/>
      </c>
      <c r="Q4987" s="22"/>
      <c r="R4987" s="22"/>
      <c r="S4987" s="22"/>
      <c r="T4987" s="22"/>
      <c r="U4987" s="22"/>
      <c r="V4987" s="22"/>
      <c r="W4987" s="22"/>
      <c r="X4987" s="104"/>
      <c r="Y4987" s="195" t="str">
        <f t="shared" si="1522"/>
        <v/>
      </c>
      <c r="Z4987" s="196" t="str">
        <f t="shared" si="1523"/>
        <v/>
      </c>
      <c r="AA4987" s="22"/>
      <c r="AB4987" s="197" t="str">
        <f t="shared" si="1528"/>
        <v/>
      </c>
      <c r="AC4987" s="198" t="str">
        <f t="shared" si="1529"/>
        <v/>
      </c>
      <c r="AD4987" s="162"/>
      <c r="AE4987" s="199" t="str">
        <f t="shared" si="1530"/>
        <v/>
      </c>
      <c r="AF4987" s="199" t="str">
        <f>IF(AND(COUNTIFS($J$18:J4987,J4987)=1,AE4987=1),1,"")</f>
        <v/>
      </c>
      <c r="AG4987" s="199" t="str">
        <f>IF(C4987="","",IF(AND(COUNTIFS($J$18:J4987,J4987)=1,C4987&lt;&gt;""),1,""))</f>
        <v/>
      </c>
      <c r="AH4987" s="199" t="str">
        <f>IF(G4987="","",IF(AND(COUNTIFS($J$18:J4987,J4987)=1,G4987&lt;&gt;""),1,""))</f>
        <v/>
      </c>
      <c r="AI4987" s="200">
        <f t="shared" si="1531"/>
        <v>0</v>
      </c>
      <c r="AJ4987" s="200">
        <f t="shared" si="1532"/>
        <v>0</v>
      </c>
      <c r="AK4987" s="201" t="str">
        <f t="shared" si="1533"/>
        <v/>
      </c>
      <c r="AL4987" s="24"/>
      <c r="AM4987" s="24"/>
      <c r="AN4987" s="24"/>
      <c r="AO4987" s="24"/>
      <c r="AP4987" s="165" t="str">
        <f t="shared" si="1534"/>
        <v/>
      </c>
      <c r="AQ4987" s="203" t="str">
        <f t="shared" si="1535"/>
        <v/>
      </c>
      <c r="AR4987" s="206">
        <f t="shared" si="1536"/>
        <v>0</v>
      </c>
      <c r="AS4987" s="22" t="str">
        <f t="shared" si="1537"/>
        <v/>
      </c>
      <c r="AT4987" s="24" t="str">
        <f t="shared" si="1538"/>
        <v/>
      </c>
      <c r="AU4987" s="22" t="s">
        <v>3240</v>
      </c>
    </row>
    <row r="4988" spans="1:47">
      <c r="A4988" s="246" t="str">
        <f t="shared" si="1526"/>
        <v/>
      </c>
      <c r="B4988" s="23"/>
      <c r="C4988" s="23"/>
      <c r="D4988" s="202" t="str">
        <f t="shared" si="1527"/>
        <v/>
      </c>
      <c r="E4988" s="33" t="str">
        <f t="shared" si="1521"/>
        <v/>
      </c>
      <c r="F4988" s="23"/>
      <c r="G4988" s="23"/>
      <c r="H4988" s="29"/>
      <c r="I4988" s="204" t="str">
        <f t="shared" si="1524"/>
        <v/>
      </c>
      <c r="J4988" s="188"/>
      <c r="K4988" s="29"/>
      <c r="L4988" s="24"/>
      <c r="M4988" s="22"/>
      <c r="N4988" s="22"/>
      <c r="O4988" s="22"/>
      <c r="P4988" s="202" t="str">
        <f t="shared" si="1525"/>
        <v/>
      </c>
      <c r="Q4988" s="22"/>
      <c r="R4988" s="22"/>
      <c r="S4988" s="22"/>
      <c r="T4988" s="22"/>
      <c r="U4988" s="22"/>
      <c r="V4988" s="22"/>
      <c r="W4988" s="22"/>
      <c r="X4988" s="104"/>
      <c r="Y4988" s="195" t="str">
        <f t="shared" si="1522"/>
        <v/>
      </c>
      <c r="Z4988" s="196" t="str">
        <f t="shared" si="1523"/>
        <v/>
      </c>
      <c r="AA4988" s="22"/>
      <c r="AB4988" s="197" t="str">
        <f t="shared" si="1528"/>
        <v/>
      </c>
      <c r="AC4988" s="198" t="str">
        <f t="shared" si="1529"/>
        <v/>
      </c>
      <c r="AD4988" s="162"/>
      <c r="AE4988" s="199" t="str">
        <f t="shared" si="1530"/>
        <v/>
      </c>
      <c r="AF4988" s="199" t="str">
        <f>IF(AND(COUNTIFS($J$18:J4988,J4988)=1,AE4988=1),1,"")</f>
        <v/>
      </c>
      <c r="AG4988" s="199" t="str">
        <f>IF(C4988="","",IF(AND(COUNTIFS($J$18:J4988,J4988)=1,C4988&lt;&gt;""),1,""))</f>
        <v/>
      </c>
      <c r="AH4988" s="199" t="str">
        <f>IF(G4988="","",IF(AND(COUNTIFS($J$18:J4988,J4988)=1,G4988&lt;&gt;""),1,""))</f>
        <v/>
      </c>
      <c r="AI4988" s="200">
        <f t="shared" si="1531"/>
        <v>0</v>
      </c>
      <c r="AJ4988" s="200">
        <f t="shared" si="1532"/>
        <v>0</v>
      </c>
      <c r="AK4988" s="201" t="str">
        <f t="shared" si="1533"/>
        <v/>
      </c>
      <c r="AL4988" s="24"/>
      <c r="AM4988" s="24"/>
      <c r="AN4988" s="24"/>
      <c r="AO4988" s="24"/>
      <c r="AP4988" s="165" t="str">
        <f t="shared" si="1534"/>
        <v/>
      </c>
      <c r="AQ4988" s="203" t="str">
        <f t="shared" si="1535"/>
        <v/>
      </c>
      <c r="AR4988" s="206">
        <f t="shared" si="1536"/>
        <v>0</v>
      </c>
      <c r="AS4988" s="22" t="str">
        <f t="shared" si="1537"/>
        <v/>
      </c>
      <c r="AT4988" s="24" t="str">
        <f t="shared" si="1538"/>
        <v/>
      </c>
      <c r="AU4988" s="22" t="s">
        <v>3240</v>
      </c>
    </row>
    <row r="4989" spans="1:47">
      <c r="A4989" s="246" t="str">
        <f t="shared" si="1526"/>
        <v/>
      </c>
      <c r="B4989" s="23"/>
      <c r="C4989" s="23"/>
      <c r="D4989" s="202" t="str">
        <f t="shared" si="1527"/>
        <v/>
      </c>
      <c r="E4989" s="33" t="str">
        <f t="shared" si="1521"/>
        <v/>
      </c>
      <c r="F4989" s="23"/>
      <c r="G4989" s="23"/>
      <c r="H4989" s="29"/>
      <c r="I4989" s="204" t="str">
        <f t="shared" si="1524"/>
        <v/>
      </c>
      <c r="J4989" s="188"/>
      <c r="K4989" s="29"/>
      <c r="L4989" s="24"/>
      <c r="M4989" s="22"/>
      <c r="N4989" s="22"/>
      <c r="O4989" s="22"/>
      <c r="P4989" s="202" t="str">
        <f t="shared" si="1525"/>
        <v/>
      </c>
      <c r="Q4989" s="22"/>
      <c r="R4989" s="22"/>
      <c r="S4989" s="22"/>
      <c r="T4989" s="22"/>
      <c r="U4989" s="22"/>
      <c r="V4989" s="22"/>
      <c r="W4989" s="22"/>
      <c r="X4989" s="104"/>
      <c r="Y4989" s="195" t="str">
        <f t="shared" si="1522"/>
        <v/>
      </c>
      <c r="Z4989" s="196" t="str">
        <f t="shared" si="1523"/>
        <v/>
      </c>
      <c r="AA4989" s="22"/>
      <c r="AB4989" s="197" t="str">
        <f t="shared" si="1528"/>
        <v/>
      </c>
      <c r="AC4989" s="198" t="str">
        <f t="shared" si="1529"/>
        <v/>
      </c>
      <c r="AD4989" s="162"/>
      <c r="AE4989" s="199" t="str">
        <f t="shared" si="1530"/>
        <v/>
      </c>
      <c r="AF4989" s="199" t="str">
        <f>IF(AND(COUNTIFS($J$18:J4989,J4989)=1,AE4989=1),1,"")</f>
        <v/>
      </c>
      <c r="AG4989" s="199" t="str">
        <f>IF(C4989="","",IF(AND(COUNTIFS($J$18:J4989,J4989)=1,C4989&lt;&gt;""),1,""))</f>
        <v/>
      </c>
      <c r="AH4989" s="199" t="str">
        <f>IF(G4989="","",IF(AND(COUNTIFS($J$18:J4989,J4989)=1,G4989&lt;&gt;""),1,""))</f>
        <v/>
      </c>
      <c r="AI4989" s="200">
        <f t="shared" si="1531"/>
        <v>0</v>
      </c>
      <c r="AJ4989" s="200">
        <f t="shared" si="1532"/>
        <v>0</v>
      </c>
      <c r="AK4989" s="201" t="str">
        <f t="shared" si="1533"/>
        <v/>
      </c>
      <c r="AL4989" s="24"/>
      <c r="AM4989" s="24"/>
      <c r="AN4989" s="24"/>
      <c r="AO4989" s="24"/>
      <c r="AP4989" s="165" t="str">
        <f t="shared" si="1534"/>
        <v/>
      </c>
      <c r="AQ4989" s="203" t="str">
        <f t="shared" si="1535"/>
        <v/>
      </c>
      <c r="AR4989" s="206">
        <f t="shared" si="1536"/>
        <v>0</v>
      </c>
      <c r="AS4989" s="22" t="str">
        <f t="shared" si="1537"/>
        <v/>
      </c>
      <c r="AT4989" s="24" t="str">
        <f t="shared" si="1538"/>
        <v/>
      </c>
      <c r="AU4989" s="22" t="s">
        <v>3240</v>
      </c>
    </row>
    <row r="4990" spans="1:47">
      <c r="A4990" s="246" t="str">
        <f t="shared" si="1526"/>
        <v/>
      </c>
      <c r="B4990" s="23"/>
      <c r="C4990" s="23"/>
      <c r="D4990" s="202" t="str">
        <f t="shared" si="1527"/>
        <v/>
      </c>
      <c r="E4990" s="33" t="str">
        <f t="shared" si="1521"/>
        <v/>
      </c>
      <c r="F4990" s="23"/>
      <c r="G4990" s="23"/>
      <c r="H4990" s="29"/>
      <c r="I4990" s="204" t="str">
        <f t="shared" si="1524"/>
        <v/>
      </c>
      <c r="J4990" s="188"/>
      <c r="K4990" s="29"/>
      <c r="L4990" s="24"/>
      <c r="M4990" s="22"/>
      <c r="N4990" s="22"/>
      <c r="O4990" s="22"/>
      <c r="P4990" s="202" t="str">
        <f t="shared" si="1525"/>
        <v/>
      </c>
      <c r="Q4990" s="22"/>
      <c r="R4990" s="22"/>
      <c r="S4990" s="22"/>
      <c r="T4990" s="22"/>
      <c r="U4990" s="22"/>
      <c r="V4990" s="22"/>
      <c r="W4990" s="22"/>
      <c r="X4990" s="104"/>
      <c r="Y4990" s="195" t="str">
        <f t="shared" si="1522"/>
        <v/>
      </c>
      <c r="Z4990" s="196" t="str">
        <f t="shared" si="1523"/>
        <v/>
      </c>
      <c r="AA4990" s="22"/>
      <c r="AB4990" s="197" t="str">
        <f t="shared" si="1528"/>
        <v/>
      </c>
      <c r="AC4990" s="198" t="str">
        <f t="shared" si="1529"/>
        <v/>
      </c>
      <c r="AD4990" s="162"/>
      <c r="AE4990" s="199" t="str">
        <f t="shared" si="1530"/>
        <v/>
      </c>
      <c r="AF4990" s="199" t="str">
        <f>IF(AND(COUNTIFS($J$18:J4990,J4990)=1,AE4990=1),1,"")</f>
        <v/>
      </c>
      <c r="AG4990" s="199" t="str">
        <f>IF(C4990="","",IF(AND(COUNTIFS($J$18:J4990,J4990)=1,C4990&lt;&gt;""),1,""))</f>
        <v/>
      </c>
      <c r="AH4990" s="199" t="str">
        <f>IF(G4990="","",IF(AND(COUNTIFS($J$18:J4990,J4990)=1,G4990&lt;&gt;""),1,""))</f>
        <v/>
      </c>
      <c r="AI4990" s="200">
        <f t="shared" si="1531"/>
        <v>0</v>
      </c>
      <c r="AJ4990" s="200">
        <f t="shared" si="1532"/>
        <v>0</v>
      </c>
      <c r="AK4990" s="201" t="str">
        <f t="shared" si="1533"/>
        <v/>
      </c>
      <c r="AL4990" s="24"/>
      <c r="AM4990" s="24"/>
      <c r="AN4990" s="24"/>
      <c r="AO4990" s="24"/>
      <c r="AP4990" s="165" t="str">
        <f t="shared" si="1534"/>
        <v/>
      </c>
      <c r="AQ4990" s="203" t="str">
        <f t="shared" si="1535"/>
        <v/>
      </c>
      <c r="AR4990" s="206">
        <f t="shared" si="1536"/>
        <v>0</v>
      </c>
      <c r="AS4990" s="22" t="str">
        <f t="shared" si="1537"/>
        <v/>
      </c>
      <c r="AT4990" s="24" t="str">
        <f t="shared" si="1538"/>
        <v/>
      </c>
      <c r="AU4990" s="22" t="s">
        <v>3240</v>
      </c>
    </row>
    <row r="4991" spans="1:47">
      <c r="A4991" s="246" t="str">
        <f t="shared" si="1526"/>
        <v/>
      </c>
      <c r="B4991" s="23"/>
      <c r="C4991" s="23"/>
      <c r="D4991" s="202" t="str">
        <f t="shared" si="1527"/>
        <v/>
      </c>
      <c r="E4991" s="33" t="str">
        <f t="shared" si="1521"/>
        <v/>
      </c>
      <c r="F4991" s="23"/>
      <c r="G4991" s="23"/>
      <c r="H4991" s="29"/>
      <c r="I4991" s="204" t="str">
        <f t="shared" si="1524"/>
        <v/>
      </c>
      <c r="J4991" s="188"/>
      <c r="K4991" s="29"/>
      <c r="L4991" s="24"/>
      <c r="M4991" s="22"/>
      <c r="N4991" s="22"/>
      <c r="O4991" s="22"/>
      <c r="P4991" s="202" t="str">
        <f t="shared" si="1525"/>
        <v/>
      </c>
      <c r="Q4991" s="22"/>
      <c r="R4991" s="22"/>
      <c r="S4991" s="22"/>
      <c r="T4991" s="22"/>
      <c r="U4991" s="22"/>
      <c r="V4991" s="22"/>
      <c r="W4991" s="22"/>
      <c r="X4991" s="104"/>
      <c r="Y4991" s="195" t="str">
        <f t="shared" si="1522"/>
        <v/>
      </c>
      <c r="Z4991" s="196" t="str">
        <f t="shared" si="1523"/>
        <v/>
      </c>
      <c r="AA4991" s="22"/>
      <c r="AB4991" s="197" t="str">
        <f t="shared" si="1528"/>
        <v/>
      </c>
      <c r="AC4991" s="198" t="str">
        <f t="shared" si="1529"/>
        <v/>
      </c>
      <c r="AD4991" s="162"/>
      <c r="AE4991" s="199" t="str">
        <f t="shared" si="1530"/>
        <v/>
      </c>
      <c r="AF4991" s="199" t="str">
        <f>IF(AND(COUNTIFS($J$18:J4991,J4991)=1,AE4991=1),1,"")</f>
        <v/>
      </c>
      <c r="AG4991" s="199" t="str">
        <f>IF(C4991="","",IF(AND(COUNTIFS($J$18:J4991,J4991)=1,C4991&lt;&gt;""),1,""))</f>
        <v/>
      </c>
      <c r="AH4991" s="199" t="str">
        <f>IF(G4991="","",IF(AND(COUNTIFS($J$18:J4991,J4991)=1,G4991&lt;&gt;""),1,""))</f>
        <v/>
      </c>
      <c r="AI4991" s="200">
        <f t="shared" si="1531"/>
        <v>0</v>
      </c>
      <c r="AJ4991" s="200">
        <f t="shared" si="1532"/>
        <v>0</v>
      </c>
      <c r="AK4991" s="201" t="str">
        <f t="shared" si="1533"/>
        <v/>
      </c>
      <c r="AL4991" s="24"/>
      <c r="AM4991" s="24"/>
      <c r="AN4991" s="24"/>
      <c r="AO4991" s="24"/>
      <c r="AP4991" s="165" t="str">
        <f t="shared" si="1534"/>
        <v/>
      </c>
      <c r="AQ4991" s="203" t="str">
        <f t="shared" si="1535"/>
        <v/>
      </c>
      <c r="AR4991" s="206">
        <f t="shared" si="1536"/>
        <v>0</v>
      </c>
      <c r="AS4991" s="22" t="str">
        <f t="shared" si="1537"/>
        <v/>
      </c>
      <c r="AT4991" s="24" t="str">
        <f t="shared" si="1538"/>
        <v/>
      </c>
      <c r="AU4991" s="22" t="s">
        <v>3240</v>
      </c>
    </row>
    <row r="4992" spans="1:47">
      <c r="A4992" s="246" t="str">
        <f t="shared" si="1526"/>
        <v/>
      </c>
      <c r="B4992" s="23"/>
      <c r="C4992" s="23"/>
      <c r="D4992" s="202" t="str">
        <f t="shared" si="1527"/>
        <v/>
      </c>
      <c r="E4992" s="33" t="str">
        <f t="shared" si="1521"/>
        <v/>
      </c>
      <c r="F4992" s="23"/>
      <c r="G4992" s="23"/>
      <c r="H4992" s="29"/>
      <c r="I4992" s="204" t="str">
        <f t="shared" si="1524"/>
        <v/>
      </c>
      <c r="J4992" s="188"/>
      <c r="K4992" s="29"/>
      <c r="L4992" s="24"/>
      <c r="M4992" s="22"/>
      <c r="N4992" s="22"/>
      <c r="O4992" s="22"/>
      <c r="P4992" s="202" t="str">
        <f t="shared" si="1525"/>
        <v/>
      </c>
      <c r="Q4992" s="22"/>
      <c r="R4992" s="22"/>
      <c r="S4992" s="22"/>
      <c r="T4992" s="22"/>
      <c r="U4992" s="22"/>
      <c r="V4992" s="22"/>
      <c r="W4992" s="22"/>
      <c r="X4992" s="104"/>
      <c r="Y4992" s="195" t="str">
        <f t="shared" si="1522"/>
        <v/>
      </c>
      <c r="Z4992" s="196" t="str">
        <f t="shared" si="1523"/>
        <v/>
      </c>
      <c r="AA4992" s="22"/>
      <c r="AB4992" s="197" t="str">
        <f t="shared" si="1528"/>
        <v/>
      </c>
      <c r="AC4992" s="198" t="str">
        <f t="shared" si="1529"/>
        <v/>
      </c>
      <c r="AD4992" s="162"/>
      <c r="AE4992" s="199" t="str">
        <f t="shared" si="1530"/>
        <v/>
      </c>
      <c r="AF4992" s="199" t="str">
        <f>IF(AND(COUNTIFS($J$18:J4992,J4992)=1,AE4992=1),1,"")</f>
        <v/>
      </c>
      <c r="AG4992" s="199" t="str">
        <f>IF(C4992="","",IF(AND(COUNTIFS($J$18:J4992,J4992)=1,C4992&lt;&gt;""),1,""))</f>
        <v/>
      </c>
      <c r="AH4992" s="199" t="str">
        <f>IF(G4992="","",IF(AND(COUNTIFS($J$18:J4992,J4992)=1,G4992&lt;&gt;""),1,""))</f>
        <v/>
      </c>
      <c r="AI4992" s="200">
        <f t="shared" si="1531"/>
        <v>0</v>
      </c>
      <c r="AJ4992" s="200">
        <f t="shared" si="1532"/>
        <v>0</v>
      </c>
      <c r="AK4992" s="201" t="str">
        <f t="shared" si="1533"/>
        <v/>
      </c>
      <c r="AL4992" s="24"/>
      <c r="AM4992" s="24"/>
      <c r="AN4992" s="24"/>
      <c r="AO4992" s="24"/>
      <c r="AP4992" s="165" t="str">
        <f t="shared" si="1534"/>
        <v/>
      </c>
      <c r="AQ4992" s="203" t="str">
        <f t="shared" si="1535"/>
        <v/>
      </c>
      <c r="AR4992" s="206">
        <f t="shared" si="1536"/>
        <v>0</v>
      </c>
      <c r="AS4992" s="22" t="str">
        <f t="shared" si="1537"/>
        <v/>
      </c>
      <c r="AT4992" s="24" t="str">
        <f t="shared" si="1538"/>
        <v/>
      </c>
      <c r="AU4992" s="22" t="s">
        <v>3240</v>
      </c>
    </row>
    <row r="4993" spans="1:47">
      <c r="A4993" s="246" t="str">
        <f t="shared" si="1526"/>
        <v/>
      </c>
      <c r="B4993" s="23"/>
      <c r="C4993" s="23"/>
      <c r="D4993" s="202" t="str">
        <f t="shared" si="1527"/>
        <v/>
      </c>
      <c r="E4993" s="33" t="str">
        <f t="shared" si="1521"/>
        <v/>
      </c>
      <c r="F4993" s="23"/>
      <c r="G4993" s="23"/>
      <c r="H4993" s="29"/>
      <c r="I4993" s="204" t="str">
        <f t="shared" si="1524"/>
        <v/>
      </c>
      <c r="J4993" s="188"/>
      <c r="K4993" s="29"/>
      <c r="L4993" s="24"/>
      <c r="M4993" s="22"/>
      <c r="N4993" s="22"/>
      <c r="O4993" s="22"/>
      <c r="P4993" s="202" t="str">
        <f t="shared" si="1525"/>
        <v/>
      </c>
      <c r="Q4993" s="22"/>
      <c r="R4993" s="22"/>
      <c r="S4993" s="22"/>
      <c r="T4993" s="22"/>
      <c r="U4993" s="22"/>
      <c r="V4993" s="22"/>
      <c r="W4993" s="22"/>
      <c r="X4993" s="104"/>
      <c r="Y4993" s="195" t="str">
        <f t="shared" si="1522"/>
        <v/>
      </c>
      <c r="Z4993" s="196" t="str">
        <f t="shared" si="1523"/>
        <v/>
      </c>
      <c r="AA4993" s="22"/>
      <c r="AB4993" s="197" t="str">
        <f t="shared" si="1528"/>
        <v/>
      </c>
      <c r="AC4993" s="198" t="str">
        <f t="shared" si="1529"/>
        <v/>
      </c>
      <c r="AD4993" s="162"/>
      <c r="AE4993" s="199" t="str">
        <f t="shared" si="1530"/>
        <v/>
      </c>
      <c r="AF4993" s="199" t="str">
        <f>IF(AND(COUNTIFS($J$18:J4993,J4993)=1,AE4993=1),1,"")</f>
        <v/>
      </c>
      <c r="AG4993" s="199" t="str">
        <f>IF(C4993="","",IF(AND(COUNTIFS($J$18:J4993,J4993)=1,C4993&lt;&gt;""),1,""))</f>
        <v/>
      </c>
      <c r="AH4993" s="199" t="str">
        <f>IF(G4993="","",IF(AND(COUNTIFS($J$18:J4993,J4993)=1,G4993&lt;&gt;""),1,""))</f>
        <v/>
      </c>
      <c r="AI4993" s="200">
        <f t="shared" si="1531"/>
        <v>0</v>
      </c>
      <c r="AJ4993" s="200">
        <f t="shared" si="1532"/>
        <v>0</v>
      </c>
      <c r="AK4993" s="201" t="str">
        <f t="shared" si="1533"/>
        <v/>
      </c>
      <c r="AL4993" s="24"/>
      <c r="AM4993" s="24"/>
      <c r="AN4993" s="24"/>
      <c r="AO4993" s="24"/>
      <c r="AP4993" s="165" t="str">
        <f t="shared" si="1534"/>
        <v/>
      </c>
      <c r="AQ4993" s="203" t="str">
        <f t="shared" si="1535"/>
        <v/>
      </c>
      <c r="AR4993" s="206">
        <f t="shared" si="1536"/>
        <v>0</v>
      </c>
      <c r="AS4993" s="22" t="str">
        <f t="shared" si="1537"/>
        <v/>
      </c>
      <c r="AT4993" s="24" t="str">
        <f t="shared" si="1538"/>
        <v/>
      </c>
      <c r="AU4993" s="22" t="s">
        <v>3240</v>
      </c>
    </row>
    <row r="4994" spans="1:47">
      <c r="A4994" s="246" t="str">
        <f t="shared" si="1526"/>
        <v/>
      </c>
      <c r="B4994" s="23"/>
      <c r="C4994" s="23"/>
      <c r="D4994" s="202" t="str">
        <f t="shared" si="1527"/>
        <v/>
      </c>
      <c r="E4994" s="33" t="str">
        <f t="shared" si="1521"/>
        <v/>
      </c>
      <c r="F4994" s="23"/>
      <c r="G4994" s="23"/>
      <c r="H4994" s="29"/>
      <c r="I4994" s="204" t="str">
        <f t="shared" si="1524"/>
        <v/>
      </c>
      <c r="J4994" s="188"/>
      <c r="K4994" s="29"/>
      <c r="L4994" s="24"/>
      <c r="M4994" s="22"/>
      <c r="N4994" s="22"/>
      <c r="O4994" s="22"/>
      <c r="P4994" s="202" t="str">
        <f t="shared" si="1525"/>
        <v/>
      </c>
      <c r="Q4994" s="22"/>
      <c r="R4994" s="22"/>
      <c r="S4994" s="22"/>
      <c r="T4994" s="22"/>
      <c r="U4994" s="22"/>
      <c r="V4994" s="22"/>
      <c r="W4994" s="22"/>
      <c r="X4994" s="104"/>
      <c r="Y4994" s="195" t="str">
        <f t="shared" si="1522"/>
        <v/>
      </c>
      <c r="Z4994" s="196" t="str">
        <f t="shared" si="1523"/>
        <v/>
      </c>
      <c r="AA4994" s="22"/>
      <c r="AB4994" s="197" t="str">
        <f t="shared" si="1528"/>
        <v/>
      </c>
      <c r="AC4994" s="198" t="str">
        <f t="shared" si="1529"/>
        <v/>
      </c>
      <c r="AD4994" s="162"/>
      <c r="AE4994" s="199" t="str">
        <f t="shared" si="1530"/>
        <v/>
      </c>
      <c r="AF4994" s="199" t="str">
        <f>IF(AND(COUNTIFS($J$18:J4994,J4994)=1,AE4994=1),1,"")</f>
        <v/>
      </c>
      <c r="AG4994" s="199" t="str">
        <f>IF(C4994="","",IF(AND(COUNTIFS($J$18:J4994,J4994)=1,C4994&lt;&gt;""),1,""))</f>
        <v/>
      </c>
      <c r="AH4994" s="199" t="str">
        <f>IF(G4994="","",IF(AND(COUNTIFS($J$18:J4994,J4994)=1,G4994&lt;&gt;""),1,""))</f>
        <v/>
      </c>
      <c r="AI4994" s="200">
        <f t="shared" si="1531"/>
        <v>0</v>
      </c>
      <c r="AJ4994" s="200">
        <f t="shared" si="1532"/>
        <v>0</v>
      </c>
      <c r="AK4994" s="201" t="str">
        <f t="shared" si="1533"/>
        <v/>
      </c>
      <c r="AL4994" s="24"/>
      <c r="AM4994" s="24"/>
      <c r="AN4994" s="24"/>
      <c r="AO4994" s="24"/>
      <c r="AP4994" s="165" t="str">
        <f t="shared" si="1534"/>
        <v/>
      </c>
      <c r="AQ4994" s="203" t="str">
        <f t="shared" si="1535"/>
        <v/>
      </c>
      <c r="AR4994" s="206">
        <f t="shared" si="1536"/>
        <v>0</v>
      </c>
      <c r="AS4994" s="22" t="str">
        <f t="shared" si="1537"/>
        <v/>
      </c>
      <c r="AT4994" s="24" t="str">
        <f t="shared" si="1538"/>
        <v/>
      </c>
      <c r="AU4994" s="22" t="s">
        <v>3240</v>
      </c>
    </row>
    <row r="4995" spans="1:47">
      <c r="A4995" s="246" t="str">
        <f t="shared" si="1526"/>
        <v/>
      </c>
      <c r="B4995" s="23"/>
      <c r="C4995" s="23"/>
      <c r="D4995" s="202" t="str">
        <f t="shared" si="1527"/>
        <v/>
      </c>
      <c r="E4995" s="33" t="str">
        <f t="shared" si="1521"/>
        <v/>
      </c>
      <c r="F4995" s="23"/>
      <c r="G4995" s="23"/>
      <c r="H4995" s="29"/>
      <c r="I4995" s="204" t="str">
        <f t="shared" si="1524"/>
        <v/>
      </c>
      <c r="J4995" s="188"/>
      <c r="K4995" s="29"/>
      <c r="L4995" s="24"/>
      <c r="M4995" s="22"/>
      <c r="N4995" s="22"/>
      <c r="O4995" s="22"/>
      <c r="P4995" s="202" t="str">
        <f t="shared" si="1525"/>
        <v/>
      </c>
      <c r="Q4995" s="22"/>
      <c r="R4995" s="22"/>
      <c r="S4995" s="22"/>
      <c r="T4995" s="22"/>
      <c r="U4995" s="22"/>
      <c r="V4995" s="22"/>
      <c r="W4995" s="22"/>
      <c r="X4995" s="104"/>
      <c r="Y4995" s="195" t="str">
        <f t="shared" si="1522"/>
        <v/>
      </c>
      <c r="Z4995" s="196" t="str">
        <f t="shared" si="1523"/>
        <v/>
      </c>
      <c r="AA4995" s="22"/>
      <c r="AB4995" s="197" t="str">
        <f t="shared" si="1528"/>
        <v/>
      </c>
      <c r="AC4995" s="198" t="str">
        <f t="shared" si="1529"/>
        <v/>
      </c>
      <c r="AD4995" s="162"/>
      <c r="AE4995" s="199" t="str">
        <f t="shared" si="1530"/>
        <v/>
      </c>
      <c r="AF4995" s="199" t="str">
        <f>IF(AND(COUNTIFS($J$18:J4995,J4995)=1,AE4995=1),1,"")</f>
        <v/>
      </c>
      <c r="AG4995" s="199" t="str">
        <f>IF(C4995="","",IF(AND(COUNTIFS($J$18:J4995,J4995)=1,C4995&lt;&gt;""),1,""))</f>
        <v/>
      </c>
      <c r="AH4995" s="199" t="str">
        <f>IF(G4995="","",IF(AND(COUNTIFS($J$18:J4995,J4995)=1,G4995&lt;&gt;""),1,""))</f>
        <v/>
      </c>
      <c r="AI4995" s="200">
        <f t="shared" si="1531"/>
        <v>0</v>
      </c>
      <c r="AJ4995" s="200">
        <f t="shared" si="1532"/>
        <v>0</v>
      </c>
      <c r="AK4995" s="201" t="str">
        <f t="shared" si="1533"/>
        <v/>
      </c>
      <c r="AL4995" s="24"/>
      <c r="AM4995" s="24"/>
      <c r="AN4995" s="24"/>
      <c r="AO4995" s="24"/>
      <c r="AP4995" s="165" t="str">
        <f t="shared" si="1534"/>
        <v/>
      </c>
      <c r="AQ4995" s="203" t="str">
        <f t="shared" si="1535"/>
        <v/>
      </c>
      <c r="AR4995" s="206">
        <f t="shared" si="1536"/>
        <v>0</v>
      </c>
      <c r="AS4995" s="22" t="str">
        <f t="shared" si="1537"/>
        <v/>
      </c>
      <c r="AT4995" s="24" t="str">
        <f t="shared" si="1538"/>
        <v/>
      </c>
      <c r="AU4995" s="22" t="s">
        <v>3240</v>
      </c>
    </row>
    <row r="4996" spans="1:47">
      <c r="A4996" s="246" t="str">
        <f t="shared" si="1526"/>
        <v/>
      </c>
      <c r="B4996" s="23"/>
      <c r="C4996" s="23"/>
      <c r="D4996" s="202" t="str">
        <f t="shared" si="1527"/>
        <v/>
      </c>
      <c r="E4996" s="33" t="str">
        <f t="shared" si="1521"/>
        <v/>
      </c>
      <c r="F4996" s="23"/>
      <c r="G4996" s="23"/>
      <c r="H4996" s="29"/>
      <c r="I4996" s="204" t="str">
        <f t="shared" si="1524"/>
        <v/>
      </c>
      <c r="J4996" s="188"/>
      <c r="K4996" s="29"/>
      <c r="L4996" s="24"/>
      <c r="M4996" s="22"/>
      <c r="N4996" s="22"/>
      <c r="O4996" s="22"/>
      <c r="P4996" s="202" t="str">
        <f t="shared" si="1525"/>
        <v/>
      </c>
      <c r="Q4996" s="22"/>
      <c r="R4996" s="22"/>
      <c r="S4996" s="22"/>
      <c r="T4996" s="22"/>
      <c r="U4996" s="22"/>
      <c r="V4996" s="22"/>
      <c r="W4996" s="22"/>
      <c r="X4996" s="104"/>
      <c r="Y4996" s="195" t="str">
        <f t="shared" si="1522"/>
        <v/>
      </c>
      <c r="Z4996" s="196" t="str">
        <f t="shared" si="1523"/>
        <v/>
      </c>
      <c r="AA4996" s="22"/>
      <c r="AB4996" s="197" t="str">
        <f t="shared" si="1528"/>
        <v/>
      </c>
      <c r="AC4996" s="198" t="str">
        <f t="shared" si="1529"/>
        <v/>
      </c>
      <c r="AD4996" s="162"/>
      <c r="AE4996" s="199" t="str">
        <f t="shared" si="1530"/>
        <v/>
      </c>
      <c r="AF4996" s="199" t="str">
        <f>IF(AND(COUNTIFS($J$18:J4996,J4996)=1,AE4996=1),1,"")</f>
        <v/>
      </c>
      <c r="AG4996" s="199" t="str">
        <f>IF(C4996="","",IF(AND(COUNTIFS($J$18:J4996,J4996)=1,C4996&lt;&gt;""),1,""))</f>
        <v/>
      </c>
      <c r="AH4996" s="199" t="str">
        <f>IF(G4996="","",IF(AND(COUNTIFS($J$18:J4996,J4996)=1,G4996&lt;&gt;""),1,""))</f>
        <v/>
      </c>
      <c r="AI4996" s="200">
        <f t="shared" si="1531"/>
        <v>0</v>
      </c>
      <c r="AJ4996" s="200">
        <f t="shared" si="1532"/>
        <v>0</v>
      </c>
      <c r="AK4996" s="201" t="str">
        <f t="shared" si="1533"/>
        <v/>
      </c>
      <c r="AL4996" s="24"/>
      <c r="AM4996" s="24"/>
      <c r="AN4996" s="24"/>
      <c r="AO4996" s="24"/>
      <c r="AP4996" s="165" t="str">
        <f t="shared" si="1534"/>
        <v/>
      </c>
      <c r="AQ4996" s="203" t="str">
        <f t="shared" si="1535"/>
        <v/>
      </c>
      <c r="AR4996" s="206">
        <f t="shared" si="1536"/>
        <v>0</v>
      </c>
      <c r="AS4996" s="22" t="str">
        <f t="shared" si="1537"/>
        <v/>
      </c>
      <c r="AT4996" s="24" t="str">
        <f t="shared" si="1538"/>
        <v/>
      </c>
      <c r="AU4996" s="22" t="s">
        <v>3240</v>
      </c>
    </row>
    <row r="4997" spans="1:47">
      <c r="A4997" s="246" t="str">
        <f t="shared" si="1526"/>
        <v/>
      </c>
      <c r="B4997" s="23"/>
      <c r="C4997" s="23"/>
      <c r="D4997" s="202" t="str">
        <f t="shared" si="1527"/>
        <v/>
      </c>
      <c r="E4997" s="33" t="str">
        <f t="shared" si="1521"/>
        <v/>
      </c>
      <c r="F4997" s="23"/>
      <c r="G4997" s="23"/>
      <c r="H4997" s="29"/>
      <c r="I4997" s="204" t="str">
        <f t="shared" si="1524"/>
        <v/>
      </c>
      <c r="J4997" s="188"/>
      <c r="K4997" s="29"/>
      <c r="L4997" s="24"/>
      <c r="M4997" s="22"/>
      <c r="N4997" s="22"/>
      <c r="O4997" s="22"/>
      <c r="P4997" s="202" t="str">
        <f t="shared" si="1525"/>
        <v/>
      </c>
      <c r="Q4997" s="22"/>
      <c r="R4997" s="22"/>
      <c r="S4997" s="22"/>
      <c r="T4997" s="22"/>
      <c r="U4997" s="22"/>
      <c r="V4997" s="22"/>
      <c r="W4997" s="22"/>
      <c r="X4997" s="104"/>
      <c r="Y4997" s="195" t="str">
        <f t="shared" si="1522"/>
        <v/>
      </c>
      <c r="Z4997" s="196" t="str">
        <f t="shared" si="1523"/>
        <v/>
      </c>
      <c r="AA4997" s="22"/>
      <c r="AB4997" s="197" t="str">
        <f t="shared" si="1528"/>
        <v/>
      </c>
      <c r="AC4997" s="198" t="str">
        <f t="shared" si="1529"/>
        <v/>
      </c>
      <c r="AD4997" s="162"/>
      <c r="AE4997" s="199" t="str">
        <f t="shared" si="1530"/>
        <v/>
      </c>
      <c r="AF4997" s="199" t="str">
        <f>IF(AND(COUNTIFS($J$18:J4997,J4997)=1,AE4997=1),1,"")</f>
        <v/>
      </c>
      <c r="AG4997" s="199" t="str">
        <f>IF(C4997="","",IF(AND(COUNTIFS($J$18:J4997,J4997)=1,C4997&lt;&gt;""),1,""))</f>
        <v/>
      </c>
      <c r="AH4997" s="199" t="str">
        <f>IF(G4997="","",IF(AND(COUNTIFS($J$18:J4997,J4997)=1,G4997&lt;&gt;""),1,""))</f>
        <v/>
      </c>
      <c r="AI4997" s="200">
        <f t="shared" si="1531"/>
        <v>0</v>
      </c>
      <c r="AJ4997" s="200">
        <f t="shared" si="1532"/>
        <v>0</v>
      </c>
      <c r="AK4997" s="201" t="str">
        <f t="shared" si="1533"/>
        <v/>
      </c>
      <c r="AL4997" s="24"/>
      <c r="AM4997" s="24"/>
      <c r="AN4997" s="24"/>
      <c r="AO4997" s="24"/>
      <c r="AP4997" s="165" t="str">
        <f t="shared" si="1534"/>
        <v/>
      </c>
      <c r="AQ4997" s="203" t="str">
        <f t="shared" si="1535"/>
        <v/>
      </c>
      <c r="AR4997" s="206">
        <f t="shared" si="1536"/>
        <v>0</v>
      </c>
      <c r="AS4997" s="22" t="str">
        <f t="shared" si="1537"/>
        <v/>
      </c>
      <c r="AT4997" s="24" t="str">
        <f t="shared" si="1538"/>
        <v/>
      </c>
      <c r="AU4997" s="22" t="s">
        <v>3240</v>
      </c>
    </row>
    <row r="4998" spans="1:47">
      <c r="A4998" s="246" t="str">
        <f t="shared" si="1526"/>
        <v/>
      </c>
      <c r="B4998" s="23"/>
      <c r="C4998" s="23"/>
      <c r="D4998" s="202" t="str">
        <f t="shared" si="1527"/>
        <v/>
      </c>
      <c r="E4998" s="33" t="str">
        <f t="shared" si="1521"/>
        <v/>
      </c>
      <c r="F4998" s="23"/>
      <c r="G4998" s="23"/>
      <c r="H4998" s="29"/>
      <c r="I4998" s="204" t="str">
        <f t="shared" si="1524"/>
        <v/>
      </c>
      <c r="J4998" s="188"/>
      <c r="K4998" s="29"/>
      <c r="L4998" s="24"/>
      <c r="M4998" s="22"/>
      <c r="N4998" s="22"/>
      <c r="O4998" s="22"/>
      <c r="P4998" s="202" t="str">
        <f t="shared" si="1525"/>
        <v/>
      </c>
      <c r="Q4998" s="22"/>
      <c r="R4998" s="22"/>
      <c r="S4998" s="22"/>
      <c r="T4998" s="22"/>
      <c r="U4998" s="22"/>
      <c r="V4998" s="22"/>
      <c r="W4998" s="22"/>
      <c r="X4998" s="104"/>
      <c r="Y4998" s="195" t="str">
        <f t="shared" si="1522"/>
        <v/>
      </c>
      <c r="Z4998" s="196" t="str">
        <f t="shared" si="1523"/>
        <v/>
      </c>
      <c r="AA4998" s="22"/>
      <c r="AB4998" s="197" t="str">
        <f t="shared" si="1528"/>
        <v/>
      </c>
      <c r="AC4998" s="198" t="str">
        <f t="shared" si="1529"/>
        <v/>
      </c>
      <c r="AD4998" s="162"/>
      <c r="AE4998" s="199" t="str">
        <f t="shared" si="1530"/>
        <v/>
      </c>
      <c r="AF4998" s="199" t="str">
        <f>IF(AND(COUNTIFS($J$18:J4998,J4998)=1,AE4998=1),1,"")</f>
        <v/>
      </c>
      <c r="AG4998" s="199" t="str">
        <f>IF(C4998="","",IF(AND(COUNTIFS($J$18:J4998,J4998)=1,C4998&lt;&gt;""),1,""))</f>
        <v/>
      </c>
      <c r="AH4998" s="199" t="str">
        <f>IF(G4998="","",IF(AND(COUNTIFS($J$18:J4998,J4998)=1,G4998&lt;&gt;""),1,""))</f>
        <v/>
      </c>
      <c r="AI4998" s="200">
        <f t="shared" si="1531"/>
        <v>0</v>
      </c>
      <c r="AJ4998" s="200">
        <f t="shared" si="1532"/>
        <v>0</v>
      </c>
      <c r="AK4998" s="201" t="str">
        <f t="shared" si="1533"/>
        <v/>
      </c>
      <c r="AL4998" s="24"/>
      <c r="AM4998" s="24"/>
      <c r="AN4998" s="24"/>
      <c r="AO4998" s="24"/>
      <c r="AP4998" s="165" t="str">
        <f t="shared" si="1534"/>
        <v/>
      </c>
      <c r="AQ4998" s="203" t="str">
        <f t="shared" si="1535"/>
        <v/>
      </c>
      <c r="AR4998" s="206">
        <f t="shared" si="1536"/>
        <v>0</v>
      </c>
      <c r="AS4998" s="22" t="str">
        <f t="shared" si="1537"/>
        <v/>
      </c>
      <c r="AT4998" s="24" t="str">
        <f t="shared" si="1538"/>
        <v/>
      </c>
      <c r="AU4998" s="22" t="s">
        <v>3240</v>
      </c>
    </row>
    <row r="4999" spans="1:47">
      <c r="A4999" s="246" t="str">
        <f t="shared" si="1526"/>
        <v/>
      </c>
      <c r="B4999" s="23"/>
      <c r="C4999" s="23"/>
      <c r="D4999" s="202" t="str">
        <f t="shared" si="1527"/>
        <v/>
      </c>
      <c r="E4999" s="33" t="str">
        <f t="shared" si="1521"/>
        <v/>
      </c>
      <c r="F4999" s="23"/>
      <c r="G4999" s="23"/>
      <c r="H4999" s="29"/>
      <c r="I4999" s="204" t="str">
        <f t="shared" si="1524"/>
        <v/>
      </c>
      <c r="J4999" s="188"/>
      <c r="K4999" s="29"/>
      <c r="L4999" s="24"/>
      <c r="M4999" s="22"/>
      <c r="N4999" s="22"/>
      <c r="O4999" s="22"/>
      <c r="P4999" s="202" t="str">
        <f t="shared" si="1525"/>
        <v/>
      </c>
      <c r="Q4999" s="22"/>
      <c r="R4999" s="22"/>
      <c r="S4999" s="22"/>
      <c r="T4999" s="22"/>
      <c r="U4999" s="22"/>
      <c r="V4999" s="22"/>
      <c r="W4999" s="22"/>
      <c r="X4999" s="104"/>
      <c r="Y4999" s="195" t="str">
        <f t="shared" si="1522"/>
        <v/>
      </c>
      <c r="Z4999" s="196" t="str">
        <f t="shared" si="1523"/>
        <v/>
      </c>
      <c r="AA4999" s="22"/>
      <c r="AB4999" s="197" t="str">
        <f t="shared" si="1528"/>
        <v/>
      </c>
      <c r="AC4999" s="198" t="str">
        <f t="shared" si="1529"/>
        <v/>
      </c>
      <c r="AD4999" s="162"/>
      <c r="AE4999" s="199" t="str">
        <f t="shared" si="1530"/>
        <v/>
      </c>
      <c r="AF4999" s="199" t="str">
        <f>IF(AND(COUNTIFS($J$18:J4999,J4999)=1,AE4999=1),1,"")</f>
        <v/>
      </c>
      <c r="AG4999" s="199" t="str">
        <f>IF(C4999="","",IF(AND(COUNTIFS($J$18:J4999,J4999)=1,C4999&lt;&gt;""),1,""))</f>
        <v/>
      </c>
      <c r="AH4999" s="199" t="str">
        <f>IF(G4999="","",IF(AND(COUNTIFS($J$18:J4999,J4999)=1,G4999&lt;&gt;""),1,""))</f>
        <v/>
      </c>
      <c r="AI4999" s="200">
        <f t="shared" si="1531"/>
        <v>0</v>
      </c>
      <c r="AJ4999" s="200">
        <f t="shared" si="1532"/>
        <v>0</v>
      </c>
      <c r="AK4999" s="201" t="str">
        <f t="shared" si="1533"/>
        <v/>
      </c>
      <c r="AL4999" s="24"/>
      <c r="AM4999" s="24"/>
      <c r="AN4999" s="24"/>
      <c r="AO4999" s="24"/>
      <c r="AP4999" s="165" t="str">
        <f t="shared" si="1534"/>
        <v/>
      </c>
      <c r="AQ4999" s="203" t="str">
        <f t="shared" si="1535"/>
        <v/>
      </c>
      <c r="AR4999" s="206">
        <f t="shared" si="1536"/>
        <v>0</v>
      </c>
      <c r="AS4999" s="22" t="str">
        <f t="shared" si="1537"/>
        <v/>
      </c>
      <c r="AT4999" s="24" t="str">
        <f t="shared" si="1538"/>
        <v/>
      </c>
      <c r="AU4999" s="22" t="s">
        <v>3240</v>
      </c>
    </row>
    <row r="5000" spans="1:47">
      <c r="A5000" s="246" t="str">
        <f t="shared" si="1526"/>
        <v/>
      </c>
      <c r="B5000" s="23"/>
      <c r="C5000" s="23"/>
      <c r="D5000" s="202" t="str">
        <f t="shared" si="1527"/>
        <v/>
      </c>
      <c r="E5000" s="33" t="str">
        <f t="shared" si="1521"/>
        <v/>
      </c>
      <c r="F5000" s="23"/>
      <c r="G5000" s="23"/>
      <c r="H5000" s="29"/>
      <c r="I5000" s="204" t="str">
        <f t="shared" si="1524"/>
        <v/>
      </c>
      <c r="J5000" s="188"/>
      <c r="K5000" s="29"/>
      <c r="L5000" s="24"/>
      <c r="M5000" s="22"/>
      <c r="N5000" s="22"/>
      <c r="O5000" s="22"/>
      <c r="P5000" s="202" t="str">
        <f t="shared" si="1525"/>
        <v/>
      </c>
      <c r="Q5000" s="22"/>
      <c r="R5000" s="22"/>
      <c r="S5000" s="22"/>
      <c r="T5000" s="22"/>
      <c r="U5000" s="22"/>
      <c r="V5000" s="22"/>
      <c r="W5000" s="22"/>
      <c r="X5000" s="104"/>
      <c r="Y5000" s="195" t="str">
        <f t="shared" si="1522"/>
        <v/>
      </c>
      <c r="Z5000" s="196" t="str">
        <f t="shared" si="1523"/>
        <v/>
      </c>
      <c r="AA5000" s="22"/>
      <c r="AB5000" s="197" t="str">
        <f t="shared" si="1528"/>
        <v/>
      </c>
      <c r="AC5000" s="198" t="str">
        <f t="shared" si="1529"/>
        <v/>
      </c>
      <c r="AD5000" s="162"/>
      <c r="AE5000" s="199" t="str">
        <f t="shared" si="1530"/>
        <v/>
      </c>
      <c r="AF5000" s="199" t="str">
        <f>IF(AND(COUNTIFS($J$18:J5000,J5000)=1,AE5000=1),1,"")</f>
        <v/>
      </c>
      <c r="AG5000" s="199" t="str">
        <f>IF(C5000="","",IF(AND(COUNTIFS($J$18:J5000,J5000)=1,C5000&lt;&gt;""),1,""))</f>
        <v/>
      </c>
      <c r="AH5000" s="199" t="str">
        <f>IF(G5000="","",IF(AND(COUNTIFS($J$18:J5000,J5000)=1,G5000&lt;&gt;""),1,""))</f>
        <v/>
      </c>
      <c r="AI5000" s="200">
        <f t="shared" si="1531"/>
        <v>0</v>
      </c>
      <c r="AJ5000" s="200">
        <f t="shared" si="1532"/>
        <v>0</v>
      </c>
      <c r="AK5000" s="201" t="str">
        <f t="shared" si="1533"/>
        <v/>
      </c>
      <c r="AL5000" s="24"/>
      <c r="AM5000" s="24"/>
      <c r="AN5000" s="24"/>
      <c r="AO5000" s="24"/>
      <c r="AP5000" s="165" t="str">
        <f t="shared" si="1534"/>
        <v/>
      </c>
      <c r="AQ5000" s="203" t="str">
        <f t="shared" si="1535"/>
        <v/>
      </c>
      <c r="AR5000" s="206">
        <f t="shared" si="1536"/>
        <v>0</v>
      </c>
      <c r="AS5000" s="22" t="str">
        <f t="shared" si="1537"/>
        <v/>
      </c>
      <c r="AT5000" s="24" t="str">
        <f t="shared" si="1538"/>
        <v/>
      </c>
      <c r="AU5000" s="22" t="s">
        <v>3240</v>
      </c>
    </row>
    <row r="7020" spans="43:44">
      <c r="AQ7020" s="8"/>
      <c r="AR7020" s="207"/>
    </row>
    <row r="10531" spans="43:44">
      <c r="AQ10531" s="8"/>
      <c r="AR10531" s="207"/>
    </row>
    <row r="14042" spans="43:44">
      <c r="AQ14042" s="8"/>
      <c r="AR14042" s="207"/>
    </row>
    <row r="17553" spans="43:44">
      <c r="AQ17553" s="8"/>
      <c r="AR17553" s="207"/>
    </row>
    <row r="21064" spans="43:44">
      <c r="AQ21064" s="8"/>
      <c r="AR21064" s="207"/>
    </row>
    <row r="24575" spans="43:44">
      <c r="AQ24575" s="8"/>
      <c r="AR24575" s="207"/>
    </row>
    <row r="28086" spans="43:44">
      <c r="AQ28086" s="8"/>
      <c r="AR28086" s="207"/>
    </row>
    <row r="31597" spans="43:44">
      <c r="AQ31597" s="8"/>
      <c r="AR31597" s="207"/>
    </row>
    <row r="35108" spans="43:44">
      <c r="AQ35108" s="8"/>
      <c r="AR35108" s="207"/>
    </row>
    <row r="38619" spans="43:44">
      <c r="AQ38619" s="8"/>
      <c r="AR38619" s="207"/>
    </row>
    <row r="42130" spans="43:44">
      <c r="AQ42130" s="8"/>
      <c r="AR42130" s="207"/>
    </row>
    <row r="45641" spans="43:44">
      <c r="AQ45641" s="8"/>
      <c r="AR45641" s="207"/>
    </row>
    <row r="49152" spans="43:44">
      <c r="AQ49152" s="8"/>
      <c r="AR49152" s="207"/>
    </row>
    <row r="52663" spans="43:44">
      <c r="AQ52663" s="8"/>
      <c r="AR52663" s="207"/>
    </row>
    <row r="56174" spans="43:44">
      <c r="AQ56174" s="8"/>
      <c r="AR56174" s="207"/>
    </row>
    <row r="59685" spans="43:44">
      <c r="AQ59685" s="8"/>
      <c r="AR59685" s="207"/>
    </row>
    <row r="63196" spans="43:44">
      <c r="AQ63196" s="8"/>
      <c r="AR63196" s="207"/>
    </row>
    <row r="66707" spans="43:44">
      <c r="AQ66707" s="8"/>
      <c r="AR66707" s="207"/>
    </row>
    <row r="70218" spans="43:44">
      <c r="AQ70218" s="8"/>
      <c r="AR70218" s="207"/>
    </row>
    <row r="73729" spans="43:44">
      <c r="AQ73729" s="8"/>
      <c r="AR73729" s="207"/>
    </row>
    <row r="77240" spans="43:44">
      <c r="AQ77240" s="8"/>
      <c r="AR77240" s="207"/>
    </row>
    <row r="80751" spans="43:44">
      <c r="AQ80751" s="8"/>
      <c r="AR80751" s="207"/>
    </row>
    <row r="84262" spans="43:44">
      <c r="AQ84262" s="8"/>
      <c r="AR84262" s="207"/>
    </row>
    <row r="87773" spans="43:44">
      <c r="AQ87773" s="8"/>
      <c r="AR87773" s="207"/>
    </row>
    <row r="91284" spans="43:44">
      <c r="AQ91284" s="8"/>
      <c r="AR91284" s="207"/>
    </row>
    <row r="94795" spans="43:44">
      <c r="AQ94795" s="8"/>
      <c r="AR94795" s="207"/>
    </row>
    <row r="98306" spans="43:44">
      <c r="AQ98306" s="8"/>
      <c r="AR98306" s="207"/>
    </row>
    <row r="101817" spans="43:44">
      <c r="AQ101817" s="8"/>
      <c r="AR101817" s="207"/>
    </row>
    <row r="105328" spans="43:44">
      <c r="AQ105328" s="8"/>
      <c r="AR105328" s="207"/>
    </row>
    <row r="108839" spans="43:44">
      <c r="AQ108839" s="8"/>
      <c r="AR108839" s="207"/>
    </row>
    <row r="112350" spans="43:44">
      <c r="AQ112350" s="8"/>
      <c r="AR112350" s="207"/>
    </row>
    <row r="115861" spans="43:44">
      <c r="AQ115861" s="8"/>
      <c r="AR115861" s="207"/>
    </row>
    <row r="119372" spans="43:44">
      <c r="AQ119372" s="8"/>
      <c r="AR119372" s="207"/>
    </row>
    <row r="122883" spans="43:44">
      <c r="AQ122883" s="8"/>
      <c r="AR122883" s="207"/>
    </row>
    <row r="126394" spans="43:44">
      <c r="AQ126394" s="8"/>
      <c r="AR126394" s="207"/>
    </row>
    <row r="129905" spans="43:44">
      <c r="AQ129905" s="8"/>
      <c r="AR129905" s="207"/>
    </row>
    <row r="133416" spans="43:44">
      <c r="AQ133416" s="8"/>
      <c r="AR133416" s="207"/>
    </row>
    <row r="136927" spans="43:44">
      <c r="AQ136927" s="8"/>
      <c r="AR136927" s="207"/>
    </row>
    <row r="140438" spans="43:44">
      <c r="AQ140438" s="8"/>
      <c r="AR140438" s="207"/>
    </row>
    <row r="143949" spans="43:44">
      <c r="AQ143949" s="8"/>
      <c r="AR143949" s="207"/>
    </row>
    <row r="147460" spans="43:44">
      <c r="AQ147460" s="8"/>
      <c r="AR147460" s="207"/>
    </row>
    <row r="150971" spans="43:44">
      <c r="AQ150971" s="8"/>
      <c r="AR150971" s="207"/>
    </row>
    <row r="154482" spans="43:44">
      <c r="AQ154482" s="8"/>
      <c r="AR154482" s="207"/>
    </row>
    <row r="157993" spans="43:44">
      <c r="AQ157993" s="8"/>
      <c r="AR157993" s="207"/>
    </row>
    <row r="161504" spans="43:44">
      <c r="AQ161504" s="8"/>
      <c r="AR161504" s="207"/>
    </row>
    <row r="165015" spans="43:44">
      <c r="AQ165015" s="8"/>
      <c r="AR165015" s="207"/>
    </row>
    <row r="168526" spans="43:44">
      <c r="AQ168526" s="8"/>
      <c r="AR168526" s="207"/>
    </row>
    <row r="172037" spans="43:44">
      <c r="AQ172037" s="8"/>
      <c r="AR172037" s="207"/>
    </row>
    <row r="175548" spans="43:44">
      <c r="AQ175548" s="8"/>
      <c r="AR175548" s="207"/>
    </row>
    <row r="179059" spans="43:44">
      <c r="AQ179059" s="8"/>
      <c r="AR179059" s="207"/>
    </row>
    <row r="182570" spans="43:44">
      <c r="AQ182570" s="8"/>
      <c r="AR182570" s="207"/>
    </row>
    <row r="186081" spans="43:44">
      <c r="AQ186081" s="8"/>
      <c r="AR186081" s="207"/>
    </row>
    <row r="189592" spans="43:44">
      <c r="AQ189592" s="8"/>
      <c r="AR189592" s="207"/>
    </row>
    <row r="193103" spans="43:44">
      <c r="AQ193103" s="8"/>
      <c r="AR193103" s="207"/>
    </row>
    <row r="196614" spans="43:44">
      <c r="AQ196614" s="8"/>
      <c r="AR196614" s="207"/>
    </row>
    <row r="200125" spans="43:44">
      <c r="AQ200125" s="8"/>
      <c r="AR200125" s="207"/>
    </row>
    <row r="203636" spans="43:44">
      <c r="AQ203636" s="8"/>
      <c r="AR203636" s="207"/>
    </row>
    <row r="207147" spans="43:44">
      <c r="AQ207147" s="8"/>
      <c r="AR207147" s="207"/>
    </row>
    <row r="210658" spans="43:44">
      <c r="AQ210658" s="8"/>
      <c r="AR210658" s="207"/>
    </row>
    <row r="214169" spans="43:44">
      <c r="AQ214169" s="8"/>
      <c r="AR214169" s="207"/>
    </row>
    <row r="217680" spans="43:44">
      <c r="AQ217680" s="8"/>
      <c r="AR217680" s="207"/>
    </row>
    <row r="221191" spans="43:44">
      <c r="AQ221191" s="8"/>
      <c r="AR221191" s="207"/>
    </row>
    <row r="224702" spans="43:44">
      <c r="AQ224702" s="8"/>
      <c r="AR224702" s="207"/>
    </row>
    <row r="228213" spans="43:44">
      <c r="AQ228213" s="8"/>
      <c r="AR228213" s="207"/>
    </row>
    <row r="231724" spans="43:44">
      <c r="AQ231724" s="8"/>
      <c r="AR231724" s="207"/>
    </row>
    <row r="235235" spans="43:44">
      <c r="AQ235235" s="8"/>
      <c r="AR235235" s="207"/>
    </row>
    <row r="238746" spans="43:44">
      <c r="AQ238746" s="8"/>
      <c r="AR238746" s="207"/>
    </row>
    <row r="242257" spans="43:44">
      <c r="AQ242257" s="8"/>
      <c r="AR242257" s="207"/>
    </row>
    <row r="245768" spans="43:44">
      <c r="AQ245768" s="8"/>
      <c r="AR245768" s="207"/>
    </row>
    <row r="249279" spans="43:44">
      <c r="AQ249279" s="8"/>
      <c r="AR249279" s="207"/>
    </row>
    <row r="252790" spans="43:44">
      <c r="AQ252790" s="8"/>
      <c r="AR252790" s="207"/>
    </row>
    <row r="256301" spans="43:44">
      <c r="AQ256301" s="8"/>
      <c r="AR256301" s="207"/>
    </row>
    <row r="259812" spans="43:44">
      <c r="AQ259812" s="8"/>
      <c r="AR259812" s="207"/>
    </row>
    <row r="263323" spans="43:44">
      <c r="AQ263323" s="8"/>
      <c r="AR263323" s="207"/>
    </row>
    <row r="266834" spans="43:44">
      <c r="AQ266834" s="8"/>
      <c r="AR266834" s="207"/>
    </row>
    <row r="270345" spans="43:44">
      <c r="AQ270345" s="8"/>
      <c r="AR270345" s="207"/>
    </row>
    <row r="273856" spans="43:44">
      <c r="AQ273856" s="8"/>
      <c r="AR273856" s="207"/>
    </row>
    <row r="277367" spans="43:44">
      <c r="AQ277367" s="8"/>
      <c r="AR277367" s="207"/>
    </row>
    <row r="280878" spans="43:44">
      <c r="AQ280878" s="8"/>
      <c r="AR280878" s="207"/>
    </row>
    <row r="284389" spans="43:44">
      <c r="AQ284389" s="8"/>
      <c r="AR284389" s="207"/>
    </row>
    <row r="287900" spans="43:44">
      <c r="AQ287900" s="8"/>
      <c r="AR287900" s="207"/>
    </row>
    <row r="291411" spans="43:44">
      <c r="AQ291411" s="8"/>
      <c r="AR291411" s="207"/>
    </row>
    <row r="294922" spans="43:44">
      <c r="AQ294922" s="8"/>
      <c r="AR294922" s="207"/>
    </row>
    <row r="298433" spans="43:44">
      <c r="AQ298433" s="8"/>
      <c r="AR298433" s="207"/>
    </row>
    <row r="301944" spans="43:44">
      <c r="AQ301944" s="8"/>
      <c r="AR301944" s="207"/>
    </row>
    <row r="305455" spans="43:44">
      <c r="AQ305455" s="8"/>
      <c r="AR305455" s="207"/>
    </row>
    <row r="308966" spans="43:44">
      <c r="AQ308966" s="8"/>
      <c r="AR308966" s="207"/>
    </row>
    <row r="312477" spans="43:44">
      <c r="AQ312477" s="8"/>
      <c r="AR312477" s="207"/>
    </row>
    <row r="315988" spans="43:44">
      <c r="AQ315988" s="8"/>
      <c r="AR315988" s="207"/>
    </row>
    <row r="319499" spans="43:44">
      <c r="AQ319499" s="8"/>
      <c r="AR319499" s="207"/>
    </row>
    <row r="323010" spans="43:44">
      <c r="AQ323010" s="8"/>
      <c r="AR323010" s="207"/>
    </row>
    <row r="326521" spans="43:44">
      <c r="AQ326521" s="8"/>
      <c r="AR326521" s="207"/>
    </row>
    <row r="330032" spans="43:44">
      <c r="AQ330032" s="8"/>
      <c r="AR330032" s="207"/>
    </row>
    <row r="333543" spans="43:44">
      <c r="AQ333543" s="8"/>
      <c r="AR333543" s="207"/>
    </row>
    <row r="337054" spans="43:44">
      <c r="AQ337054" s="8"/>
      <c r="AR337054" s="207"/>
    </row>
    <row r="340565" spans="43:44">
      <c r="AQ340565" s="8"/>
      <c r="AR340565" s="207"/>
    </row>
    <row r="344076" spans="43:44">
      <c r="AQ344076" s="8"/>
      <c r="AR344076" s="207"/>
    </row>
    <row r="347587" spans="43:44">
      <c r="AQ347587" s="8"/>
      <c r="AR347587" s="207"/>
    </row>
    <row r="351098" spans="43:44">
      <c r="AQ351098" s="8"/>
      <c r="AR351098" s="207"/>
    </row>
    <row r="354609" spans="43:44">
      <c r="AQ354609" s="8"/>
      <c r="AR354609" s="207"/>
    </row>
    <row r="358120" spans="43:44">
      <c r="AQ358120" s="8"/>
      <c r="AR358120" s="207"/>
    </row>
    <row r="361631" spans="43:44">
      <c r="AQ361631" s="8"/>
      <c r="AR361631" s="207"/>
    </row>
    <row r="365142" spans="43:44">
      <c r="AQ365142" s="8"/>
      <c r="AR365142" s="207"/>
    </row>
    <row r="368653" spans="43:44">
      <c r="AQ368653" s="8"/>
      <c r="AR368653" s="207"/>
    </row>
    <row r="372164" spans="43:44">
      <c r="AQ372164" s="8"/>
      <c r="AR372164" s="207"/>
    </row>
    <row r="375675" spans="43:44">
      <c r="AQ375675" s="8"/>
      <c r="AR375675" s="207"/>
    </row>
    <row r="379186" spans="43:44">
      <c r="AQ379186" s="8"/>
      <c r="AR379186" s="207"/>
    </row>
    <row r="382697" spans="43:44">
      <c r="AQ382697" s="8"/>
      <c r="AR382697" s="207"/>
    </row>
    <row r="386208" spans="43:44">
      <c r="AQ386208" s="8"/>
      <c r="AR386208" s="207"/>
    </row>
    <row r="389719" spans="43:44">
      <c r="AQ389719" s="8"/>
      <c r="AR389719" s="207"/>
    </row>
    <row r="393230" spans="43:44">
      <c r="AQ393230" s="8"/>
      <c r="AR393230" s="207"/>
    </row>
    <row r="396741" spans="43:44">
      <c r="AQ396741" s="8"/>
      <c r="AR396741" s="207"/>
    </row>
    <row r="400252" spans="43:44">
      <c r="AQ400252" s="8"/>
      <c r="AR400252" s="207"/>
    </row>
    <row r="403763" spans="43:44">
      <c r="AQ403763" s="8"/>
      <c r="AR403763" s="207"/>
    </row>
    <row r="407274" spans="43:44">
      <c r="AQ407274" s="8"/>
      <c r="AR407274" s="207"/>
    </row>
    <row r="410785" spans="43:44">
      <c r="AQ410785" s="8"/>
      <c r="AR410785" s="207"/>
    </row>
    <row r="414296" spans="43:44">
      <c r="AQ414296" s="8"/>
      <c r="AR414296" s="207"/>
    </row>
    <row r="417807" spans="43:44">
      <c r="AQ417807" s="8"/>
      <c r="AR417807" s="207"/>
    </row>
    <row r="421318" spans="43:44">
      <c r="AQ421318" s="8"/>
      <c r="AR421318" s="207"/>
    </row>
    <row r="424829" spans="43:44">
      <c r="AQ424829" s="8"/>
      <c r="AR424829" s="207"/>
    </row>
    <row r="428340" spans="43:44">
      <c r="AQ428340" s="8"/>
      <c r="AR428340" s="207"/>
    </row>
    <row r="431851" spans="43:44">
      <c r="AQ431851" s="8"/>
      <c r="AR431851" s="207"/>
    </row>
    <row r="435362" spans="43:44">
      <c r="AQ435362" s="8"/>
      <c r="AR435362" s="207"/>
    </row>
    <row r="438873" spans="43:44">
      <c r="AQ438873" s="8"/>
      <c r="AR438873" s="207"/>
    </row>
    <row r="442384" spans="43:44">
      <c r="AQ442384" s="8"/>
      <c r="AR442384" s="207"/>
    </row>
    <row r="445895" spans="43:44">
      <c r="AQ445895" s="8"/>
      <c r="AR445895" s="207"/>
    </row>
    <row r="449406" spans="43:44">
      <c r="AQ449406" s="8"/>
      <c r="AR449406" s="207"/>
    </row>
    <row r="452917" spans="43:44">
      <c r="AQ452917" s="8"/>
      <c r="AR452917" s="207"/>
    </row>
    <row r="456428" spans="43:44">
      <c r="AQ456428" s="8"/>
      <c r="AR456428" s="207"/>
    </row>
    <row r="459939" spans="43:44">
      <c r="AQ459939" s="8"/>
      <c r="AR459939" s="207"/>
    </row>
    <row r="463450" spans="43:44">
      <c r="AQ463450" s="8"/>
      <c r="AR463450" s="207"/>
    </row>
    <row r="466961" spans="43:44">
      <c r="AQ466961" s="8"/>
      <c r="AR466961" s="207"/>
    </row>
    <row r="470472" spans="43:44">
      <c r="AQ470472" s="8"/>
      <c r="AR470472" s="207"/>
    </row>
    <row r="473983" spans="43:44">
      <c r="AQ473983" s="8"/>
      <c r="AR473983" s="207"/>
    </row>
    <row r="477494" spans="43:44">
      <c r="AQ477494" s="8"/>
      <c r="AR477494" s="207"/>
    </row>
    <row r="481005" spans="43:44">
      <c r="AQ481005" s="8"/>
      <c r="AR481005" s="207"/>
    </row>
    <row r="484516" spans="43:44">
      <c r="AQ484516" s="8"/>
      <c r="AR484516" s="207"/>
    </row>
    <row r="488027" spans="43:44">
      <c r="AQ488027" s="8"/>
      <c r="AR488027" s="207"/>
    </row>
    <row r="491538" spans="43:44">
      <c r="AQ491538" s="8"/>
      <c r="AR491538" s="207"/>
    </row>
    <row r="495049" spans="43:44">
      <c r="AQ495049" s="8"/>
      <c r="AR495049" s="207"/>
    </row>
    <row r="498560" spans="43:44">
      <c r="AQ498560" s="8"/>
      <c r="AR498560" s="207"/>
    </row>
    <row r="502071" spans="43:44">
      <c r="AQ502071" s="8"/>
      <c r="AR502071" s="207"/>
    </row>
    <row r="505582" spans="43:44">
      <c r="AQ505582" s="8"/>
      <c r="AR505582" s="207"/>
    </row>
    <row r="509093" spans="43:44">
      <c r="AQ509093" s="8"/>
      <c r="AR509093" s="207"/>
    </row>
    <row r="512604" spans="43:44">
      <c r="AQ512604" s="8"/>
      <c r="AR512604" s="207"/>
    </row>
    <row r="516115" spans="43:44">
      <c r="AQ516115" s="8"/>
      <c r="AR516115" s="207"/>
    </row>
    <row r="519626" spans="43:44">
      <c r="AQ519626" s="8"/>
      <c r="AR519626" s="207"/>
    </row>
    <row r="523137" spans="43:44">
      <c r="AQ523137" s="8"/>
      <c r="AR523137" s="207"/>
    </row>
    <row r="526648" spans="43:44">
      <c r="AQ526648" s="8"/>
      <c r="AR526648" s="207"/>
    </row>
    <row r="530159" spans="43:44">
      <c r="AQ530159" s="8"/>
      <c r="AR530159" s="207"/>
    </row>
    <row r="533670" spans="43:44">
      <c r="AQ533670" s="8"/>
      <c r="AR533670" s="207"/>
    </row>
    <row r="537181" spans="43:44">
      <c r="AQ537181" s="8"/>
      <c r="AR537181" s="207"/>
    </row>
    <row r="540692" spans="43:44">
      <c r="AQ540692" s="8"/>
      <c r="AR540692" s="207"/>
    </row>
    <row r="544203" spans="43:44">
      <c r="AQ544203" s="8"/>
      <c r="AR544203" s="207"/>
    </row>
    <row r="547714" spans="43:44">
      <c r="AQ547714" s="8"/>
      <c r="AR547714" s="207"/>
    </row>
    <row r="551225" spans="43:44">
      <c r="AQ551225" s="8"/>
      <c r="AR551225" s="207"/>
    </row>
    <row r="554736" spans="43:44">
      <c r="AQ554736" s="8"/>
      <c r="AR554736" s="207"/>
    </row>
    <row r="558247" spans="43:44">
      <c r="AQ558247" s="8"/>
      <c r="AR558247" s="207"/>
    </row>
    <row r="561758" spans="43:44">
      <c r="AQ561758" s="8"/>
      <c r="AR561758" s="207"/>
    </row>
    <row r="565269" spans="43:44">
      <c r="AQ565269" s="8"/>
      <c r="AR565269" s="207"/>
    </row>
    <row r="568780" spans="43:44">
      <c r="AQ568780" s="8"/>
      <c r="AR568780" s="207"/>
    </row>
    <row r="572291" spans="43:44">
      <c r="AQ572291" s="8"/>
      <c r="AR572291" s="207"/>
    </row>
    <row r="575802" spans="43:44">
      <c r="AQ575802" s="8"/>
      <c r="AR575802" s="207"/>
    </row>
    <row r="579313" spans="43:44">
      <c r="AQ579313" s="8"/>
      <c r="AR579313" s="207"/>
    </row>
    <row r="582824" spans="43:44">
      <c r="AQ582824" s="8"/>
      <c r="AR582824" s="207"/>
    </row>
    <row r="586335" spans="43:44">
      <c r="AQ586335" s="8"/>
      <c r="AR586335" s="207"/>
    </row>
    <row r="589846" spans="43:44">
      <c r="AQ589846" s="8"/>
      <c r="AR589846" s="207"/>
    </row>
    <row r="593357" spans="43:44">
      <c r="AQ593357" s="8"/>
      <c r="AR593357" s="207"/>
    </row>
    <row r="596868" spans="43:44">
      <c r="AQ596868" s="8"/>
      <c r="AR596868" s="207"/>
    </row>
    <row r="600379" spans="43:44">
      <c r="AQ600379" s="8"/>
      <c r="AR600379" s="207"/>
    </row>
    <row r="603890" spans="43:44">
      <c r="AQ603890" s="8"/>
      <c r="AR603890" s="207"/>
    </row>
    <row r="607401" spans="43:44">
      <c r="AQ607401" s="8"/>
      <c r="AR607401" s="207"/>
    </row>
    <row r="610912" spans="43:44">
      <c r="AQ610912" s="8"/>
      <c r="AR610912" s="207"/>
    </row>
    <row r="614423" spans="43:44">
      <c r="AQ614423" s="8"/>
      <c r="AR614423" s="207"/>
    </row>
    <row r="617934" spans="43:44">
      <c r="AQ617934" s="8"/>
      <c r="AR617934" s="207"/>
    </row>
    <row r="621445" spans="43:44">
      <c r="AQ621445" s="8"/>
      <c r="AR621445" s="207"/>
    </row>
    <row r="624956" spans="43:44">
      <c r="AQ624956" s="8"/>
      <c r="AR624956" s="207"/>
    </row>
    <row r="628467" spans="43:44">
      <c r="AQ628467" s="8"/>
      <c r="AR628467" s="207"/>
    </row>
    <row r="631978" spans="43:44">
      <c r="AQ631978" s="8"/>
      <c r="AR631978" s="207"/>
    </row>
    <row r="635489" spans="43:44">
      <c r="AQ635489" s="8"/>
      <c r="AR635489" s="207"/>
    </row>
    <row r="639000" spans="43:44">
      <c r="AQ639000" s="8"/>
      <c r="AR639000" s="207"/>
    </row>
    <row r="642511" spans="43:44">
      <c r="AQ642511" s="8"/>
      <c r="AR642511" s="207"/>
    </row>
    <row r="646022" spans="43:44">
      <c r="AQ646022" s="8"/>
      <c r="AR646022" s="207"/>
    </row>
    <row r="649533" spans="43:44">
      <c r="AQ649533" s="8"/>
      <c r="AR649533" s="207"/>
    </row>
    <row r="653044" spans="43:44">
      <c r="AQ653044" s="8"/>
      <c r="AR653044" s="207"/>
    </row>
    <row r="656555" spans="43:44">
      <c r="AQ656555" s="8"/>
      <c r="AR656555" s="207"/>
    </row>
    <row r="660066" spans="43:44">
      <c r="AQ660066" s="8"/>
      <c r="AR660066" s="207"/>
    </row>
    <row r="663577" spans="43:44">
      <c r="AQ663577" s="8"/>
      <c r="AR663577" s="207"/>
    </row>
    <row r="667088" spans="43:44">
      <c r="AQ667088" s="8"/>
      <c r="AR667088" s="207"/>
    </row>
    <row r="670599" spans="43:44">
      <c r="AQ670599" s="8"/>
      <c r="AR670599" s="207"/>
    </row>
    <row r="674110" spans="43:44">
      <c r="AQ674110" s="8"/>
      <c r="AR674110" s="207"/>
    </row>
    <row r="677621" spans="43:44">
      <c r="AQ677621" s="8"/>
      <c r="AR677621" s="207"/>
    </row>
    <row r="681132" spans="43:44">
      <c r="AQ681132" s="8"/>
      <c r="AR681132" s="207"/>
    </row>
    <row r="684643" spans="43:44">
      <c r="AQ684643" s="8"/>
      <c r="AR684643" s="207"/>
    </row>
    <row r="688154" spans="43:44">
      <c r="AQ688154" s="8"/>
      <c r="AR688154" s="207"/>
    </row>
    <row r="691665" spans="43:44">
      <c r="AQ691665" s="8"/>
      <c r="AR691665" s="207"/>
    </row>
    <row r="695176" spans="43:44">
      <c r="AQ695176" s="8"/>
      <c r="AR695176" s="207"/>
    </row>
    <row r="698687" spans="43:44">
      <c r="AQ698687" s="8"/>
      <c r="AR698687" s="207"/>
    </row>
    <row r="702198" spans="43:44">
      <c r="AQ702198" s="8"/>
      <c r="AR702198" s="207"/>
    </row>
    <row r="705709" spans="43:44">
      <c r="AQ705709" s="8"/>
      <c r="AR705709" s="207"/>
    </row>
    <row r="709220" spans="43:44">
      <c r="AQ709220" s="8"/>
      <c r="AR709220" s="207"/>
    </row>
    <row r="712731" spans="43:44">
      <c r="AQ712731" s="8"/>
      <c r="AR712731" s="207"/>
    </row>
    <row r="716242" spans="43:44">
      <c r="AQ716242" s="8"/>
      <c r="AR716242" s="207"/>
    </row>
    <row r="719753" spans="43:44">
      <c r="AQ719753" s="8"/>
      <c r="AR719753" s="207"/>
    </row>
    <row r="723264" spans="43:44">
      <c r="AQ723264" s="8"/>
      <c r="AR723264" s="207"/>
    </row>
    <row r="726775" spans="43:44">
      <c r="AQ726775" s="8"/>
      <c r="AR726775" s="207"/>
    </row>
    <row r="730286" spans="43:44">
      <c r="AQ730286" s="8"/>
      <c r="AR730286" s="207"/>
    </row>
    <row r="733797" spans="43:44">
      <c r="AQ733797" s="8"/>
      <c r="AR733797" s="207"/>
    </row>
    <row r="737308" spans="43:44">
      <c r="AQ737308" s="8"/>
      <c r="AR737308" s="207"/>
    </row>
    <row r="740819" spans="43:44">
      <c r="AQ740819" s="8"/>
      <c r="AR740819" s="207"/>
    </row>
    <row r="744330" spans="43:44">
      <c r="AQ744330" s="8"/>
      <c r="AR744330" s="207"/>
    </row>
    <row r="747841" spans="43:44">
      <c r="AQ747841" s="8"/>
      <c r="AR747841" s="207"/>
    </row>
    <row r="751352" spans="43:44">
      <c r="AQ751352" s="8"/>
      <c r="AR751352" s="207"/>
    </row>
    <row r="754863" spans="43:44">
      <c r="AQ754863" s="8"/>
      <c r="AR754863" s="207"/>
    </row>
    <row r="758374" spans="43:44">
      <c r="AQ758374" s="8"/>
      <c r="AR758374" s="207"/>
    </row>
    <row r="761885" spans="43:44">
      <c r="AQ761885" s="8"/>
      <c r="AR761885" s="207"/>
    </row>
    <row r="765396" spans="43:44">
      <c r="AQ765396" s="8"/>
      <c r="AR765396" s="207"/>
    </row>
    <row r="768907" spans="43:44">
      <c r="AQ768907" s="8"/>
      <c r="AR768907" s="207"/>
    </row>
    <row r="772418" spans="43:44">
      <c r="AQ772418" s="8"/>
      <c r="AR772418" s="207"/>
    </row>
    <row r="775929" spans="43:44">
      <c r="AQ775929" s="8"/>
      <c r="AR775929" s="207"/>
    </row>
    <row r="779440" spans="43:44">
      <c r="AQ779440" s="8"/>
      <c r="AR779440" s="207"/>
    </row>
    <row r="782951" spans="43:44">
      <c r="AQ782951" s="8"/>
      <c r="AR782951" s="207"/>
    </row>
    <row r="786462" spans="43:44">
      <c r="AQ786462" s="8"/>
      <c r="AR786462" s="207"/>
    </row>
    <row r="789973" spans="43:44">
      <c r="AQ789973" s="8"/>
      <c r="AR789973" s="207"/>
    </row>
    <row r="793484" spans="43:44">
      <c r="AQ793484" s="8"/>
      <c r="AR793484" s="207"/>
    </row>
    <row r="796995" spans="43:44">
      <c r="AQ796995" s="8"/>
      <c r="AR796995" s="207"/>
    </row>
    <row r="800506" spans="43:44">
      <c r="AQ800506" s="8"/>
      <c r="AR800506" s="207"/>
    </row>
    <row r="804017" spans="43:44">
      <c r="AQ804017" s="8"/>
      <c r="AR804017" s="207"/>
    </row>
    <row r="807528" spans="43:44">
      <c r="AQ807528" s="8"/>
      <c r="AR807528" s="207"/>
    </row>
    <row r="811039" spans="43:44">
      <c r="AQ811039" s="8"/>
      <c r="AR811039" s="207"/>
    </row>
    <row r="814550" spans="43:44">
      <c r="AQ814550" s="8"/>
      <c r="AR814550" s="207"/>
    </row>
    <row r="818061" spans="43:44">
      <c r="AQ818061" s="8"/>
      <c r="AR818061" s="207"/>
    </row>
    <row r="821572" spans="43:44">
      <c r="AQ821572" s="8"/>
      <c r="AR821572" s="207"/>
    </row>
    <row r="825083" spans="43:44">
      <c r="AQ825083" s="8"/>
      <c r="AR825083" s="207"/>
    </row>
    <row r="828594" spans="43:44">
      <c r="AQ828594" s="8"/>
      <c r="AR828594" s="207"/>
    </row>
    <row r="832105" spans="43:44">
      <c r="AQ832105" s="8"/>
      <c r="AR832105" s="207"/>
    </row>
    <row r="835616" spans="43:44">
      <c r="AQ835616" s="8"/>
      <c r="AR835616" s="207"/>
    </row>
    <row r="839127" spans="43:44">
      <c r="AQ839127" s="8"/>
      <c r="AR839127" s="207"/>
    </row>
    <row r="842638" spans="43:44">
      <c r="AQ842638" s="8"/>
      <c r="AR842638" s="207"/>
    </row>
    <row r="846149" spans="43:44">
      <c r="AQ846149" s="8"/>
      <c r="AR846149" s="207"/>
    </row>
    <row r="849660" spans="43:44">
      <c r="AQ849660" s="8"/>
      <c r="AR849660" s="207"/>
    </row>
    <row r="853171" spans="43:44">
      <c r="AQ853171" s="8"/>
      <c r="AR853171" s="207"/>
    </row>
    <row r="856682" spans="43:44">
      <c r="AQ856682" s="8"/>
      <c r="AR856682" s="207"/>
    </row>
    <row r="860193" spans="43:44">
      <c r="AQ860193" s="8"/>
      <c r="AR860193" s="207"/>
    </row>
    <row r="863704" spans="43:44">
      <c r="AQ863704" s="8"/>
      <c r="AR863704" s="207"/>
    </row>
    <row r="867215" spans="43:44">
      <c r="AQ867215" s="8"/>
      <c r="AR867215" s="207"/>
    </row>
    <row r="870726" spans="43:44">
      <c r="AQ870726" s="8"/>
      <c r="AR870726" s="207"/>
    </row>
    <row r="874237" spans="43:44">
      <c r="AQ874237" s="8"/>
      <c r="AR874237" s="207"/>
    </row>
    <row r="877748" spans="43:44">
      <c r="AQ877748" s="8"/>
      <c r="AR877748" s="207"/>
    </row>
    <row r="881259" spans="43:44">
      <c r="AQ881259" s="8"/>
      <c r="AR881259" s="207"/>
    </row>
    <row r="884770" spans="43:44">
      <c r="AQ884770" s="8"/>
      <c r="AR884770" s="207"/>
    </row>
    <row r="888281" spans="43:44">
      <c r="AQ888281" s="8"/>
      <c r="AR888281" s="207"/>
    </row>
    <row r="891792" spans="43:44">
      <c r="AQ891792" s="8"/>
      <c r="AR891792" s="207"/>
    </row>
    <row r="895303" spans="43:44">
      <c r="AQ895303" s="8"/>
      <c r="AR895303" s="207"/>
    </row>
    <row r="898814" spans="43:44">
      <c r="AQ898814" s="8"/>
      <c r="AR898814" s="207"/>
    </row>
    <row r="902325" spans="43:44">
      <c r="AQ902325" s="8"/>
      <c r="AR902325" s="207"/>
    </row>
    <row r="905836" spans="43:44">
      <c r="AQ905836" s="8"/>
      <c r="AR905836" s="207"/>
    </row>
    <row r="909347" spans="43:44">
      <c r="AQ909347" s="8"/>
      <c r="AR909347" s="207"/>
    </row>
    <row r="912858" spans="43:44">
      <c r="AQ912858" s="8"/>
      <c r="AR912858" s="207"/>
    </row>
    <row r="916369" spans="43:44">
      <c r="AQ916369" s="8"/>
      <c r="AR916369" s="207"/>
    </row>
    <row r="919880" spans="43:44">
      <c r="AQ919880" s="8"/>
      <c r="AR919880" s="207"/>
    </row>
    <row r="923391" spans="43:44">
      <c r="AQ923391" s="8"/>
      <c r="AR923391" s="207"/>
    </row>
    <row r="926902" spans="43:44">
      <c r="AQ926902" s="8"/>
      <c r="AR926902" s="207"/>
    </row>
    <row r="930413" spans="43:44">
      <c r="AQ930413" s="8"/>
      <c r="AR930413" s="207"/>
    </row>
    <row r="933924" spans="43:44">
      <c r="AQ933924" s="8"/>
      <c r="AR933924" s="207"/>
    </row>
    <row r="937435" spans="43:44">
      <c r="AQ937435" s="8"/>
      <c r="AR937435" s="207"/>
    </row>
    <row r="940946" spans="43:44">
      <c r="AQ940946" s="8"/>
      <c r="AR940946" s="207"/>
    </row>
    <row r="944457" spans="43:44">
      <c r="AQ944457" s="8"/>
      <c r="AR944457" s="207"/>
    </row>
    <row r="947968" spans="43:44">
      <c r="AQ947968" s="8"/>
      <c r="AR947968" s="207"/>
    </row>
    <row r="951479" spans="43:44">
      <c r="AQ951479" s="8"/>
      <c r="AR951479" s="207"/>
    </row>
    <row r="954990" spans="43:44">
      <c r="AQ954990" s="8"/>
      <c r="AR954990" s="207"/>
    </row>
    <row r="958501" spans="43:44">
      <c r="AQ958501" s="8"/>
      <c r="AR958501" s="207"/>
    </row>
    <row r="962012" spans="43:44">
      <c r="AQ962012" s="8"/>
      <c r="AR962012" s="207"/>
    </row>
    <row r="965523" spans="43:44">
      <c r="AQ965523" s="8"/>
      <c r="AR965523" s="207"/>
    </row>
    <row r="969034" spans="43:44">
      <c r="AQ969034" s="8"/>
      <c r="AR969034" s="207"/>
    </row>
    <row r="972545" spans="43:44">
      <c r="AQ972545" s="8"/>
      <c r="AR972545" s="207"/>
    </row>
    <row r="976056" spans="43:44">
      <c r="AQ976056" s="8"/>
      <c r="AR976056" s="207"/>
    </row>
    <row r="979567" spans="43:44">
      <c r="AQ979567" s="8"/>
      <c r="AR979567" s="207"/>
    </row>
    <row r="983078" spans="43:44">
      <c r="AQ983078" s="8"/>
      <c r="AR983078" s="207"/>
    </row>
    <row r="986589" spans="43:44">
      <c r="AQ986589" s="8"/>
      <c r="AR986589" s="207"/>
    </row>
    <row r="990100" spans="43:44">
      <c r="AQ990100" s="8"/>
      <c r="AR990100" s="207"/>
    </row>
    <row r="993611" spans="43:44">
      <c r="AQ993611" s="8"/>
      <c r="AR993611" s="207"/>
    </row>
    <row r="997122" spans="43:44">
      <c r="AQ997122" s="8"/>
      <c r="AR997122" s="207"/>
    </row>
    <row r="1000633" spans="43:44">
      <c r="AQ1000633" s="8"/>
      <c r="AR1000633" s="207"/>
    </row>
    <row r="1004144" spans="43:44">
      <c r="AQ1004144" s="8"/>
      <c r="AR1004144" s="207"/>
    </row>
    <row r="1007655" spans="43:44">
      <c r="AQ1007655" s="8"/>
      <c r="AR1007655" s="207"/>
    </row>
    <row r="1011166" spans="43:44">
      <c r="AQ1011166" s="8"/>
      <c r="AR1011166" s="207"/>
    </row>
    <row r="1014677" spans="43:44">
      <c r="AQ1014677" s="8"/>
      <c r="AR1014677" s="207"/>
    </row>
    <row r="1018188" spans="43:44">
      <c r="AQ1018188" s="8"/>
      <c r="AR1018188" s="207"/>
    </row>
    <row r="1021699" spans="43:44">
      <c r="AQ1021699" s="8"/>
      <c r="AR1021699" s="207"/>
    </row>
    <row r="1025210" spans="43:44">
      <c r="AQ1025210" s="8"/>
      <c r="AR1025210" s="207"/>
    </row>
    <row r="1028721" spans="43:44">
      <c r="AQ1028721" s="8"/>
      <c r="AR1028721" s="207"/>
    </row>
    <row r="1032232" spans="43:44">
      <c r="AQ1032232" s="8"/>
      <c r="AR1032232" s="207"/>
    </row>
    <row r="1035743" spans="43:44">
      <c r="AQ1035743" s="8"/>
      <c r="AR1035743" s="207"/>
    </row>
    <row r="1039254" spans="43:44">
      <c r="AQ1039254" s="8"/>
      <c r="AR1039254" s="207"/>
    </row>
    <row r="1042765" spans="43:44">
      <c r="AQ1042765" s="8"/>
      <c r="AR1042765" s="207"/>
    </row>
    <row r="1046276" spans="43:44">
      <c r="AQ1046276" s="8"/>
      <c r="AR1046276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5" priority="153"/>
  </conditionalFormatting>
  <conditionalFormatting sqref="J3509 J3502:J3507 J3255:J3500">
    <cfRule type="duplicateValues" dxfId="114" priority="33"/>
  </conditionalFormatting>
  <conditionalFormatting sqref="Z3255:Z3500 Z3502:Z3674 Z3677:Z5000">
    <cfRule type="cellIs" dxfId="113" priority="31" operator="lessThanOrEqual">
      <formula>0</formula>
    </cfRule>
  </conditionalFormatting>
  <conditionalFormatting sqref="J856">
    <cfRule type="duplicateValues" dxfId="112" priority="18"/>
  </conditionalFormatting>
  <conditionalFormatting sqref="J1670:J1673">
    <cfRule type="duplicateValues" dxfId="111" priority="28"/>
  </conditionalFormatting>
  <conditionalFormatting sqref="J2327:J2902">
    <cfRule type="duplicateValues" dxfId="110" priority="30"/>
  </conditionalFormatting>
  <conditionalFormatting sqref="J2910:J2911">
    <cfRule type="duplicateValues" dxfId="109" priority="23"/>
  </conditionalFormatting>
  <conditionalFormatting sqref="J2912">
    <cfRule type="duplicateValues" dxfId="108" priority="27"/>
  </conditionalFormatting>
  <conditionalFormatting sqref="J2913">
    <cfRule type="duplicateValues" dxfId="107" priority="26"/>
  </conditionalFormatting>
  <conditionalFormatting sqref="J2995:J2996">
    <cfRule type="duplicateValues" dxfId="106" priority="22"/>
  </conditionalFormatting>
  <conditionalFormatting sqref="J3018 J3020:J3023">
    <cfRule type="duplicateValues" dxfId="105" priority="25"/>
  </conditionalFormatting>
  <conditionalFormatting sqref="J3019">
    <cfRule type="duplicateValues" dxfId="104" priority="24"/>
  </conditionalFormatting>
  <conditionalFormatting sqref="J3115">
    <cfRule type="duplicateValues" dxfId="103" priority="21"/>
  </conditionalFormatting>
  <conditionalFormatting sqref="J3148">
    <cfRule type="duplicateValues" dxfId="102" priority="20"/>
  </conditionalFormatting>
  <conditionalFormatting sqref="J3191:J3192">
    <cfRule type="duplicateValues" dxfId="101" priority="19"/>
  </conditionalFormatting>
  <conditionalFormatting sqref="J3196:J3201 J3203 J3205:J3213">
    <cfRule type="duplicateValues" dxfId="100" priority="17"/>
  </conditionalFormatting>
  <conditionalFormatting sqref="J3214:J3254 J2931:J3195 J2079:J2929 J2:J2077">
    <cfRule type="duplicateValues" dxfId="99" priority="29"/>
  </conditionalFormatting>
  <conditionalFormatting sqref="Z2:Z3254">
    <cfRule type="cellIs" dxfId="98" priority="16" operator="lessThanOrEqual">
      <formula>0</formula>
    </cfRule>
  </conditionalFormatting>
  <conditionalFormatting sqref="J3202">
    <cfRule type="duplicateValues" dxfId="97" priority="15"/>
  </conditionalFormatting>
  <conditionalFormatting sqref="J2930">
    <cfRule type="duplicateValues" dxfId="96" priority="14"/>
  </conditionalFormatting>
  <conditionalFormatting sqref="J3204">
    <cfRule type="duplicateValues" dxfId="95" priority="13"/>
  </conditionalFormatting>
  <conditionalFormatting sqref="J2078">
    <cfRule type="duplicateValues" dxfId="94" priority="12"/>
  </conditionalFormatting>
  <conditionalFormatting sqref="J3515">
    <cfRule type="duplicateValues" dxfId="93" priority="11"/>
  </conditionalFormatting>
  <conditionalFormatting sqref="J3501">
    <cfRule type="duplicateValues" dxfId="92" priority="9"/>
  </conditionalFormatting>
  <conditionalFormatting sqref="Z3501">
    <cfRule type="cellIs" dxfId="91" priority="8" operator="lessThanOrEqual">
      <formula>0</formula>
    </cfRule>
  </conditionalFormatting>
  <conditionalFormatting sqref="K3738:K3749">
    <cfRule type="duplicateValues" dxfId="90" priority="7"/>
  </conditionalFormatting>
  <conditionalFormatting sqref="Z3675">
    <cfRule type="cellIs" dxfId="89" priority="6" operator="lessThanOrEqual">
      <formula>0</formula>
    </cfRule>
  </conditionalFormatting>
  <conditionalFormatting sqref="Z3676">
    <cfRule type="cellIs" dxfId="88" priority="5" operator="lessThanOrEqual">
      <formula>0</formula>
    </cfRule>
  </conditionalFormatting>
  <conditionalFormatting sqref="J4002">
    <cfRule type="duplicateValues" dxfId="87" priority="4"/>
  </conditionalFormatting>
  <conditionalFormatting sqref="J4002">
    <cfRule type="duplicateValues" dxfId="86" priority="3"/>
  </conditionalFormatting>
  <conditionalFormatting sqref="J3964">
    <cfRule type="duplicateValues" dxfId="85" priority="2"/>
  </conditionalFormatting>
  <conditionalFormatting sqref="J3964">
    <cfRule type="duplicateValues" dxfId="84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zoomScale="55" zoomScaleNormal="55" workbookViewId="0">
      <selection activeCell="D39" sqref="D39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1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62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3"/>
      <c r="Q2" s="176" t="s">
        <v>52</v>
      </c>
      <c r="R2" s="236">
        <v>5000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64" t="s">
        <v>3203</v>
      </c>
      <c r="Q3" s="177" t="s">
        <v>51</v>
      </c>
      <c r="R3" s="236">
        <v>225000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5.3100000000000001E-2</v>
      </c>
      <c r="L4" s="182">
        <v>1.0720000000000001</v>
      </c>
      <c r="M4" s="47"/>
      <c r="N4" s="107"/>
      <c r="O4" s="48"/>
      <c r="P4" s="264"/>
      <c r="Q4" s="177" t="s">
        <v>50</v>
      </c>
      <c r="R4" s="236">
        <v>380000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5.3100000000000001E-2</v>
      </c>
      <c r="L5" s="182">
        <v>1.0720000000000001</v>
      </c>
      <c r="M5" s="47"/>
      <c r="N5" s="107"/>
      <c r="O5" s="48"/>
      <c r="P5" s="264"/>
      <c r="Q5" s="178" t="s">
        <v>49</v>
      </c>
      <c r="R5" s="236">
        <v>398000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2" t="s">
        <v>3387</v>
      </c>
      <c r="Q10" s="253"/>
      <c r="R10" s="253"/>
      <c r="S10" s="253"/>
      <c r="T10" s="253"/>
      <c r="U10" s="253"/>
      <c r="V10" s="253"/>
      <c r="AB10" s="256" t="s">
        <v>3388</v>
      </c>
      <c r="AC10" s="257"/>
      <c r="AD10" s="257"/>
      <c r="AE10" s="257"/>
      <c r="AF10" s="257"/>
      <c r="AG10" s="257"/>
      <c r="AH10" s="257"/>
      <c r="AI10" s="258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4"/>
      <c r="Q11" s="255"/>
      <c r="R11" s="255"/>
      <c r="S11" s="255"/>
      <c r="T11" s="255"/>
      <c r="U11" s="255"/>
      <c r="V11" s="255"/>
      <c r="AB11" s="259"/>
      <c r="AC11" s="260"/>
      <c r="AD11" s="260"/>
      <c r="AE11" s="260"/>
      <c r="AF11" s="260"/>
      <c r="AG11" s="260"/>
      <c r="AH11" s="260"/>
      <c r="AI11" s="261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3194</v>
      </c>
      <c r="AD12" s="84" t="s">
        <v>3195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3690</v>
      </c>
      <c r="Q13" s="150">
        <v>2025</v>
      </c>
      <c r="R13" s="150">
        <v>4</v>
      </c>
      <c r="S13" s="79">
        <f>IF(R13="","",SUMIFS(raw_sheet!AB:AB,raw_sheet!E:E,list!P13,raw_sheet!F:F,list!Q13,raw_sheet!G:G,list!R13,raw_sheet!R:R,list!$S$12))</f>
        <v>24677874.495575216</v>
      </c>
      <c r="T13" s="79">
        <f>IF(R13="","",SUMIFS(raw_sheet!AB:AB,raw_sheet!E:E,list!P13,raw_sheet!F:F,list!Q13,raw_sheet!G:G,list!R13,raw_sheet!R:R,list!$T$12))</f>
        <v>8025548.8849557536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32703423.380530968</v>
      </c>
      <c r="AB13" s="150" t="s">
        <v>3690</v>
      </c>
      <c r="AC13" s="150">
        <v>2025</v>
      </c>
      <c r="AD13" s="150">
        <v>4</v>
      </c>
      <c r="AE13" s="79">
        <f>IF(AD13="","",SUMIFS(raw_sheet!AB:AB,raw_sheet!A:A,list!AB13,raw_sheet!B:B,list!AC13,raw_sheet!C:C,list!AD13,raw_sheet!S:S,list!$AE$12))</f>
        <v>1444828.318584071</v>
      </c>
      <c r="AF13" s="79">
        <f>IF(AD13="","",SUMIFS(raw_sheet!AB:AB,raw_sheet!A:A,list!AB13,raw_sheet!B:B,list!AC13,raw_sheet!C:C,list!AD13,raw_sheet!S:S,list!$AF$12))</f>
        <v>0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1195327.4336283188</v>
      </c>
      <c r="AI13" s="80">
        <f>IF(AD13="","",SUMIFS(raw_sheet!AB:AB,raw_sheet!A:A,list!AB13,raw_sheet!B:B,list!AC13,raw_sheet!C:C,list!AD13))</f>
        <v>2640155.7522123898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3690</v>
      </c>
      <c r="Q14" s="150">
        <v>2025</v>
      </c>
      <c r="R14" s="150">
        <v>5</v>
      </c>
      <c r="S14" s="79">
        <f>IF(R14="","",SUMIFS(raw_sheet!AB:AB,raw_sheet!E:E,list!P14,raw_sheet!F:F,list!Q14,raw_sheet!G:G,list!R14,raw_sheet!R:R,list!$S$12))</f>
        <v>24449597.522819463</v>
      </c>
      <c r="T14" s="79">
        <f>IF(R14="","",SUMIFS(raw_sheet!AB:AB,raw_sheet!E:E,list!P14,raw_sheet!F:F,list!Q14,raw_sheet!G:G,list!R14,raw_sheet!R:R,list!$T$12))</f>
        <v>1195327.4336283186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25644924.956447776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3690</v>
      </c>
      <c r="Q15" s="150">
        <v>2025</v>
      </c>
      <c r="R15" s="150">
        <v>6</v>
      </c>
      <c r="S15" s="79">
        <f>IF(R15="","",SUMIFS(raw_sheet!AB:AB,raw_sheet!E:E,list!P15,raw_sheet!F:F,list!Q15,raw_sheet!G:G,list!R15,raw_sheet!R:R,list!$S$12))</f>
        <v>0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0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1523000</v>
      </c>
      <c r="AK18" s="124" cm="1">
        <f t="array" ref="AK18">IFERROR(SUMPRODUCT((AD21:AD150="EAST")*(AJ21:AJ150)),0)</f>
        <v>0</v>
      </c>
      <c r="AL18" s="124" cm="1">
        <f t="array" ref="AL18">IFERROR(SUMPRODUCT((AD21:AD150="NORTH")*(AJ21:AJ150)),0)</f>
        <v>1260000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7" t="s">
        <v>3311</v>
      </c>
      <c r="D19" s="248"/>
      <c r="E19" s="249"/>
      <c r="F19" s="38"/>
      <c r="M19" s="47"/>
      <c r="N19" s="107"/>
      <c r="O19" s="39"/>
      <c r="P19" s="265" t="s">
        <v>3339</v>
      </c>
      <c r="Q19" s="266"/>
      <c r="R19" s="266"/>
      <c r="S19" s="266"/>
      <c r="T19" s="266"/>
      <c r="U19" s="266"/>
      <c r="V19" s="266"/>
      <c r="W19" s="266"/>
      <c r="X19" s="266"/>
      <c r="Y19" s="266"/>
      <c r="Z19" s="266"/>
      <c r="AB19" s="267" t="s">
        <v>3213</v>
      </c>
      <c r="AC19" s="268"/>
      <c r="AD19" s="268"/>
      <c r="AE19" s="268"/>
      <c r="AF19" s="268"/>
      <c r="AG19" s="268"/>
      <c r="AH19" s="268"/>
      <c r="AI19" s="268"/>
      <c r="AJ19" s="268"/>
      <c r="AK19" s="268"/>
      <c r="AL19" s="268"/>
      <c r="AM19" s="268"/>
    </row>
    <row r="20" spans="1:39" ht="16.2" thickBot="1">
      <c r="A20" s="167"/>
      <c r="B20" s="168"/>
      <c r="C20" s="247" t="s">
        <v>3214</v>
      </c>
      <c r="D20" s="248"/>
      <c r="E20" s="146" t="s">
        <v>3172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17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18" t="s">
        <v>3221</v>
      </c>
      <c r="AM20" s="91" t="s">
        <v>3471</v>
      </c>
    </row>
    <row r="21" spans="1:39" ht="16.2" thickBot="1">
      <c r="A21" s="167"/>
      <c r="B21" s="168"/>
      <c r="C21" s="247" t="s">
        <v>3225</v>
      </c>
      <c r="D21" s="248"/>
      <c r="E21" s="146">
        <v>2025</v>
      </c>
      <c r="M21" s="47"/>
      <c r="N21" s="107"/>
      <c r="O21" s="39"/>
      <c r="P21" s="15" cm="1">
        <f t="array" ref="P21:Z72">_xlfn.CHOOSECOLS(_xlfn._xlws.FILTER(raw_sheet!E:AQ,(raw_sheet!F:F=list!Q13)*(raw_sheet!E:E=list!P13)*(raw_sheet!G:G=list!R13)*(raw_sheet!G:G&lt;&gt;"Cancel"),""),2,3,15,6,7,8,10,19,23,24,26)</f>
        <v>2025</v>
      </c>
      <c r="Q21" s="13">
        <v>4</v>
      </c>
      <c r="R21" s="13" t="str">
        <v>SOUTH</v>
      </c>
      <c r="S21" s="13" t="str">
        <v>C49SZX20240196SX</v>
      </c>
      <c r="T21" s="13" t="str">
        <v>嘉普达</v>
      </c>
      <c r="U21" s="13" t="str">
        <v>YSM20R</v>
      </c>
      <c r="V21" s="13">
        <v>1</v>
      </c>
      <c r="W21" s="92" t="str">
        <v>JPY</v>
      </c>
      <c r="X21" s="97">
        <v>5.3100000000000001E-2</v>
      </c>
      <c r="Y21" s="92">
        <v>661095</v>
      </c>
      <c r="Z21" s="219">
        <v>0.12</v>
      </c>
      <c r="AB21" s="15" cm="1">
        <f t="array" ref="AB21:AM25">_xlfn.CHOOSECOLS(_xlfn._xlws.FILTER(raw_sheet!A:AZ,(raw_sheet!B:B=list!AC13)*(raw_sheet!A:A=list!AB13)*(raw_sheet!C:C=list!AD13)*(raw_sheet!C:C&lt;&gt;"Cancel"),""),2,3,19,10,11,12,14,23,26,27,28,30)</f>
        <v>2025</v>
      </c>
      <c r="AC21" s="13">
        <v>4</v>
      </c>
      <c r="AD21" s="13" t="str">
        <v>SOUTH</v>
      </c>
      <c r="AE21" s="13" t="str">
        <v>C49SZX20250048SX</v>
      </c>
      <c r="AF21" s="13" t="str">
        <v>龙腾共创</v>
      </c>
      <c r="AG21" s="13" t="str">
        <v>YSM10</v>
      </c>
      <c r="AH21" s="13">
        <v>1</v>
      </c>
      <c r="AI21" s="92" t="str">
        <v>RMB</v>
      </c>
      <c r="AJ21" s="118">
        <v>460000</v>
      </c>
      <c r="AK21" s="97">
        <v>1.0720000000000001</v>
      </c>
      <c r="AL21" s="92">
        <v>436389.38053097355</v>
      </c>
      <c r="AM21" s="219">
        <v>0.12</v>
      </c>
    </row>
    <row r="22" spans="1:39" ht="16.2" thickBot="1">
      <c r="A22" s="167"/>
      <c r="B22" s="168"/>
      <c r="C22" s="250" t="s">
        <v>3226</v>
      </c>
      <c r="D22" s="251"/>
      <c r="E22" s="150">
        <v>3</v>
      </c>
      <c r="F22" s="38"/>
      <c r="M22" s="47"/>
      <c r="N22" s="107"/>
      <c r="O22" s="39"/>
      <c r="P22" s="13">
        <v>2025</v>
      </c>
      <c r="Q22" s="13">
        <v>4</v>
      </c>
      <c r="R22" s="13" t="str">
        <v>SOUTH</v>
      </c>
      <c r="S22" s="13" t="str">
        <v>C49SZX20240196SX</v>
      </c>
      <c r="T22" s="13" t="str">
        <v>嘉普达</v>
      </c>
      <c r="U22" s="13" t="str">
        <v>YSM20R</v>
      </c>
      <c r="V22" s="13">
        <v>1</v>
      </c>
      <c r="W22" s="92" t="str">
        <v>JPY</v>
      </c>
      <c r="X22" s="97">
        <v>5.3100000000000001E-2</v>
      </c>
      <c r="Y22" s="92">
        <v>661095</v>
      </c>
      <c r="Z22" s="219">
        <v>0.12</v>
      </c>
      <c r="AB22" s="13">
        <v>2025</v>
      </c>
      <c r="AC22" s="13">
        <v>4</v>
      </c>
      <c r="AD22" s="13" t="str">
        <v>SOUTH</v>
      </c>
      <c r="AE22" s="13" t="str">
        <v>C49SZX20250047JL</v>
      </c>
      <c r="AF22" s="13" t="str">
        <v>铭翔</v>
      </c>
      <c r="AG22" s="13" t="str">
        <v>YSM10</v>
      </c>
      <c r="AH22" s="13">
        <v>1</v>
      </c>
      <c r="AI22" s="92" t="str">
        <v>RMB</v>
      </c>
      <c r="AJ22" s="118">
        <v>393000</v>
      </c>
      <c r="AK22" s="97">
        <v>1.0720000000000001</v>
      </c>
      <c r="AL22" s="92">
        <v>372828.31858407089</v>
      </c>
      <c r="AM22" s="21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4</v>
      </c>
      <c r="R23" s="13" t="str">
        <v>SOUTH</v>
      </c>
      <c r="S23" s="13" t="str">
        <v>C49SZX20240189JY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5.3100000000000001E-2</v>
      </c>
      <c r="Y23" s="92">
        <v>743400</v>
      </c>
      <c r="Z23" s="219">
        <v>0.12</v>
      </c>
      <c r="AB23" s="13">
        <v>2025</v>
      </c>
      <c r="AC23" s="13">
        <v>4</v>
      </c>
      <c r="AD23" s="13" t="str">
        <v>SOUTH</v>
      </c>
      <c r="AE23" s="13" t="str">
        <v>C49SZX20250047JL</v>
      </c>
      <c r="AF23" s="13" t="str">
        <v>铭翔</v>
      </c>
      <c r="AG23" s="13" t="str">
        <v>YSM20R</v>
      </c>
      <c r="AH23" s="13">
        <v>1</v>
      </c>
      <c r="AI23" s="92" t="str">
        <v>RMB</v>
      </c>
      <c r="AJ23" s="118">
        <v>670000</v>
      </c>
      <c r="AK23" s="97">
        <v>1.0720000000000001</v>
      </c>
      <c r="AL23" s="92">
        <v>635610.61946902669</v>
      </c>
      <c r="AM23" s="21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4</v>
      </c>
      <c r="R24" s="13" t="str">
        <v>SOUTH</v>
      </c>
      <c r="S24" s="13" t="str">
        <v>C49SZX20240189JY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5.3100000000000001E-2</v>
      </c>
      <c r="Y24" s="92">
        <v>743400</v>
      </c>
      <c r="Z24" s="219">
        <v>0.12</v>
      </c>
      <c r="AB24" s="13">
        <v>2025</v>
      </c>
      <c r="AC24" s="13">
        <v>4</v>
      </c>
      <c r="AD24" s="13" t="str">
        <v>NORTH</v>
      </c>
      <c r="AE24" s="13" t="str">
        <v>C49BJS20250412ZX</v>
      </c>
      <c r="AF24" s="13" t="str">
        <v>三河市坤方</v>
      </c>
      <c r="AG24" s="13" t="str">
        <v>YSM20R</v>
      </c>
      <c r="AH24" s="13">
        <v>1</v>
      </c>
      <c r="AI24" s="92" t="str">
        <v>RMB</v>
      </c>
      <c r="AJ24" s="118">
        <v>750000</v>
      </c>
      <c r="AK24" s="97">
        <v>1.0720000000000001</v>
      </c>
      <c r="AL24" s="92">
        <v>711504.42477876123</v>
      </c>
      <c r="AM24" s="21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4</v>
      </c>
      <c r="R25" s="13" t="str">
        <v>SOUTH</v>
      </c>
      <c r="S25" s="13" t="str">
        <v>C49SZX20240189JY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5.3100000000000001E-2</v>
      </c>
      <c r="Y25" s="92">
        <v>743400</v>
      </c>
      <c r="Z25" s="219">
        <v>0.12</v>
      </c>
      <c r="AB25" s="13">
        <v>2025</v>
      </c>
      <c r="AC25" s="13">
        <v>4</v>
      </c>
      <c r="AD25" s="13" t="str">
        <v>NORTH</v>
      </c>
      <c r="AE25" s="13" t="str">
        <v>C49BJS20250412ZX</v>
      </c>
      <c r="AF25" s="13" t="str">
        <v>三河市坤方</v>
      </c>
      <c r="AG25" s="13" t="str">
        <v>YSM10</v>
      </c>
      <c r="AH25" s="13">
        <v>1</v>
      </c>
      <c r="AI25" s="92" t="str">
        <v>RMB</v>
      </c>
      <c r="AJ25" s="118">
        <v>510000</v>
      </c>
      <c r="AK25" s="97">
        <v>1.0720000000000001</v>
      </c>
      <c r="AL25" s="92">
        <v>483823.00884955755</v>
      </c>
      <c r="AM25" s="219">
        <v>0.12</v>
      </c>
    </row>
    <row r="26" spans="1:39">
      <c r="A26" s="167"/>
      <c r="B26" s="168"/>
      <c r="P26" s="13">
        <v>2025</v>
      </c>
      <c r="Q26" s="13">
        <v>4</v>
      </c>
      <c r="R26" s="13" t="str">
        <v>SOUTH</v>
      </c>
      <c r="S26" s="13" t="str">
        <v>C49SZX20240189JY</v>
      </c>
      <c r="T26" s="13" t="str">
        <v>海凌科</v>
      </c>
      <c r="U26" s="13" t="str">
        <v>YSM20R</v>
      </c>
      <c r="V26" s="13">
        <v>1</v>
      </c>
      <c r="W26" s="92" t="str">
        <v>JPY</v>
      </c>
      <c r="X26" s="97">
        <v>5.3100000000000001E-2</v>
      </c>
      <c r="Y26" s="92">
        <v>743400</v>
      </c>
      <c r="Z26" s="219">
        <v>0.12</v>
      </c>
      <c r="AB26" s="13"/>
      <c r="AC26" s="13"/>
      <c r="AD26" s="13"/>
      <c r="AE26" s="13"/>
      <c r="AF26" s="13"/>
      <c r="AG26" s="13"/>
      <c r="AH26" s="13"/>
      <c r="AI26" s="92"/>
      <c r="AJ26" s="118"/>
      <c r="AK26" s="97"/>
      <c r="AL26" s="92"/>
      <c r="AM26" s="219"/>
    </row>
    <row r="27" spans="1:39">
      <c r="A27" s="167"/>
      <c r="B27" s="168"/>
      <c r="P27" s="13">
        <v>2025</v>
      </c>
      <c r="Q27" s="13">
        <v>4</v>
      </c>
      <c r="R27" s="13" t="str">
        <v>EAST</v>
      </c>
      <c r="S27" s="13" t="str">
        <v>C49SHA20241206/TWB</v>
      </c>
      <c r="T27" s="13" t="str">
        <v>浙江正泰</v>
      </c>
      <c r="U27" s="13" t="str">
        <v>YSM20R</v>
      </c>
      <c r="V27" s="13">
        <v>1</v>
      </c>
      <c r="W27" s="92" t="str">
        <v>RMB</v>
      </c>
      <c r="X27" s="97">
        <v>1.0720000000000001</v>
      </c>
      <c r="Y27" s="92">
        <v>725734.51327433635</v>
      </c>
      <c r="Z27" s="219">
        <v>0.12</v>
      </c>
      <c r="AB27" s="13"/>
      <c r="AC27" s="13"/>
      <c r="AD27" s="13"/>
      <c r="AE27" s="13"/>
      <c r="AF27" s="13"/>
      <c r="AG27" s="13"/>
      <c r="AH27" s="13"/>
      <c r="AI27" s="92"/>
      <c r="AJ27" s="118"/>
      <c r="AK27" s="97"/>
      <c r="AL27" s="92"/>
      <c r="AM27" s="219"/>
    </row>
    <row r="28" spans="1:39">
      <c r="A28" s="167"/>
      <c r="B28" s="168"/>
      <c r="P28" s="13">
        <v>2025</v>
      </c>
      <c r="Q28" s="13">
        <v>4</v>
      </c>
      <c r="R28" s="13" t="str">
        <v>EAST</v>
      </c>
      <c r="S28" s="13" t="str">
        <v>C49SHA20241206/TWB</v>
      </c>
      <c r="T28" s="13" t="str">
        <v>浙江正泰</v>
      </c>
      <c r="U28" s="13" t="str">
        <v>YSM10</v>
      </c>
      <c r="V28" s="13">
        <v>1</v>
      </c>
      <c r="W28" s="92" t="str">
        <v>RMB</v>
      </c>
      <c r="X28" s="97">
        <v>1.0720000000000001</v>
      </c>
      <c r="Y28" s="92">
        <v>725734.51327433635</v>
      </c>
      <c r="Z28" s="219">
        <v>0.12</v>
      </c>
      <c r="AB28" s="13"/>
      <c r="AC28" s="13"/>
      <c r="AD28" s="13"/>
      <c r="AE28" s="13"/>
      <c r="AF28" s="13"/>
      <c r="AG28" s="13"/>
      <c r="AH28" s="13"/>
      <c r="AI28" s="92"/>
      <c r="AJ28" s="118"/>
      <c r="AK28" s="97"/>
      <c r="AL28" s="92"/>
      <c r="AM28" s="219"/>
    </row>
    <row r="29" spans="1:39">
      <c r="A29" s="167"/>
      <c r="B29" s="168"/>
      <c r="P29" s="13">
        <v>2025</v>
      </c>
      <c r="Q29" s="13">
        <v>4</v>
      </c>
      <c r="R29" s="13" t="str">
        <v>EAST</v>
      </c>
      <c r="S29" s="13" t="str">
        <v>C49SHA20241120/HZY</v>
      </c>
      <c r="T29" s="13" t="str">
        <v>宁波科尔维特</v>
      </c>
      <c r="U29" s="13" t="str">
        <v>YSM20R</v>
      </c>
      <c r="V29" s="13">
        <v>1</v>
      </c>
      <c r="W29" s="92" t="str">
        <v>RMB</v>
      </c>
      <c r="X29" s="97">
        <v>1.0720000000000001</v>
      </c>
      <c r="Y29" s="92">
        <v>588176.99115044263</v>
      </c>
      <c r="Z29" s="219">
        <v>0.12</v>
      </c>
      <c r="AB29" s="13"/>
      <c r="AC29" s="13"/>
      <c r="AD29" s="13"/>
      <c r="AE29" s="13"/>
      <c r="AF29" s="13"/>
      <c r="AG29" s="13"/>
      <c r="AH29" s="13"/>
      <c r="AI29" s="92"/>
      <c r="AJ29" s="118"/>
      <c r="AK29" s="97"/>
      <c r="AL29" s="92"/>
      <c r="AM29" s="219"/>
    </row>
    <row r="30" spans="1:39">
      <c r="A30" s="167"/>
      <c r="B30" s="168"/>
      <c r="J30" s="17" t="s">
        <v>543</v>
      </c>
      <c r="P30" s="13">
        <v>2025</v>
      </c>
      <c r="Q30" s="13">
        <v>4</v>
      </c>
      <c r="R30" s="13" t="str">
        <v>SOUTH</v>
      </c>
      <c r="S30" s="13" t="str">
        <v>C49SZX20250009SX</v>
      </c>
      <c r="T30" s="13" t="str">
        <v>加一</v>
      </c>
      <c r="U30" s="13" t="str">
        <v>YSM20R</v>
      </c>
      <c r="V30" s="13">
        <v>1</v>
      </c>
      <c r="W30" s="92" t="str">
        <v>RMB</v>
      </c>
      <c r="X30" s="97">
        <v>1.0720000000000001</v>
      </c>
      <c r="Y30" s="92">
        <v>796884.95575221244</v>
      </c>
      <c r="Z30" s="219">
        <v>0.12</v>
      </c>
      <c r="AB30" s="13"/>
      <c r="AC30" s="13"/>
      <c r="AD30" s="13"/>
      <c r="AE30" s="13"/>
      <c r="AF30" s="13"/>
      <c r="AG30" s="13"/>
      <c r="AH30" s="13"/>
      <c r="AI30" s="92"/>
      <c r="AJ30" s="118"/>
      <c r="AK30" s="97"/>
      <c r="AL30" s="92"/>
      <c r="AM30" s="219"/>
    </row>
    <row r="31" spans="1:39">
      <c r="A31" s="167"/>
      <c r="B31" s="168"/>
      <c r="P31" s="13">
        <v>2025</v>
      </c>
      <c r="Q31" s="13">
        <v>4</v>
      </c>
      <c r="R31" s="13" t="str">
        <v>SOUTH</v>
      </c>
      <c r="S31" s="13" t="str">
        <v>C49SZX20250009SX</v>
      </c>
      <c r="T31" s="13" t="str">
        <v>加一</v>
      </c>
      <c r="U31" s="13" t="str">
        <v>YSM10</v>
      </c>
      <c r="V31" s="13">
        <v>1</v>
      </c>
      <c r="W31" s="92" t="str">
        <v>RMB</v>
      </c>
      <c r="X31" s="97">
        <v>1.0720000000000001</v>
      </c>
      <c r="Y31" s="92">
        <v>382315.04424778762</v>
      </c>
      <c r="Z31" s="219">
        <v>0.12</v>
      </c>
      <c r="AB31" s="13"/>
      <c r="AC31" s="13"/>
      <c r="AD31" s="13"/>
      <c r="AE31" s="13"/>
      <c r="AF31" s="13"/>
      <c r="AG31" s="13"/>
      <c r="AH31" s="13"/>
      <c r="AI31" s="92"/>
      <c r="AJ31" s="118"/>
      <c r="AK31" s="97"/>
      <c r="AL31" s="92"/>
      <c r="AM31" s="219"/>
    </row>
    <row r="32" spans="1:39">
      <c r="A32" s="167"/>
      <c r="B32" s="168"/>
      <c r="P32" s="13">
        <v>2025</v>
      </c>
      <c r="Q32" s="13">
        <v>4</v>
      </c>
      <c r="R32" s="13" t="str">
        <v>SOUTH</v>
      </c>
      <c r="S32" s="13" t="str">
        <v>C49SZX20250015DZ&amp;JAL</v>
      </c>
      <c r="T32" s="13" t="str">
        <v>GLOBAL STAR(嘉裕越南分部)</v>
      </c>
      <c r="U32" s="13" t="str">
        <v>DESEN DSP-10-YMH</v>
      </c>
      <c r="V32" s="13">
        <v>1</v>
      </c>
      <c r="W32" s="92" t="str">
        <v>USD</v>
      </c>
      <c r="X32" s="97">
        <v>7.8</v>
      </c>
      <c r="Y32" s="92">
        <v>278460</v>
      </c>
      <c r="Z32" s="219">
        <v>0.12</v>
      </c>
      <c r="AB32" s="13"/>
      <c r="AC32" s="13"/>
      <c r="AD32" s="13"/>
      <c r="AE32" s="13"/>
      <c r="AF32" s="13"/>
      <c r="AG32" s="13"/>
      <c r="AH32" s="13"/>
      <c r="AI32" s="92"/>
      <c r="AJ32" s="118"/>
      <c r="AK32" s="97"/>
      <c r="AL32" s="92"/>
      <c r="AM32" s="219"/>
    </row>
    <row r="33" spans="1:39">
      <c r="A33" s="167"/>
      <c r="B33" s="168"/>
      <c r="P33" s="13">
        <v>2025</v>
      </c>
      <c r="Q33" s="13">
        <v>4</v>
      </c>
      <c r="R33" s="13" t="str">
        <v>SOUTH</v>
      </c>
      <c r="S33" s="13" t="str">
        <v>C49SZX20250015DZ&amp;JAL</v>
      </c>
      <c r="T33" s="13" t="str">
        <v>GLOBAL STAR(嘉裕越南分部)</v>
      </c>
      <c r="U33" s="13" t="str">
        <v>DESEN DSP-10-YMH</v>
      </c>
      <c r="V33" s="13">
        <v>1</v>
      </c>
      <c r="W33" s="92" t="str">
        <v>USD</v>
      </c>
      <c r="X33" s="97">
        <v>7.8</v>
      </c>
      <c r="Y33" s="92">
        <v>278460</v>
      </c>
      <c r="Z33" s="219">
        <v>0.12</v>
      </c>
      <c r="AB33" s="13"/>
      <c r="AC33" s="13"/>
      <c r="AD33" s="13"/>
      <c r="AE33" s="13"/>
      <c r="AF33" s="13"/>
      <c r="AG33" s="13"/>
      <c r="AH33" s="13"/>
      <c r="AI33" s="92"/>
      <c r="AJ33" s="118"/>
      <c r="AK33" s="97"/>
      <c r="AL33" s="92"/>
      <c r="AM33" s="219"/>
    </row>
    <row r="34" spans="1:39">
      <c r="A34" s="167"/>
      <c r="B34" s="168"/>
      <c r="P34" s="13">
        <v>2025</v>
      </c>
      <c r="Q34" s="13">
        <v>4</v>
      </c>
      <c r="R34" s="13" t="str">
        <v>SOUTH</v>
      </c>
      <c r="S34" s="13" t="str">
        <v>C49SZX20250015DZ&amp;JAL</v>
      </c>
      <c r="T34" s="13" t="str">
        <v>GLOBAL STAR(嘉裕越南分部)</v>
      </c>
      <c r="U34" s="13" t="str">
        <v>Heller 1936MK5</v>
      </c>
      <c r="V34" s="13">
        <v>1</v>
      </c>
      <c r="W34" s="92" t="str">
        <v>USD</v>
      </c>
      <c r="X34" s="97">
        <v>7.8</v>
      </c>
      <c r="Y34" s="92">
        <v>628524</v>
      </c>
      <c r="Z34" s="219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19"/>
    </row>
    <row r="35" spans="1:39">
      <c r="A35" s="167"/>
      <c r="B35" s="168"/>
      <c r="P35" s="13">
        <v>2025</v>
      </c>
      <c r="Q35" s="13">
        <v>4</v>
      </c>
      <c r="R35" s="13" t="str">
        <v>SOUTH</v>
      </c>
      <c r="S35" s="13" t="str">
        <v>C49SZX20250015DZ&amp;JAL</v>
      </c>
      <c r="T35" s="13" t="str">
        <v>GLOBAL STAR(嘉裕越南分部)</v>
      </c>
      <c r="U35" s="13" t="str">
        <v>YSi-V</v>
      </c>
      <c r="V35" s="13">
        <v>1</v>
      </c>
      <c r="W35" s="92" t="str">
        <v>USD</v>
      </c>
      <c r="X35" s="97">
        <v>7.8</v>
      </c>
      <c r="Y35" s="92">
        <v>675870</v>
      </c>
      <c r="Z35" s="219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19"/>
    </row>
    <row r="36" spans="1:39">
      <c r="A36" s="167"/>
      <c r="B36" s="168"/>
      <c r="P36" s="13">
        <v>2025</v>
      </c>
      <c r="Q36" s="13">
        <v>4</v>
      </c>
      <c r="R36" s="13" t="str">
        <v>SOUTH</v>
      </c>
      <c r="S36" s="13" t="str">
        <v>C49SZX20250015DZ&amp;JAL</v>
      </c>
      <c r="T36" s="13" t="str">
        <v>GLOBAL STAR(嘉裕越南分部)</v>
      </c>
      <c r="U36" s="13" t="str">
        <v>YSi-V</v>
      </c>
      <c r="V36" s="13">
        <v>1</v>
      </c>
      <c r="W36" s="92" t="str">
        <v>USD</v>
      </c>
      <c r="X36" s="97">
        <v>7.8</v>
      </c>
      <c r="Y36" s="92">
        <v>675870</v>
      </c>
      <c r="Z36" s="219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19"/>
    </row>
    <row r="37" spans="1:39">
      <c r="A37" s="167"/>
      <c r="B37" s="168"/>
      <c r="P37" s="13">
        <v>2025</v>
      </c>
      <c r="Q37" s="13">
        <v>4</v>
      </c>
      <c r="R37" s="13" t="str">
        <v>SOUTH</v>
      </c>
      <c r="S37" s="13" t="str">
        <v>C49SZX20250015DZ&amp;JAL</v>
      </c>
      <c r="T37" s="13" t="str">
        <v>GLOBAL STAR(嘉裕越南分部)</v>
      </c>
      <c r="U37" s="13" t="str">
        <v>YSM20R</v>
      </c>
      <c r="V37" s="13">
        <v>1</v>
      </c>
      <c r="W37" s="92" t="str">
        <v>USD</v>
      </c>
      <c r="X37" s="97">
        <v>7.8</v>
      </c>
      <c r="Y37" s="92">
        <v>807300</v>
      </c>
      <c r="Z37" s="219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19"/>
    </row>
    <row r="38" spans="1:39">
      <c r="A38" s="167"/>
      <c r="B38" s="168"/>
      <c r="P38" s="13">
        <v>2025</v>
      </c>
      <c r="Q38" s="13">
        <v>4</v>
      </c>
      <c r="R38" s="13" t="str">
        <v>SOUTH</v>
      </c>
      <c r="S38" s="13" t="str">
        <v>C49SZX20250015DZ&amp;JAL</v>
      </c>
      <c r="T38" s="13" t="str">
        <v>GLOBAL STAR(嘉裕越南分部)</v>
      </c>
      <c r="U38" s="13" t="str">
        <v>YSM20R</v>
      </c>
      <c r="V38" s="13">
        <v>1</v>
      </c>
      <c r="W38" s="92" t="str">
        <v>USD</v>
      </c>
      <c r="X38" s="97">
        <v>7.8</v>
      </c>
      <c r="Y38" s="92">
        <v>807300</v>
      </c>
      <c r="Z38" s="21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19"/>
    </row>
    <row r="39" spans="1:39">
      <c r="A39" s="167"/>
      <c r="B39" s="168"/>
      <c r="P39" s="13">
        <v>2025</v>
      </c>
      <c r="Q39" s="13">
        <v>4</v>
      </c>
      <c r="R39" s="13" t="str">
        <v>SOUTH</v>
      </c>
      <c r="S39" s="13" t="str">
        <v>C49SZX20250015DZ&amp;JAL</v>
      </c>
      <c r="T39" s="13" t="str">
        <v>GLOBAL STAR(嘉裕越南分部)</v>
      </c>
      <c r="U39" s="13" t="str">
        <v>YSM20R</v>
      </c>
      <c r="V39" s="13">
        <v>1</v>
      </c>
      <c r="W39" s="92" t="str">
        <v>USD</v>
      </c>
      <c r="X39" s="97">
        <v>7.8</v>
      </c>
      <c r="Y39" s="92">
        <v>807300</v>
      </c>
      <c r="Z39" s="21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19"/>
    </row>
    <row r="40" spans="1:39">
      <c r="A40" s="103"/>
      <c r="B40" s="40"/>
      <c r="P40" s="13">
        <v>2025</v>
      </c>
      <c r="Q40" s="13">
        <v>4</v>
      </c>
      <c r="R40" s="13" t="str">
        <v>SOUTH</v>
      </c>
      <c r="S40" s="13" t="str">
        <v>C49SZX20250015DZ&amp;JAL</v>
      </c>
      <c r="T40" s="13" t="str">
        <v>GLOBAL STAR(嘉裕越南分部)</v>
      </c>
      <c r="U40" s="13" t="str">
        <v>YSM20R</v>
      </c>
      <c r="V40" s="13">
        <v>1</v>
      </c>
      <c r="W40" s="92" t="str">
        <v>USD</v>
      </c>
      <c r="X40" s="97">
        <v>7.8</v>
      </c>
      <c r="Y40" s="92">
        <v>807300</v>
      </c>
      <c r="Z40" s="219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19"/>
    </row>
    <row r="41" spans="1:39">
      <c r="A41" s="103"/>
      <c r="B41" s="40"/>
      <c r="P41" s="13">
        <v>2025</v>
      </c>
      <c r="Q41" s="13">
        <v>4</v>
      </c>
      <c r="R41" s="13" t="str">
        <v>SOUTH</v>
      </c>
      <c r="S41" s="13" t="str">
        <v>C49SZX20250015DZ&amp;JAL</v>
      </c>
      <c r="T41" s="13" t="str">
        <v>GLOBAL STAR(嘉裕越南分部)</v>
      </c>
      <c r="U41" s="13" t="str">
        <v>YSM10</v>
      </c>
      <c r="V41" s="13">
        <v>1</v>
      </c>
      <c r="W41" s="92" t="str">
        <v>USD</v>
      </c>
      <c r="X41" s="97">
        <v>7.8</v>
      </c>
      <c r="Y41" s="92">
        <v>561990</v>
      </c>
      <c r="Z41" s="219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19"/>
    </row>
    <row r="42" spans="1:39">
      <c r="A42" s="103"/>
      <c r="B42" s="40"/>
      <c r="P42" s="13">
        <v>2025</v>
      </c>
      <c r="Q42" s="13">
        <v>4</v>
      </c>
      <c r="R42" s="13" t="str">
        <v>SOUTH</v>
      </c>
      <c r="S42" s="13" t="str">
        <v>C49SZX20250015DZ&amp;JAL</v>
      </c>
      <c r="T42" s="13" t="str">
        <v>GLOBAL STAR(嘉裕越南分部)</v>
      </c>
      <c r="U42" s="13" t="str">
        <v>YSM10</v>
      </c>
      <c r="V42" s="13">
        <v>1</v>
      </c>
      <c r="W42" s="92" t="str">
        <v>USD</v>
      </c>
      <c r="X42" s="97">
        <v>7.8</v>
      </c>
      <c r="Y42" s="92">
        <v>561990</v>
      </c>
      <c r="Z42" s="21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19"/>
    </row>
    <row r="43" spans="1:39">
      <c r="A43" s="103"/>
      <c r="B43" s="40"/>
      <c r="P43" s="13">
        <v>2025</v>
      </c>
      <c r="Q43" s="13">
        <v>4</v>
      </c>
      <c r="R43" s="13" t="str">
        <v>EAST</v>
      </c>
      <c r="S43" s="13" t="str">
        <v>C49SHA20250122/ZQR</v>
      </c>
      <c r="T43" s="13" t="str">
        <v>常州通宝</v>
      </c>
      <c r="U43" s="13" t="str">
        <v>CKD VP-01G</v>
      </c>
      <c r="V43" s="13">
        <v>1</v>
      </c>
      <c r="W43" s="92" t="str">
        <v>RMB</v>
      </c>
      <c r="X43" s="97">
        <v>1.0720000000000001</v>
      </c>
      <c r="Y43" s="92">
        <v>290673.27433628327</v>
      </c>
      <c r="Z43" s="21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19"/>
    </row>
    <row r="44" spans="1:39">
      <c r="A44" s="103"/>
      <c r="B44" s="40"/>
      <c r="P44" s="13">
        <v>2025</v>
      </c>
      <c r="Q44" s="13">
        <v>4</v>
      </c>
      <c r="R44" s="13" t="str">
        <v>EAST</v>
      </c>
      <c r="S44" s="13" t="str">
        <v>C49SHA20250122/ZQR</v>
      </c>
      <c r="T44" s="13" t="str">
        <v>常州通宝</v>
      </c>
      <c r="U44" s="13" t="str">
        <v>CKD VP-01G</v>
      </c>
      <c r="V44" s="13">
        <v>1</v>
      </c>
      <c r="W44" s="92" t="str">
        <v>RMB</v>
      </c>
      <c r="X44" s="97">
        <v>1.0720000000000001</v>
      </c>
      <c r="Y44" s="92">
        <v>290673.27433628327</v>
      </c>
      <c r="Z44" s="21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19"/>
    </row>
    <row r="45" spans="1:39">
      <c r="A45" s="103"/>
      <c r="B45" s="40"/>
      <c r="P45" s="13">
        <v>2025</v>
      </c>
      <c r="Q45" s="13">
        <v>4</v>
      </c>
      <c r="R45" s="13" t="str">
        <v>EAST</v>
      </c>
      <c r="S45" s="13" t="str">
        <v>C49SHA20250122/ZQR</v>
      </c>
      <c r="T45" s="13" t="str">
        <v>常州通宝</v>
      </c>
      <c r="U45" s="13" t="str">
        <v>YSM20R</v>
      </c>
      <c r="V45" s="13">
        <v>1</v>
      </c>
      <c r="W45" s="92" t="str">
        <v>RMB</v>
      </c>
      <c r="X45" s="97">
        <v>1.0720000000000001</v>
      </c>
      <c r="Y45" s="92">
        <v>711504.42477876123</v>
      </c>
      <c r="Z45" s="21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19"/>
    </row>
    <row r="46" spans="1:39">
      <c r="A46" s="103"/>
      <c r="B46" s="40"/>
      <c r="P46" s="13">
        <v>2025</v>
      </c>
      <c r="Q46" s="13">
        <v>4</v>
      </c>
      <c r="R46" s="13" t="str">
        <v>EAST</v>
      </c>
      <c r="S46" s="13" t="str">
        <v>C49SHA20250122/ZQR</v>
      </c>
      <c r="T46" s="13" t="str">
        <v>常州通宝</v>
      </c>
      <c r="U46" s="13" t="str">
        <v>YSM20R</v>
      </c>
      <c r="V46" s="13">
        <v>1</v>
      </c>
      <c r="W46" s="92" t="str">
        <v>RMB</v>
      </c>
      <c r="X46" s="97">
        <v>1.0720000000000001</v>
      </c>
      <c r="Y46" s="92">
        <v>711504.42477876123</v>
      </c>
      <c r="Z46" s="21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19"/>
    </row>
    <row r="47" spans="1:39">
      <c r="A47" s="103"/>
      <c r="B47" s="40"/>
      <c r="P47" s="13">
        <v>2025</v>
      </c>
      <c r="Q47" s="13">
        <v>4</v>
      </c>
      <c r="R47" s="13" t="str">
        <v>EAST</v>
      </c>
      <c r="S47" s="13" t="str">
        <v>C49SHA20250122/ZQR</v>
      </c>
      <c r="T47" s="13" t="str">
        <v>常州通宝</v>
      </c>
      <c r="U47" s="13" t="str">
        <v>YSM20R</v>
      </c>
      <c r="V47" s="13">
        <v>1</v>
      </c>
      <c r="W47" s="92" t="str">
        <v>RMB</v>
      </c>
      <c r="X47" s="97">
        <v>1.0720000000000001</v>
      </c>
      <c r="Y47" s="92">
        <v>711504.42477876123</v>
      </c>
      <c r="Z47" s="21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19"/>
    </row>
    <row r="48" spans="1:39">
      <c r="A48" s="103"/>
      <c r="B48" s="40"/>
      <c r="P48" s="13">
        <v>2025</v>
      </c>
      <c r="Q48" s="13">
        <v>4</v>
      </c>
      <c r="R48" s="13" t="str">
        <v>EAST</v>
      </c>
      <c r="S48" s="13" t="str">
        <v>C49SHA20250122/ZQR</v>
      </c>
      <c r="T48" s="13" t="str">
        <v>常州通宝</v>
      </c>
      <c r="U48" s="13" t="str">
        <v>YSM20R</v>
      </c>
      <c r="V48" s="13">
        <v>1</v>
      </c>
      <c r="W48" s="92" t="str">
        <v>RMB</v>
      </c>
      <c r="X48" s="97">
        <v>1.0720000000000001</v>
      </c>
      <c r="Y48" s="92">
        <v>711504.42477876123</v>
      </c>
      <c r="Z48" s="21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19"/>
    </row>
    <row r="49" spans="1:39">
      <c r="A49" s="103"/>
      <c r="B49" s="40"/>
      <c r="P49" s="13">
        <v>2025</v>
      </c>
      <c r="Q49" s="13">
        <v>4</v>
      </c>
      <c r="R49" s="13" t="str">
        <v>EAST</v>
      </c>
      <c r="S49" s="13" t="str">
        <v>C49SHA20250122/ZQR</v>
      </c>
      <c r="T49" s="13" t="str">
        <v>常州通宝</v>
      </c>
      <c r="U49" s="13" t="str">
        <v>YSM20R</v>
      </c>
      <c r="V49" s="13">
        <v>1</v>
      </c>
      <c r="W49" s="92" t="str">
        <v>RMB</v>
      </c>
      <c r="X49" s="97">
        <v>1.0720000000000001</v>
      </c>
      <c r="Y49" s="92">
        <v>711504.42477876123</v>
      </c>
      <c r="Z49" s="21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19"/>
    </row>
    <row r="50" spans="1:39">
      <c r="A50" s="103"/>
      <c r="B50" s="40"/>
      <c r="P50" s="13">
        <v>2025</v>
      </c>
      <c r="Q50" s="13">
        <v>4</v>
      </c>
      <c r="R50" s="13" t="str">
        <v>EAST</v>
      </c>
      <c r="S50" s="13" t="str">
        <v>C49SHA20250122/ZQR</v>
      </c>
      <c r="T50" s="13" t="str">
        <v>常州通宝</v>
      </c>
      <c r="U50" s="13" t="str">
        <v>YSM20R</v>
      </c>
      <c r="V50" s="13">
        <v>1</v>
      </c>
      <c r="W50" s="92" t="str">
        <v>RMB</v>
      </c>
      <c r="X50" s="97">
        <v>1.0720000000000001</v>
      </c>
      <c r="Y50" s="92">
        <v>711504.42477876123</v>
      </c>
      <c r="Z50" s="21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19"/>
    </row>
    <row r="51" spans="1:39">
      <c r="A51" s="103"/>
      <c r="B51" s="40"/>
      <c r="P51" s="13">
        <v>2025</v>
      </c>
      <c r="Q51" s="13">
        <v>4</v>
      </c>
      <c r="R51" s="13" t="str">
        <v>EAST</v>
      </c>
      <c r="S51" s="13" t="str">
        <v>C49SHA20250122/ZQR</v>
      </c>
      <c r="T51" s="13" t="str">
        <v>常州通宝</v>
      </c>
      <c r="U51" s="13" t="str">
        <v>YSM20R</v>
      </c>
      <c r="V51" s="13">
        <v>1</v>
      </c>
      <c r="W51" s="92" t="str">
        <v>RMB</v>
      </c>
      <c r="X51" s="97">
        <v>1.0720000000000001</v>
      </c>
      <c r="Y51" s="92">
        <v>711504.42477876123</v>
      </c>
      <c r="Z51" s="21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19"/>
    </row>
    <row r="52" spans="1:39">
      <c r="A52" s="103"/>
      <c r="B52" s="40"/>
      <c r="P52" s="13">
        <v>2025</v>
      </c>
      <c r="Q52" s="13">
        <v>4</v>
      </c>
      <c r="R52" s="13" t="str">
        <v>EAST</v>
      </c>
      <c r="S52" s="13" t="str">
        <v>C49SHA20250122/ZQR</v>
      </c>
      <c r="T52" s="13" t="str">
        <v>常州通宝</v>
      </c>
      <c r="U52" s="13" t="str">
        <v>YSM20R</v>
      </c>
      <c r="V52" s="13">
        <v>1</v>
      </c>
      <c r="W52" s="92" t="str">
        <v>RMB</v>
      </c>
      <c r="X52" s="97">
        <v>1.0720000000000001</v>
      </c>
      <c r="Y52" s="92">
        <v>711504.42477876123</v>
      </c>
      <c r="Z52" s="21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19"/>
    </row>
    <row r="53" spans="1:39">
      <c r="A53" s="103"/>
      <c r="B53" s="40"/>
      <c r="P53" s="13">
        <v>2025</v>
      </c>
      <c r="Q53" s="13">
        <v>4</v>
      </c>
      <c r="R53" s="13" t="str">
        <v>EAST</v>
      </c>
      <c r="S53" s="13" t="str">
        <v>C49SHA20250122/ZQR</v>
      </c>
      <c r="T53" s="13" t="str">
        <v>常州通宝</v>
      </c>
      <c r="U53" s="13" t="str">
        <v>YSM20R</v>
      </c>
      <c r="V53" s="13">
        <v>1</v>
      </c>
      <c r="W53" s="92" t="str">
        <v>RMB</v>
      </c>
      <c r="X53" s="97">
        <v>1.0720000000000001</v>
      </c>
      <c r="Y53" s="92">
        <v>711504.42477876123</v>
      </c>
      <c r="Z53" s="21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19"/>
    </row>
    <row r="54" spans="1:39">
      <c r="A54" s="103"/>
      <c r="B54" s="40"/>
      <c r="P54" s="13">
        <v>2025</v>
      </c>
      <c r="Q54" s="13">
        <v>4</v>
      </c>
      <c r="R54" s="13" t="str">
        <v>EAST</v>
      </c>
      <c r="S54" s="13" t="str">
        <v>C49SHA20250122/ZQR</v>
      </c>
      <c r="T54" s="13" t="str">
        <v>常州通宝</v>
      </c>
      <c r="U54" s="13" t="str">
        <v>YSM10</v>
      </c>
      <c r="V54" s="13">
        <v>1</v>
      </c>
      <c r="W54" s="92" t="str">
        <v>RMB</v>
      </c>
      <c r="X54" s="97">
        <v>1.0720000000000001</v>
      </c>
      <c r="Y54" s="92">
        <v>696961.27433628333</v>
      </c>
      <c r="Z54" s="21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19"/>
    </row>
    <row r="55" spans="1:39">
      <c r="A55" s="103"/>
      <c r="B55" s="40"/>
      <c r="P55" s="13">
        <v>2025</v>
      </c>
      <c r="Q55" s="13">
        <v>4</v>
      </c>
      <c r="R55" s="13" t="str">
        <v>EAST</v>
      </c>
      <c r="S55" s="13" t="str">
        <v>C49SHA20250122/ZQR</v>
      </c>
      <c r="T55" s="13" t="str">
        <v>常州通宝</v>
      </c>
      <c r="U55" s="13" t="str">
        <v>YSM10</v>
      </c>
      <c r="V55" s="13">
        <v>1</v>
      </c>
      <c r="W55" s="92" t="str">
        <v>RMB</v>
      </c>
      <c r="X55" s="97">
        <v>1.0720000000000001</v>
      </c>
      <c r="Y55" s="92">
        <v>696961.27433628333</v>
      </c>
      <c r="Z55" s="21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19"/>
    </row>
    <row r="56" spans="1:39">
      <c r="A56" s="103"/>
      <c r="B56" s="40"/>
      <c r="P56" s="13">
        <v>2025</v>
      </c>
      <c r="Q56" s="13">
        <v>4</v>
      </c>
      <c r="R56" s="13" t="str">
        <v>EAST</v>
      </c>
      <c r="S56" s="13" t="str">
        <v>C49SHA20250122/ZQR</v>
      </c>
      <c r="T56" s="13" t="str">
        <v>常州通宝</v>
      </c>
      <c r="U56" s="13" t="str">
        <v>YRi-V</v>
      </c>
      <c r="V56" s="13">
        <v>1</v>
      </c>
      <c r="W56" s="92" t="str">
        <v>RMB</v>
      </c>
      <c r="X56" s="97">
        <v>1.0720000000000001</v>
      </c>
      <c r="Y56" s="92">
        <v>603981.8761061948</v>
      </c>
      <c r="Z56" s="21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19"/>
    </row>
    <row r="57" spans="1:39">
      <c r="A57" s="103"/>
      <c r="B57" s="40"/>
      <c r="P57" s="13">
        <v>2025</v>
      </c>
      <c r="Q57" s="13">
        <v>4</v>
      </c>
      <c r="R57" s="13" t="str">
        <v>EAST</v>
      </c>
      <c r="S57" s="13" t="str">
        <v>C49SHA20250122/ZQR</v>
      </c>
      <c r="T57" s="13" t="str">
        <v>常州通宝</v>
      </c>
      <c r="U57" s="13" t="str">
        <v>YRi-V</v>
      </c>
      <c r="V57" s="13">
        <v>1</v>
      </c>
      <c r="W57" s="92" t="str">
        <v>RMB</v>
      </c>
      <c r="X57" s="97">
        <v>1.0720000000000001</v>
      </c>
      <c r="Y57" s="92">
        <v>603981.8761061948</v>
      </c>
      <c r="Z57" s="21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19"/>
    </row>
    <row r="58" spans="1:39">
      <c r="A58" s="103"/>
      <c r="B58" s="40"/>
      <c r="P58" s="13">
        <v>2025</v>
      </c>
      <c r="Q58" s="13">
        <v>4</v>
      </c>
      <c r="R58" s="13" t="str">
        <v>EAST</v>
      </c>
      <c r="S58" s="13" t="str">
        <v>C49SHA20250122/ZQR</v>
      </c>
      <c r="T58" s="13" t="str">
        <v>常州通宝</v>
      </c>
      <c r="U58" s="13" t="str">
        <v>YRi-V</v>
      </c>
      <c r="V58" s="13">
        <v>1</v>
      </c>
      <c r="W58" s="92" t="str">
        <v>RMB</v>
      </c>
      <c r="X58" s="97">
        <v>1.0720000000000001</v>
      </c>
      <c r="Y58" s="92">
        <v>603981.8761061948</v>
      </c>
      <c r="Z58" s="21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19"/>
    </row>
    <row r="59" spans="1:39">
      <c r="A59" s="103"/>
      <c r="B59" s="40"/>
      <c r="P59" s="13">
        <v>2025</v>
      </c>
      <c r="Q59" s="13">
        <v>4</v>
      </c>
      <c r="R59" s="13" t="str">
        <v>EAST</v>
      </c>
      <c r="S59" s="13" t="str">
        <v>C49SHA20250122/ZQR</v>
      </c>
      <c r="T59" s="13" t="str">
        <v>常州通宝</v>
      </c>
      <c r="U59" s="13" t="str">
        <v>YRi-V</v>
      </c>
      <c r="V59" s="13">
        <v>1</v>
      </c>
      <c r="W59" s="92" t="str">
        <v>RMB</v>
      </c>
      <c r="X59" s="97">
        <v>1.0720000000000001</v>
      </c>
      <c r="Y59" s="92">
        <v>603981.8761061948</v>
      </c>
      <c r="Z59" s="21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19"/>
    </row>
    <row r="60" spans="1:39">
      <c r="A60" s="103"/>
      <c r="B60" s="40"/>
      <c r="P60" s="13">
        <v>2025</v>
      </c>
      <c r="Q60" s="13">
        <v>4</v>
      </c>
      <c r="R60" s="13" t="str">
        <v>EAST</v>
      </c>
      <c r="S60" s="13" t="str">
        <v>C49SHA20250122/ZQR</v>
      </c>
      <c r="T60" s="13" t="str">
        <v>常州通宝</v>
      </c>
      <c r="U60" s="13" t="str">
        <v>YRi-V</v>
      </c>
      <c r="V60" s="13">
        <v>1</v>
      </c>
      <c r="W60" s="92" t="str">
        <v>RMB</v>
      </c>
      <c r="X60" s="97">
        <v>1.0720000000000001</v>
      </c>
      <c r="Y60" s="92">
        <v>603981.8761061948</v>
      </c>
      <c r="Z60" s="21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19"/>
    </row>
    <row r="61" spans="1:39">
      <c r="A61" s="103"/>
      <c r="B61" s="40"/>
      <c r="P61" s="13">
        <v>2025</v>
      </c>
      <c r="Q61" s="13">
        <v>4</v>
      </c>
      <c r="R61" s="13" t="str">
        <v>EAST</v>
      </c>
      <c r="S61" s="13" t="str">
        <v>C49SHA20250122/ZQR</v>
      </c>
      <c r="T61" s="13" t="str">
        <v>常州通宝</v>
      </c>
      <c r="U61" s="13" t="str">
        <v>HELLER 1936MK5</v>
      </c>
      <c r="V61" s="13">
        <v>1</v>
      </c>
      <c r="W61" s="92" t="str">
        <v>RMB</v>
      </c>
      <c r="X61" s="97">
        <v>1.0720000000000001</v>
      </c>
      <c r="Y61" s="90">
        <v>516651.82300884963</v>
      </c>
      <c r="Z61" s="21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19"/>
    </row>
    <row r="62" spans="1:39">
      <c r="A62" s="103"/>
      <c r="B62" s="40"/>
      <c r="P62" s="13">
        <v>2025</v>
      </c>
      <c r="Q62" s="13">
        <v>4</v>
      </c>
      <c r="R62" s="13" t="str">
        <v>EAST</v>
      </c>
      <c r="S62" s="13" t="str">
        <v>C49SHA20250122/ZQR</v>
      </c>
      <c r="T62" s="13" t="str">
        <v>常州通宝</v>
      </c>
      <c r="U62" s="13" t="str">
        <v>HELLER 1936MK5</v>
      </c>
      <c r="V62" s="13">
        <v>1</v>
      </c>
      <c r="W62" s="92" t="str">
        <v>RMB</v>
      </c>
      <c r="X62" s="97">
        <v>1.0720000000000001</v>
      </c>
      <c r="Y62" s="90">
        <v>516651.82300884963</v>
      </c>
      <c r="Z62" s="21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19"/>
    </row>
    <row r="63" spans="1:39">
      <c r="A63" s="103"/>
      <c r="B63" s="40"/>
      <c r="P63" s="13">
        <v>2025</v>
      </c>
      <c r="Q63" s="13">
        <v>4</v>
      </c>
      <c r="R63" s="13" t="str">
        <v>WEST</v>
      </c>
      <c r="S63" s="13" t="str">
        <v>C28XIY20250122/LJY</v>
      </c>
      <c r="T63" s="13" t="str">
        <v>河南铨宝</v>
      </c>
      <c r="U63" s="13" t="str">
        <v>YSi-V</v>
      </c>
      <c r="V63" s="13">
        <v>1</v>
      </c>
      <c r="W63" s="92" t="str">
        <v>RMB</v>
      </c>
      <c r="X63" s="97">
        <v>1.0720000000000001</v>
      </c>
      <c r="Y63" s="90">
        <v>426902.6548672567</v>
      </c>
      <c r="Z63" s="21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19"/>
    </row>
    <row r="64" spans="1:39">
      <c r="A64" s="103"/>
      <c r="B64" s="40"/>
      <c r="P64" s="13">
        <v>2025</v>
      </c>
      <c r="Q64" s="13">
        <v>4</v>
      </c>
      <c r="R64" s="13" t="str">
        <v>WEST</v>
      </c>
      <c r="S64" s="13" t="str">
        <v>C28XIY20250122/LJY</v>
      </c>
      <c r="T64" s="13" t="str">
        <v>河南铨宝</v>
      </c>
      <c r="U64" s="13" t="str">
        <v>YSi-V</v>
      </c>
      <c r="V64" s="13">
        <v>1</v>
      </c>
      <c r="W64" s="92" t="str">
        <v>RMB</v>
      </c>
      <c r="X64" s="97">
        <v>1.0720000000000001</v>
      </c>
      <c r="Y64" s="90">
        <v>426902.6548672567</v>
      </c>
      <c r="Z64" s="21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19"/>
    </row>
    <row r="65" spans="1:39">
      <c r="A65" s="103"/>
      <c r="B65" s="40"/>
      <c r="P65" s="13">
        <v>2025</v>
      </c>
      <c r="Q65" s="13">
        <v>4</v>
      </c>
      <c r="R65" s="13" t="str">
        <v>EAST</v>
      </c>
      <c r="S65" s="13" t="str">
        <v>C49SHA20250213/JXD</v>
      </c>
      <c r="T65" s="13" t="str">
        <v>丹阳市新欧普</v>
      </c>
      <c r="U65" s="13" t="str">
        <v>YSM10</v>
      </c>
      <c r="V65" s="13">
        <v>1</v>
      </c>
      <c r="W65" s="92" t="str">
        <v>RMB</v>
      </c>
      <c r="X65" s="97">
        <v>1.0720000000000001</v>
      </c>
      <c r="Y65" s="90">
        <v>402047.4336283186</v>
      </c>
      <c r="Z65" s="21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19"/>
    </row>
    <row r="66" spans="1:39">
      <c r="A66" s="103"/>
      <c r="B66" s="40"/>
      <c r="P66" s="13">
        <v>2025</v>
      </c>
      <c r="Q66" s="13">
        <v>4</v>
      </c>
      <c r="R66" s="13" t="str">
        <v>NORTH</v>
      </c>
      <c r="S66" s="13" t="str">
        <v>C49BJS20250220ZX</v>
      </c>
      <c r="T66" s="13" t="str">
        <v>北京星际智控</v>
      </c>
      <c r="U66" s="13" t="str">
        <v>YSM20R</v>
      </c>
      <c r="V66" s="13">
        <v>1</v>
      </c>
      <c r="W66" s="92" t="str">
        <v>RMB</v>
      </c>
      <c r="X66" s="97">
        <v>1.0720000000000001</v>
      </c>
      <c r="Y66" s="90">
        <v>768424.77876106207</v>
      </c>
      <c r="Z66" s="219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19"/>
    </row>
    <row r="67" spans="1:39">
      <c r="A67" s="103"/>
      <c r="B67" s="40"/>
      <c r="P67" s="13">
        <v>2025</v>
      </c>
      <c r="Q67" s="13">
        <v>4</v>
      </c>
      <c r="R67" s="13" t="str">
        <v>NORTH</v>
      </c>
      <c r="S67" s="13" t="str">
        <v>C49BJS20250220ZX</v>
      </c>
      <c r="T67" s="13" t="str">
        <v>北京星际智控</v>
      </c>
      <c r="U67" s="13" t="str">
        <v>YSM10</v>
      </c>
      <c r="V67" s="13">
        <v>1</v>
      </c>
      <c r="W67" s="92" t="str">
        <v>RMB</v>
      </c>
      <c r="X67" s="97">
        <v>1.0720000000000001</v>
      </c>
      <c r="Y67" s="90">
        <v>683044.24778761074</v>
      </c>
      <c r="Z67" s="219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19"/>
    </row>
    <row r="68" spans="1:39">
      <c r="A68" s="103"/>
      <c r="B68" s="40"/>
      <c r="P68" s="13">
        <v>2025</v>
      </c>
      <c r="Q68" s="13">
        <v>4</v>
      </c>
      <c r="R68" s="13" t="str">
        <v>SOUTH</v>
      </c>
      <c r="S68" s="13" t="str">
        <v>C49SZX20250032SX</v>
      </c>
      <c r="T68" s="13" t="str">
        <v>众一卓越</v>
      </c>
      <c r="U68" s="13" t="str">
        <v>YSM10</v>
      </c>
      <c r="V68" s="13">
        <v>1</v>
      </c>
      <c r="W68" s="92" t="str">
        <v>RMB</v>
      </c>
      <c r="X68" s="97">
        <v>1.0720000000000001</v>
      </c>
      <c r="Y68" s="90">
        <v>455362.83185840712</v>
      </c>
      <c r="Z68" s="219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19"/>
    </row>
    <row r="69" spans="1:39">
      <c r="A69" s="103"/>
      <c r="B69" s="40"/>
      <c r="P69" s="13">
        <v>2025</v>
      </c>
      <c r="Q69" s="13">
        <v>4</v>
      </c>
      <c r="R69" s="13" t="str">
        <v>SOUTH</v>
      </c>
      <c r="S69" s="13" t="str">
        <v>C49SZX20250032SX</v>
      </c>
      <c r="T69" s="13" t="str">
        <v>众一卓越</v>
      </c>
      <c r="U69" s="13" t="str">
        <v>YSM10</v>
      </c>
      <c r="V69" s="13">
        <v>1</v>
      </c>
      <c r="W69" s="92" t="str">
        <v>RMB</v>
      </c>
      <c r="X69" s="97">
        <v>1.0720000000000001</v>
      </c>
      <c r="Y69" s="90">
        <v>455362.83185840712</v>
      </c>
      <c r="Z69" s="219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19"/>
    </row>
    <row r="70" spans="1:39">
      <c r="A70" s="103"/>
      <c r="B70" s="40"/>
      <c r="P70" s="13">
        <v>2025</v>
      </c>
      <c r="Q70" s="13">
        <v>4</v>
      </c>
      <c r="R70" s="13" t="str">
        <v>SOUTH</v>
      </c>
      <c r="S70" s="13" t="str">
        <v>C49SZX20250039EC</v>
      </c>
      <c r="T70" s="13" t="str">
        <v>海红天远（end user: 珠海海红）</v>
      </c>
      <c r="U70" s="13" t="str">
        <v>YRM20</v>
      </c>
      <c r="V70" s="13">
        <v>1</v>
      </c>
      <c r="W70" s="92" t="str">
        <v>RMB</v>
      </c>
      <c r="X70" s="97">
        <v>1.0720000000000001</v>
      </c>
      <c r="Y70" s="90">
        <v>929699.11504424794</v>
      </c>
      <c r="Z70" s="219">
        <v>9.9299999999999999E-2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19"/>
    </row>
    <row r="71" spans="1:39">
      <c r="A71" s="103"/>
      <c r="B71" s="40"/>
      <c r="P71" s="13">
        <v>2025</v>
      </c>
      <c r="Q71" s="13">
        <v>4</v>
      </c>
      <c r="R71" s="13" t="str">
        <v>SOUTH</v>
      </c>
      <c r="S71" s="13" t="str">
        <v>C49SZX20250039EC</v>
      </c>
      <c r="T71" s="13" t="str">
        <v>海红天远（end user: 珠海海红）</v>
      </c>
      <c r="U71" s="13" t="str">
        <v>YRM20</v>
      </c>
      <c r="V71" s="13">
        <v>1</v>
      </c>
      <c r="W71" s="92" t="str">
        <v>RMB</v>
      </c>
      <c r="X71" s="97">
        <v>1.0720000000000001</v>
      </c>
      <c r="Y71" s="90">
        <v>929699.11504424794</v>
      </c>
      <c r="Z71" s="219">
        <v>9.9299999999999999E-2</v>
      </c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19"/>
    </row>
    <row r="72" spans="1:39">
      <c r="A72" s="103"/>
      <c r="B72" s="40"/>
      <c r="P72" s="13">
        <v>2025</v>
      </c>
      <c r="Q72" s="13">
        <v>4</v>
      </c>
      <c r="R72" s="13" t="str">
        <v>EAST</v>
      </c>
      <c r="S72" s="13" t="str">
        <v>C49SHA20250313/TWB</v>
      </c>
      <c r="T72" s="13" t="str">
        <v>丽水市长新</v>
      </c>
      <c r="U72" s="13" t="str">
        <v>YSM10</v>
      </c>
      <c r="V72" s="13">
        <v>1</v>
      </c>
      <c r="W72" s="92" t="str">
        <v>RMB</v>
      </c>
      <c r="X72" s="97">
        <v>1.0720000000000001</v>
      </c>
      <c r="Y72" s="90">
        <v>388955.75221238949</v>
      </c>
      <c r="Z72" s="219">
        <v>0.12</v>
      </c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1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19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1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19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1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19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1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19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1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19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1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19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1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19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1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19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1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19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1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19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1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19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1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19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1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19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1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19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1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19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1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19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1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19"/>
      <c r="AA89" s="13"/>
      <c r="AB89" s="13"/>
      <c r="AC89" s="13"/>
      <c r="AD89" s="13"/>
      <c r="AE89" s="13"/>
      <c r="AF89" s="13"/>
      <c r="AM89" s="21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19"/>
      <c r="AA90" s="13"/>
      <c r="AB90" s="13"/>
      <c r="AC90" s="13"/>
      <c r="AD90" s="13"/>
      <c r="AE90" s="13"/>
      <c r="AF90" s="13"/>
      <c r="AM90" s="21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19"/>
      <c r="AA91" s="13"/>
      <c r="AB91" s="13"/>
      <c r="AC91" s="13"/>
      <c r="AD91" s="13"/>
      <c r="AE91" s="13"/>
      <c r="AF91" s="13"/>
      <c r="AM91" s="21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19"/>
      <c r="AA92" s="13"/>
      <c r="AB92" s="13"/>
      <c r="AC92" s="13"/>
      <c r="AD92" s="13"/>
      <c r="AE92" s="13"/>
      <c r="AF92" s="13"/>
      <c r="AM92" s="21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19"/>
      <c r="AA93" s="13"/>
      <c r="AB93" s="13"/>
      <c r="AC93" s="13"/>
      <c r="AD93" s="13"/>
      <c r="AE93" s="13"/>
      <c r="AF93" s="13"/>
      <c r="AM93" s="21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19"/>
      <c r="AA94" s="13"/>
      <c r="AB94" s="13"/>
      <c r="AC94" s="13"/>
      <c r="AD94" s="13"/>
      <c r="AE94" s="13"/>
      <c r="AF94" s="13"/>
      <c r="AM94" s="21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19"/>
      <c r="AA95" s="13"/>
      <c r="AB95" s="13"/>
      <c r="AC95" s="13"/>
      <c r="AD95" s="13"/>
      <c r="AE95" s="13"/>
      <c r="AF95" s="13"/>
      <c r="AM95" s="21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19"/>
      <c r="AA96" s="13"/>
      <c r="AB96" s="13"/>
      <c r="AC96" s="13"/>
      <c r="AM96" s="21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19"/>
      <c r="AA97" s="13"/>
      <c r="AB97" s="13"/>
      <c r="AC97" s="13"/>
      <c r="AM97" s="219"/>
    </row>
    <row r="98" spans="1:39">
      <c r="A98" s="103"/>
      <c r="B98" s="40"/>
      <c r="T98" s="13"/>
      <c r="U98" s="13"/>
      <c r="V98" s="13"/>
      <c r="W98" s="90"/>
      <c r="X98" s="97"/>
      <c r="Y98" s="90"/>
      <c r="Z98" s="219"/>
      <c r="AA98" s="13"/>
      <c r="AB98" s="13"/>
      <c r="AC98" s="13"/>
      <c r="AM98" s="219"/>
    </row>
    <row r="99" spans="1:39">
      <c r="A99" s="103"/>
      <c r="B99" s="40"/>
      <c r="T99" s="13"/>
      <c r="U99" s="13"/>
      <c r="V99" s="13"/>
      <c r="W99" s="90"/>
      <c r="X99" s="97"/>
      <c r="Y99" s="90"/>
      <c r="Z99" s="219"/>
      <c r="AA99" s="13"/>
      <c r="AB99" s="13"/>
      <c r="AC99" s="13"/>
      <c r="AM99" s="21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19"/>
      <c r="AA100" s="13"/>
      <c r="AB100" s="13"/>
      <c r="AC100" s="13"/>
      <c r="AM100" s="21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19"/>
      <c r="AA101" s="13"/>
      <c r="AB101" s="13"/>
      <c r="AC101" s="13"/>
      <c r="AM101" s="21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19"/>
      <c r="AA102" s="13"/>
      <c r="AB102" s="13"/>
      <c r="AC102" s="13"/>
      <c r="AM102" s="219"/>
    </row>
    <row r="103" spans="1:39">
      <c r="A103" s="103"/>
      <c r="B103" s="40"/>
      <c r="V103" s="13"/>
      <c r="W103" s="90"/>
      <c r="X103" s="97"/>
      <c r="Y103" s="90"/>
      <c r="Z103" s="219"/>
      <c r="AA103" s="13"/>
      <c r="AB103" s="13"/>
      <c r="AC103" s="13"/>
      <c r="AM103" s="219"/>
    </row>
    <row r="104" spans="1:39">
      <c r="A104" s="103"/>
      <c r="B104" s="40"/>
      <c r="V104" s="13"/>
      <c r="W104" s="90"/>
      <c r="X104" s="97"/>
      <c r="Y104" s="90"/>
      <c r="Z104" s="219"/>
      <c r="AA104" s="13"/>
      <c r="AB104" s="13"/>
      <c r="AC104" s="13"/>
      <c r="AM104" s="219"/>
    </row>
    <row r="105" spans="1:39">
      <c r="A105" s="103"/>
      <c r="B105" s="40"/>
      <c r="V105" s="13"/>
      <c r="W105" s="90"/>
      <c r="X105" s="97"/>
      <c r="Y105" s="90"/>
      <c r="Z105" s="219"/>
      <c r="AA105" s="13"/>
      <c r="AB105" s="13"/>
      <c r="AC105" s="13"/>
      <c r="AM105" s="219"/>
    </row>
    <row r="106" spans="1:39">
      <c r="A106" s="103"/>
      <c r="B106" s="40"/>
      <c r="V106" s="13"/>
      <c r="W106" s="90"/>
      <c r="X106" s="97"/>
      <c r="Y106" s="90"/>
      <c r="Z106" s="219"/>
      <c r="AA106" s="13"/>
      <c r="AB106" s="13"/>
      <c r="AC106" s="13"/>
      <c r="AM106" s="21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1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1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1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1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1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1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1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1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1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1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1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1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1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1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1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1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1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1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1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1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19"/>
    </row>
    <row r="128" spans="1:39">
      <c r="A128" s="103"/>
      <c r="B128" s="40"/>
      <c r="V128" s="13"/>
      <c r="X128" s="97"/>
      <c r="AA128" s="13"/>
      <c r="AB128" s="13"/>
      <c r="AC128" s="13"/>
      <c r="AM128" s="219"/>
    </row>
    <row r="129" spans="1:39">
      <c r="A129" s="103"/>
      <c r="B129" s="40"/>
      <c r="V129" s="13"/>
      <c r="X129" s="97"/>
      <c r="AA129" s="13"/>
      <c r="AB129" s="13"/>
      <c r="AC129" s="13"/>
      <c r="AM129" s="219"/>
    </row>
    <row r="130" spans="1:39">
      <c r="A130" s="103"/>
      <c r="B130" s="40"/>
      <c r="V130" s="13"/>
      <c r="X130" s="97"/>
      <c r="AA130" s="13"/>
      <c r="AB130" s="13"/>
      <c r="AC130" s="13"/>
      <c r="AM130" s="219"/>
    </row>
    <row r="131" spans="1:39">
      <c r="A131" s="103"/>
      <c r="B131" s="40"/>
      <c r="V131" s="13"/>
      <c r="X131" s="97"/>
      <c r="AA131" s="13"/>
      <c r="AB131" s="13"/>
      <c r="AC131" s="13"/>
      <c r="AM131" s="219"/>
    </row>
    <row r="132" spans="1:39">
      <c r="A132" s="103"/>
      <c r="B132" s="40"/>
      <c r="V132" s="13"/>
      <c r="X132" s="97"/>
      <c r="AA132" s="13"/>
      <c r="AB132" s="13"/>
      <c r="AC132" s="13"/>
      <c r="AM132" s="219"/>
    </row>
    <row r="133" spans="1:39">
      <c r="A133" s="103"/>
      <c r="B133" s="40"/>
      <c r="V133" s="13"/>
      <c r="X133" s="97"/>
      <c r="AA133" s="13"/>
      <c r="AB133" s="13"/>
      <c r="AC133" s="13"/>
      <c r="AM133" s="219"/>
    </row>
    <row r="134" spans="1:39">
      <c r="A134" s="103"/>
      <c r="B134" s="40"/>
      <c r="V134" s="13"/>
      <c r="X134" s="97"/>
      <c r="AA134" s="13"/>
      <c r="AB134" s="13"/>
      <c r="AC134" s="13"/>
      <c r="AM134" s="219"/>
    </row>
    <row r="135" spans="1:39">
      <c r="A135" s="103"/>
      <c r="B135" s="40"/>
      <c r="V135" s="13"/>
      <c r="X135" s="97"/>
      <c r="AA135" s="13"/>
      <c r="AB135" s="13"/>
      <c r="AC135" s="13"/>
      <c r="AM135" s="219"/>
    </row>
    <row r="136" spans="1:39">
      <c r="A136" s="103"/>
      <c r="B136" s="40"/>
      <c r="V136" s="13"/>
      <c r="X136" s="97"/>
      <c r="AA136" s="13"/>
      <c r="AB136" s="13"/>
      <c r="AC136" s="13"/>
      <c r="AM136" s="219"/>
    </row>
    <row r="137" spans="1:39">
      <c r="A137" s="103"/>
      <c r="B137" s="40"/>
      <c r="V137" s="13"/>
      <c r="X137" s="97"/>
      <c r="AA137" s="13"/>
      <c r="AB137" s="13"/>
      <c r="AC137" s="13"/>
      <c r="AM137" s="219"/>
    </row>
    <row r="138" spans="1:39">
      <c r="A138" s="103"/>
      <c r="B138" s="40"/>
      <c r="V138" s="13"/>
      <c r="X138" s="97"/>
      <c r="AA138" s="13"/>
      <c r="AB138" s="13"/>
      <c r="AC138" s="13"/>
      <c r="AM138" s="219"/>
    </row>
    <row r="139" spans="1:39">
      <c r="A139" s="103"/>
      <c r="B139" s="40"/>
      <c r="V139" s="13"/>
      <c r="X139" s="97"/>
      <c r="AA139" s="13"/>
      <c r="AB139" s="13"/>
      <c r="AC139" s="13"/>
      <c r="AM139" s="219"/>
    </row>
    <row r="140" spans="1:39">
      <c r="A140" s="103"/>
      <c r="B140" s="40"/>
      <c r="V140" s="13"/>
      <c r="X140" s="97"/>
      <c r="AA140" s="13"/>
      <c r="AB140" s="13"/>
      <c r="AC140" s="13"/>
      <c r="AM140" s="219"/>
    </row>
    <row r="141" spans="1:39">
      <c r="A141" s="103"/>
      <c r="B141" s="40"/>
      <c r="V141" s="13"/>
      <c r="X141" s="97"/>
      <c r="AA141" s="13"/>
      <c r="AB141" s="13"/>
      <c r="AC141" s="13"/>
      <c r="AM141" s="219"/>
    </row>
    <row r="142" spans="1:39">
      <c r="A142" s="103"/>
      <c r="B142" s="40"/>
      <c r="V142" s="13"/>
      <c r="X142" s="97"/>
      <c r="AA142" s="13"/>
      <c r="AB142" s="13"/>
      <c r="AC142" s="13"/>
      <c r="AM142" s="219"/>
    </row>
    <row r="143" spans="1:39">
      <c r="A143" s="103"/>
      <c r="B143" s="40"/>
      <c r="V143" s="13"/>
      <c r="X143" s="97"/>
      <c r="AA143" s="13"/>
      <c r="AB143" s="13"/>
      <c r="AC143" s="13"/>
      <c r="AM143" s="219"/>
    </row>
    <row r="144" spans="1:39">
      <c r="A144" s="103"/>
      <c r="B144" s="40"/>
      <c r="X144" s="97"/>
      <c r="AA144" s="13"/>
      <c r="AB144" s="13"/>
      <c r="AC144" s="13"/>
      <c r="AM144" s="219"/>
    </row>
    <row r="145" spans="1:39">
      <c r="A145" s="103"/>
      <c r="B145" s="40"/>
      <c r="X145" s="97"/>
      <c r="AM145" s="219"/>
    </row>
    <row r="146" spans="1:39">
      <c r="A146" s="103"/>
      <c r="B146" s="40"/>
      <c r="X146" s="97"/>
      <c r="AM146" s="219"/>
    </row>
    <row r="147" spans="1:39">
      <c r="A147" s="103"/>
      <c r="B147" s="40"/>
      <c r="X147" s="97"/>
      <c r="AM147" s="21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32" priority="39" stopIfTrue="1">
      <formula>LEN(TRIM(A1))&gt;0</formula>
    </cfRule>
    <cfRule type="containsBlanks" dxfId="31" priority="40" stopIfTrue="1">
      <formula>LEN(TRIM(A1))=0</formula>
    </cfRule>
  </conditionalFormatting>
  <conditionalFormatting sqref="F2:L13">
    <cfRule type="notContainsBlanks" dxfId="30" priority="33" stopIfTrue="1">
      <formula>LEN(TRIM(F2))&gt;0</formula>
    </cfRule>
    <cfRule type="containsBlanks" dxfId="29" priority="34" stopIfTrue="1">
      <formula>LEN(TRIM(F2))=0</formula>
    </cfRule>
  </conditionalFormatting>
  <conditionalFormatting sqref="E21">
    <cfRule type="notContainsBlanks" dxfId="28" priority="31" stopIfTrue="1">
      <formula>LEN(TRIM(E21))&gt;0</formula>
    </cfRule>
    <cfRule type="containsBlanks" dxfId="27" priority="32" stopIfTrue="1">
      <formula>LEN(TRIM(E21))=0</formula>
    </cfRule>
  </conditionalFormatting>
  <conditionalFormatting sqref="E22">
    <cfRule type="notContainsBlanks" dxfId="26" priority="29" stopIfTrue="1">
      <formula>LEN(TRIM(E22))&gt;0</formula>
    </cfRule>
    <cfRule type="containsBlanks" dxfId="25" priority="30" stopIfTrue="1">
      <formula>LEN(TRIM(E22))=0</formula>
    </cfRule>
  </conditionalFormatting>
  <conditionalFormatting sqref="E20">
    <cfRule type="notContainsBlanks" dxfId="24" priority="27" stopIfTrue="1">
      <formula>LEN(TRIM(E20))&gt;0</formula>
    </cfRule>
    <cfRule type="containsBlanks" dxfId="23" priority="28" stopIfTrue="1">
      <formula>LEN(TRIM(E20))=0</formula>
    </cfRule>
  </conditionalFormatting>
  <conditionalFormatting sqref="R2:S5">
    <cfRule type="notContainsBlanks" dxfId="22" priority="25" stopIfTrue="1">
      <formula>LEN(TRIM(R2))&gt;0</formula>
    </cfRule>
    <cfRule type="containsBlanks" dxfId="21" priority="26" stopIfTrue="1">
      <formula>LEN(TRIM(R2))=0</formula>
    </cfRule>
  </conditionalFormatting>
  <conditionalFormatting sqref="P13:P17">
    <cfRule type="notContainsBlanks" dxfId="20" priority="17" stopIfTrue="1">
      <formula>LEN(TRIM(P13))&gt;0</formula>
    </cfRule>
    <cfRule type="containsBlanks" dxfId="19" priority="18" stopIfTrue="1">
      <formula>LEN(TRIM(P13))=0</formula>
    </cfRule>
  </conditionalFormatting>
  <conditionalFormatting sqref="AC13:AD17">
    <cfRule type="notContainsBlanks" dxfId="18" priority="15" stopIfTrue="1">
      <formula>LEN(TRIM(AC13))&gt;0</formula>
    </cfRule>
    <cfRule type="containsBlanks" dxfId="17" priority="16" stopIfTrue="1">
      <formula>LEN(TRIM(AC13))=0</formula>
    </cfRule>
  </conditionalFormatting>
  <conditionalFormatting sqref="AB13:AB17">
    <cfRule type="notContainsBlanks" dxfId="16" priority="13" stopIfTrue="1">
      <formula>LEN(TRIM(AB13))&gt;0</formula>
    </cfRule>
    <cfRule type="containsBlanks" dxfId="15" priority="14" stopIfTrue="1">
      <formula>LEN(TRIM(AB13))=0</formula>
    </cfRule>
  </conditionalFormatting>
  <conditionalFormatting sqref="AC1:AC9 AC89:AC1048576 AD10:AD18 AD20:AD88">
    <cfRule type="containsText" dxfId="14" priority="9" operator="containsText" text="NORTH">
      <formula>NOT(ISERROR(SEARCH("NORTH",AC1)))</formula>
    </cfRule>
    <cfRule type="containsText" dxfId="13" priority="10" operator="containsText" text="EAST">
      <formula>NOT(ISERROR(SEARCH("EAST",AC1)))</formula>
    </cfRule>
    <cfRule type="containsText" dxfId="12" priority="11" operator="containsText" text="WEST">
      <formula>NOT(ISERROR(SEARCH("WEST",AC1)))</formula>
    </cfRule>
    <cfRule type="containsText" dxfId="11" priority="12" operator="containsText" text="SOUTH">
      <formula>NOT(ISERROR(SEARCH("SOUTH",AC1)))</formula>
    </cfRule>
  </conditionalFormatting>
  <conditionalFormatting sqref="R21:R111">
    <cfRule type="containsText" dxfId="10" priority="5" operator="containsText" text="NORTH">
      <formula>NOT(ISERROR(SEARCH("NORTH",R21)))</formula>
    </cfRule>
    <cfRule type="containsText" dxfId="9" priority="6" operator="containsText" text="EAST">
      <formula>NOT(ISERROR(SEARCH("EAST",R21)))</formula>
    </cfRule>
    <cfRule type="containsText" dxfId="8" priority="7" operator="containsText" text="WEST">
      <formula>NOT(ISERROR(SEARCH("WEST",R21)))</formula>
    </cfRule>
    <cfRule type="containsText" dxfId="7" priority="8" operator="containsText" text="SOUTH">
      <formula>NOT(ISERROR(SEARCH("SOUTH",R21)))</formula>
    </cfRule>
  </conditionalFormatting>
  <conditionalFormatting sqref="P13:P14">
    <cfRule type="notContainsBlanks" dxfId="6" priority="3" stopIfTrue="1">
      <formula>LEN(TRIM(P13))&gt;0</formula>
    </cfRule>
    <cfRule type="containsBlanks" dxfId="5" priority="4" stopIfTrue="1">
      <formula>LEN(TRIM(P13))=0</formula>
    </cfRule>
  </conditionalFormatting>
  <conditionalFormatting sqref="Z21:Z108">
    <cfRule type="cellIs" dxfId="4" priority="2" operator="lessThan">
      <formula>0.12</formula>
    </cfRule>
  </conditionalFormatting>
  <conditionalFormatting sqref="AM21:AM108">
    <cfRule type="cellIs" dxfId="3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sqref="A1:D1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4596-2C31-4631-8FE6-AE3F5345A4C4}">
  <sheetPr codeName="Sheet4"/>
  <dimension ref="A1:G5"/>
  <sheetViews>
    <sheetView workbookViewId="0">
      <selection activeCell="E1" sqref="E1"/>
    </sheetView>
  </sheetViews>
  <sheetFormatPr defaultRowHeight="15.6"/>
  <cols>
    <col min="1" max="1" width="10.69921875" style="15" bestFit="1" customWidth="1"/>
    <col min="2" max="2" width="16.69921875" style="15" bestFit="1" customWidth="1"/>
    <col min="3" max="3" width="33.19921875" style="114" bestFit="1" customWidth="1"/>
    <col min="4" max="4" width="12.296875" style="243" bestFit="1" customWidth="1"/>
    <col min="5" max="5" width="11.09765625" style="15" bestFit="1" customWidth="1"/>
    <col min="6" max="6" width="11.296875" style="15" bestFit="1" customWidth="1"/>
    <col min="7" max="7" width="11.09765625" style="15" bestFit="1" customWidth="1"/>
  </cols>
  <sheetData>
    <row r="1" spans="1:7">
      <c r="A1" s="239" t="s">
        <v>4</v>
      </c>
      <c r="B1" s="239" t="s">
        <v>15</v>
      </c>
      <c r="C1" s="239" t="s">
        <v>3752</v>
      </c>
      <c r="D1" s="238" t="s">
        <v>49</v>
      </c>
      <c r="E1" s="240" t="s">
        <v>50</v>
      </c>
      <c r="F1" s="241" t="s">
        <v>51</v>
      </c>
      <c r="G1" s="242" t="s">
        <v>52</v>
      </c>
    </row>
    <row r="2" spans="1:7">
      <c r="A2" s="15" t="s">
        <v>3690</v>
      </c>
      <c r="B2" s="15" t="s">
        <v>62</v>
      </c>
      <c r="C2" s="114">
        <v>312000000</v>
      </c>
      <c r="D2" s="243">
        <f>C2*0.6</f>
        <v>187200000</v>
      </c>
      <c r="E2" s="244">
        <f>C2*0.25</f>
        <v>78000000</v>
      </c>
      <c r="F2" s="245">
        <f>C2*0.08</f>
        <v>24960000</v>
      </c>
      <c r="G2" s="244">
        <f>C2*0.07</f>
        <v>21840000.000000004</v>
      </c>
    </row>
    <row r="3" spans="1:7">
      <c r="A3" s="15" t="s">
        <v>3690</v>
      </c>
      <c r="B3" s="15" t="s">
        <v>2055</v>
      </c>
      <c r="C3" s="114">
        <v>40000000</v>
      </c>
      <c r="D3" s="243">
        <f t="shared" ref="D3:D4" si="0">C3*0.6</f>
        <v>24000000</v>
      </c>
      <c r="E3" s="244">
        <f t="shared" ref="E3:E4" si="1">C3*0.25</f>
        <v>10000000</v>
      </c>
      <c r="F3" s="245">
        <f t="shared" ref="F3:F4" si="2">C3*0.08</f>
        <v>3200000</v>
      </c>
      <c r="G3" s="244">
        <f t="shared" ref="G3:G4" si="3">C3*0.07</f>
        <v>2800000.0000000005</v>
      </c>
    </row>
    <row r="4" spans="1:7">
      <c r="A4" s="15" t="s">
        <v>3690</v>
      </c>
      <c r="B4" s="15" t="s">
        <v>45</v>
      </c>
      <c r="C4" s="114">
        <v>8000000</v>
      </c>
      <c r="D4" s="243">
        <f t="shared" si="0"/>
        <v>4800000</v>
      </c>
      <c r="E4" s="244">
        <f t="shared" si="1"/>
        <v>2000000</v>
      </c>
      <c r="F4" s="245">
        <f t="shared" si="2"/>
        <v>640000</v>
      </c>
      <c r="G4" s="244">
        <f t="shared" si="3"/>
        <v>560000</v>
      </c>
    </row>
    <row r="5" spans="1:7">
      <c r="E5" s="244"/>
    </row>
  </sheetData>
  <autoFilter ref="A1:G1" xr:uid="{F4F94596-2C31-4631-8FE6-AE3F5345A4C4}"/>
  <conditionalFormatting sqref="B1:B1048576">
    <cfRule type="containsText" dxfId="2" priority="1" operator="containsText" text="C66">
      <formula>NOT(ISERROR(SEARCH("C66",B1)))</formula>
    </cfRule>
    <cfRule type="containsText" dxfId="1" priority="2" operator="containsText" text="C28">
      <formula>NOT(ISERROR(SEARCH("C28",B1)))</formula>
    </cfRule>
    <cfRule type="containsText" dxfId="0" priority="3" operator="containsText" text="C49">
      <formula>NOT(ISERROR(SEARCH("C49",B1)))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3691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3690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33" t="s">
        <v>3269</v>
      </c>
      <c r="G49" s="110">
        <v>44896</v>
      </c>
    </row>
    <row r="50" spans="6:7">
      <c r="F50" s="233" t="s">
        <v>3270</v>
      </c>
      <c r="G50" s="110">
        <v>44927</v>
      </c>
    </row>
    <row r="51" spans="6:7">
      <c r="F51" s="233" t="s">
        <v>3271</v>
      </c>
      <c r="G51" s="110">
        <v>44958</v>
      </c>
    </row>
    <row r="52" spans="6:7">
      <c r="F52" s="233" t="s">
        <v>3273</v>
      </c>
      <c r="G52" s="110">
        <v>44986</v>
      </c>
    </row>
    <row r="53" spans="6:7">
      <c r="F53" s="233" t="s">
        <v>3275</v>
      </c>
      <c r="G53" s="110">
        <v>45017</v>
      </c>
    </row>
    <row r="54" spans="6:7">
      <c r="F54" s="233" t="s">
        <v>3276</v>
      </c>
      <c r="G54" s="110">
        <v>45047</v>
      </c>
    </row>
    <row r="55" spans="6:7">
      <c r="F55" s="233" t="s">
        <v>3278</v>
      </c>
      <c r="G55" s="110">
        <v>45078</v>
      </c>
    </row>
    <row r="56" spans="6:7">
      <c r="F56" s="233" t="s">
        <v>3280</v>
      </c>
      <c r="G56" s="110">
        <v>45108</v>
      </c>
    </row>
    <row r="57" spans="6:7">
      <c r="F57" s="233" t="s">
        <v>3282</v>
      </c>
      <c r="G57" s="110">
        <v>45139</v>
      </c>
    </row>
    <row r="58" spans="6:7">
      <c r="F58" s="233" t="s">
        <v>3284</v>
      </c>
      <c r="G58" s="110">
        <v>45170</v>
      </c>
    </row>
    <row r="59" spans="6:7">
      <c r="F59" s="233" t="s">
        <v>3285</v>
      </c>
      <c r="G59" s="110">
        <v>45200</v>
      </c>
    </row>
    <row r="60" spans="6:7">
      <c r="F60" s="233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raw_sheet</vt:lpstr>
      <vt:lpstr>list</vt:lpstr>
      <vt:lpstr>YAMAHA_Sales_Target</vt:lpstr>
      <vt:lpstr>SMT_Internal_Sales_Target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2025-04-14T06:29:01Z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